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acki\Downloads\"/>
    </mc:Choice>
  </mc:AlternateContent>
  <xr:revisionPtr revIDLastSave="0" documentId="13_ncr:1_{F0756C52-E1BB-4E94-AC53-6F9B4CFEE34C}" xr6:coauthVersionLast="47" xr6:coauthVersionMax="47" xr10:uidLastSave="{00000000-0000-0000-0000-000000000000}"/>
  <bookViews>
    <workbookView xWindow="-108" yWindow="-108" windowWidth="23256" windowHeight="12456" tabRatio="500" firstSheet="1" activeTab="1" xr2:uid="{00000000-000D-0000-FFFF-FFFF00000000}"/>
  </bookViews>
  <sheets>
    <sheet name="Summary" sheetId="1" state="hidden" r:id="rId1"/>
    <sheet name="Bulk Order Details" sheetId="2" r:id="rId2"/>
    <sheet name="Prices" sheetId="3" state="hidden" r:id="rId3"/>
  </sheets>
  <definedNames>
    <definedName name="BOD_Discount">'Bulk Order Details'!#REF!</definedName>
    <definedName name="BOD_IHD">'Bulk Order Details'!$E$2</definedName>
    <definedName name="BOD_ProdPriorityFee">'Bulk Order Details'!#REF!</definedName>
    <definedName name="BOD_ShippingFee">'Bulk Order Details'!$F$5</definedName>
    <definedName name="BOD_Subtotal">'Bulk Order Details'!#REF!</definedName>
    <definedName name="BOD_Total">'Bulk Order Details'!$F$6</definedName>
    <definedName name="CustGroup">Summary!$D$2</definedName>
    <definedName name="CustomLogos">Summary!$D$5</definedName>
    <definedName name="FullSKU">#REF!</definedName>
    <definedName name="Jerseys">Summary!$D$8</definedName>
    <definedName name="Mens">Prices!$BB$3:$BB$17</definedName>
    <definedName name="MensCut">Prices!$K$3:$K$4</definedName>
    <definedName name="Performance">Prices!$AC$3:$AC$8</definedName>
    <definedName name="PerformanceLong">Prices!$AQ$3:$AQ$23</definedName>
    <definedName name="PerformanceShort">Prices!$AO$3:$AO$23</definedName>
    <definedName name="PerformanceSleeveless">Prices!$AP$3:$AP$23</definedName>
    <definedName name="_xlnm.Print_Area" localSheetId="1">'Bulk Order Details'!$B$2:$V$315</definedName>
    <definedName name="ProductionFee">'Bulk Order Details'!#REF!</definedName>
    <definedName name="Reorder">Summary!$D$3</definedName>
    <definedName name="Selected_ProdPriority">'Bulk Order Details'!$D$3</definedName>
    <definedName name="Shipping">Summary!$D$4</definedName>
    <definedName name="TeamAssuranceQuote">Summary!$D$24</definedName>
    <definedName name="Toddler">Prices!$BE$3:$BE$16</definedName>
    <definedName name="ToddlerCut">Prices!$N$3</definedName>
    <definedName name="Tour">Prices!$AD$3:$AD$8</definedName>
    <definedName name="TourLong">Prices!$AS$3:$AS$23</definedName>
    <definedName name="TourShort">Prices!$AR$3:$AR$23</definedName>
    <definedName name="Womens">Prices!$BC$3:$BC$16</definedName>
    <definedName name="WomensCut">Prices!$L$3:$L$4</definedName>
    <definedName name="Youth">Prices!$BD$3:$BD$16</definedName>
    <definedName name="YouthCut">Prices!$M$3:$M$4</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M38" i="3" l="1"/>
  <c r="AH38" i="3"/>
  <c r="AM37" i="3"/>
  <c r="AH37" i="3"/>
  <c r="AM36" i="3"/>
  <c r="AH36" i="3"/>
  <c r="AM35" i="3"/>
  <c r="AH35" i="3"/>
  <c r="AM34" i="3"/>
  <c r="AH34" i="3"/>
  <c r="CD33" i="3"/>
  <c r="AX33" i="3"/>
  <c r="AW33" i="3"/>
  <c r="AM33" i="3"/>
  <c r="AH33" i="3"/>
  <c r="AX32" i="3"/>
  <c r="AW32" i="3"/>
  <c r="AM32" i="3"/>
  <c r="AH32" i="3"/>
  <c r="AX31" i="3"/>
  <c r="AW31" i="3"/>
  <c r="AM31" i="3"/>
  <c r="AH31" i="3"/>
  <c r="CD30" i="3"/>
  <c r="BV30" i="3"/>
  <c r="AX30" i="3"/>
  <c r="AW30" i="3"/>
  <c r="AM30" i="3"/>
  <c r="AH30" i="3"/>
  <c r="CD29" i="3"/>
  <c r="BV29" i="3"/>
  <c r="AW29" i="3"/>
  <c r="AM29" i="3"/>
  <c r="AH29" i="3"/>
  <c r="CD28" i="3"/>
  <c r="BV28" i="3"/>
  <c r="AW28" i="3"/>
  <c r="AM28" i="3"/>
  <c r="AH28" i="3"/>
  <c r="CD27" i="3"/>
  <c r="BV27" i="3"/>
  <c r="AW27" i="3"/>
  <c r="AM27" i="3"/>
  <c r="AH27" i="3"/>
  <c r="CD26" i="3"/>
  <c r="BV26" i="3"/>
  <c r="AW26" i="3"/>
  <c r="AM26" i="3"/>
  <c r="AH26" i="3"/>
  <c r="CD25" i="3"/>
  <c r="BV25" i="3"/>
  <c r="AW25" i="3"/>
  <c r="AM25" i="3"/>
  <c r="AH25" i="3"/>
  <c r="CD24" i="3"/>
  <c r="BV24" i="3"/>
  <c r="AW24" i="3"/>
  <c r="AM24" i="3"/>
  <c r="AH24" i="3"/>
  <c r="CD23" i="3"/>
  <c r="BV23" i="3"/>
  <c r="AW23" i="3"/>
  <c r="AM23" i="3"/>
  <c r="AH23" i="3"/>
  <c r="CD22" i="3"/>
  <c r="BV22" i="3"/>
  <c r="BN22" i="3"/>
  <c r="AW22" i="3"/>
  <c r="AM22" i="3"/>
  <c r="AH22" i="3"/>
  <c r="CD21" i="3"/>
  <c r="BV21" i="3"/>
  <c r="BN21" i="3"/>
  <c r="AW21" i="3"/>
  <c r="AM21" i="3"/>
  <c r="AH21" i="3"/>
  <c r="CD20" i="3"/>
  <c r="BV20" i="3"/>
  <c r="BN20" i="3"/>
  <c r="AW20" i="3"/>
  <c r="AM20" i="3"/>
  <c r="AH20" i="3"/>
  <c r="CD19" i="3"/>
  <c r="BV19" i="3"/>
  <c r="BN19" i="3"/>
  <c r="AW19" i="3"/>
  <c r="AM19" i="3"/>
  <c r="AH19" i="3"/>
  <c r="CD18" i="3"/>
  <c r="BV18" i="3"/>
  <c r="BN18" i="3"/>
  <c r="AW18" i="3"/>
  <c r="AM18" i="3"/>
  <c r="AH18" i="3"/>
  <c r="CD17" i="3"/>
  <c r="BV17" i="3"/>
  <c r="BN17" i="3"/>
  <c r="AW17" i="3"/>
  <c r="AM17" i="3"/>
  <c r="AH17" i="3"/>
  <c r="CD16" i="3"/>
  <c r="BV16" i="3"/>
  <c r="BN16" i="3"/>
  <c r="AW16" i="3"/>
  <c r="AM16" i="3"/>
  <c r="AH16" i="3"/>
  <c r="CD15" i="3"/>
  <c r="BV15" i="3"/>
  <c r="BN15" i="3"/>
  <c r="AW15" i="3"/>
  <c r="AM15" i="3"/>
  <c r="AH15" i="3"/>
  <c r="CD14" i="3"/>
  <c r="BV14" i="3"/>
  <c r="BN14" i="3"/>
  <c r="AW14" i="3"/>
  <c r="AM14" i="3"/>
  <c r="AH14" i="3"/>
  <c r="EL13" i="3"/>
  <c r="EB13" i="3"/>
  <c r="EC13" i="3" s="1"/>
  <c r="ED13" i="3" s="1"/>
  <c r="CD13" i="3"/>
  <c r="BV13" i="3"/>
  <c r="BN13" i="3"/>
  <c r="AW13" i="3"/>
  <c r="AM13" i="3"/>
  <c r="AH13" i="3"/>
  <c r="EL12" i="3"/>
  <c r="EB12" i="3"/>
  <c r="CD12" i="3"/>
  <c r="BV12" i="3"/>
  <c r="BN12" i="3"/>
  <c r="AW12" i="3"/>
  <c r="AM12" i="3"/>
  <c r="AH12" i="3"/>
  <c r="EL11" i="3"/>
  <c r="EB11" i="3"/>
  <c r="EC11" i="3" s="1"/>
  <c r="CD11" i="3"/>
  <c r="BV11" i="3"/>
  <c r="BN11" i="3"/>
  <c r="AW11" i="3"/>
  <c r="AM11" i="3"/>
  <c r="AH11" i="3"/>
  <c r="EL10" i="3"/>
  <c r="EB10" i="3"/>
  <c r="CD10" i="3"/>
  <c r="BV10" i="3"/>
  <c r="BN10" i="3"/>
  <c r="AW10" i="3"/>
  <c r="AM10" i="3"/>
  <c r="AH10" i="3"/>
  <c r="EL9" i="3"/>
  <c r="EB9" i="3"/>
  <c r="CD9" i="3"/>
  <c r="BV9" i="3"/>
  <c r="BN9" i="3"/>
  <c r="AW9" i="3"/>
  <c r="AM9" i="3"/>
  <c r="AH9" i="3"/>
  <c r="EL8" i="3"/>
  <c r="EB8" i="3"/>
  <c r="EC8" i="3" s="1"/>
  <c r="ED8" i="3" s="1"/>
  <c r="CL8" i="3"/>
  <c r="CD8" i="3"/>
  <c r="BV8" i="3"/>
  <c r="BN8" i="3"/>
  <c r="AW8" i="3"/>
  <c r="AM8" i="3"/>
  <c r="AH8" i="3"/>
  <c r="EL7" i="3"/>
  <c r="EB7" i="3"/>
  <c r="CL7" i="3"/>
  <c r="CD7" i="3"/>
  <c r="BV7" i="3"/>
  <c r="BN7" i="3"/>
  <c r="AW7" i="3"/>
  <c r="AM7" i="3"/>
  <c r="AH7" i="3"/>
  <c r="X7" i="3"/>
  <c r="C7" i="3"/>
  <c r="EL6" i="3"/>
  <c r="EB6" i="3"/>
  <c r="EC6" i="3" s="1"/>
  <c r="ED6" i="3" s="1"/>
  <c r="CL6" i="3"/>
  <c r="CD6" i="3"/>
  <c r="BV6" i="3"/>
  <c r="BN6" i="3"/>
  <c r="AW6" i="3"/>
  <c r="AM6" i="3"/>
  <c r="AH6" i="3"/>
  <c r="X6" i="3"/>
  <c r="C6" i="3"/>
  <c r="EL5" i="3"/>
  <c r="EB5" i="3"/>
  <c r="DH5" i="3"/>
  <c r="DI5" i="3" s="1"/>
  <c r="DD5" i="3"/>
  <c r="CL5" i="3"/>
  <c r="CD5" i="3"/>
  <c r="BV5" i="3"/>
  <c r="BN5" i="3"/>
  <c r="BH5" i="3"/>
  <c r="AW5" i="3"/>
  <c r="AM5" i="3"/>
  <c r="AH5" i="3"/>
  <c r="X5" i="3"/>
  <c r="C5" i="3"/>
  <c r="EL4" i="3"/>
  <c r="EB4" i="3"/>
  <c r="DI4" i="3"/>
  <c r="DH4" i="3"/>
  <c r="DD4" i="3"/>
  <c r="CL4" i="3"/>
  <c r="BN4" i="3"/>
  <c r="BH4" i="3"/>
  <c r="AW4" i="3"/>
  <c r="AM4" i="3"/>
  <c r="AH4" i="3"/>
  <c r="X4" i="3"/>
  <c r="Q4" i="3"/>
  <c r="L4" i="3"/>
  <c r="K4" i="3"/>
  <c r="C4" i="3"/>
  <c r="EB3" i="3"/>
  <c r="DH3" i="3"/>
  <c r="DI3" i="3" s="1"/>
  <c r="DD3" i="3"/>
  <c r="CL3" i="3"/>
  <c r="CD3" i="3"/>
  <c r="BV3" i="3"/>
  <c r="BN3" i="3"/>
  <c r="BH3" i="3"/>
  <c r="BE3" i="3" a="1"/>
  <c r="BE4" i="3" s="1"/>
  <c r="BD3" i="3" a="1"/>
  <c r="BD7" i="3" s="1"/>
  <c r="BC3" i="3" a="1"/>
  <c r="BC10" i="3" s="1"/>
  <c r="BB3" i="3" a="1"/>
  <c r="BB10" i="3" s="1"/>
  <c r="AW3" i="3"/>
  <c r="AO3" i="3" a="1"/>
  <c r="AO4" i="3" s="1"/>
  <c r="AM3" i="3"/>
  <c r="AS3" i="3" s="1" a="1"/>
  <c r="AH3" i="3"/>
  <c r="AD3" i="3" a="1"/>
  <c r="AD3" i="3" s="1"/>
  <c r="AC3" i="3" a="1"/>
  <c r="AC5" i="3" s="1"/>
  <c r="X3" i="3"/>
  <c r="Q3" i="3"/>
  <c r="W310" i="2" s="1"/>
  <c r="N3" i="3"/>
  <c r="M3" i="3"/>
  <c r="L3" i="3"/>
  <c r="K3" i="3"/>
  <c r="C22" i="1"/>
  <c r="D19" i="1"/>
  <c r="D18" i="1"/>
  <c r="D21" i="1" s="1"/>
  <c r="D23" i="1" s="1"/>
  <c r="D16" i="1"/>
  <c r="D15" i="1"/>
  <c r="D26" i="1" s="1"/>
  <c r="D14" i="1"/>
  <c r="D13" i="1"/>
  <c r="D20" i="1" s="1"/>
  <c r="D12" i="1"/>
  <c r="D11" i="1"/>
  <c r="D10" i="1"/>
  <c r="D9" i="1"/>
  <c r="B9" i="1"/>
  <c r="D8" i="1"/>
  <c r="D6" i="1" a="1"/>
  <c r="D6" i="1" s="1"/>
  <c r="D25" i="1" s="1"/>
  <c r="W309" i="2"/>
  <c r="W297" i="2"/>
  <c r="W285" i="2"/>
  <c r="W276" i="2"/>
  <c r="W273" i="2"/>
  <c r="W264" i="2"/>
  <c r="W261" i="2"/>
  <c r="W252" i="2"/>
  <c r="W249" i="2"/>
  <c r="W240" i="2"/>
  <c r="W237" i="2"/>
  <c r="W228" i="2"/>
  <c r="W225" i="2"/>
  <c r="W216" i="2"/>
  <c r="W213" i="2"/>
  <c r="W204" i="2"/>
  <c r="W201" i="2"/>
  <c r="W192" i="2"/>
  <c r="W189" i="2"/>
  <c r="W180" i="2"/>
  <c r="W177" i="2"/>
  <c r="W168" i="2"/>
  <c r="W165" i="2"/>
  <c r="W156" i="2"/>
  <c r="W153" i="2"/>
  <c r="W144" i="2"/>
  <c r="W141" i="2"/>
  <c r="W135" i="2"/>
  <c r="W132" i="2"/>
  <c r="W129" i="2"/>
  <c r="W123" i="2"/>
  <c r="W120" i="2"/>
  <c r="W117" i="2"/>
  <c r="W111" i="2"/>
  <c r="W108" i="2"/>
  <c r="W105" i="2"/>
  <c r="W99" i="2"/>
  <c r="W96" i="2"/>
  <c r="W93" i="2"/>
  <c r="W87" i="2"/>
  <c r="W84" i="2"/>
  <c r="W81" i="2"/>
  <c r="W75" i="2"/>
  <c r="W72" i="2"/>
  <c r="W69" i="2"/>
  <c r="W63" i="2"/>
  <c r="W60" i="2"/>
  <c r="W57" i="2"/>
  <c r="W51" i="2"/>
  <c r="W48" i="2"/>
  <c r="W45" i="2"/>
  <c r="W39" i="2"/>
  <c r="W36" i="2"/>
  <c r="W33" i="2"/>
  <c r="W27" i="2"/>
  <c r="W24" i="2"/>
  <c r="W21" i="2"/>
  <c r="K15" i="2"/>
  <c r="E12" i="2"/>
  <c r="D12" i="2"/>
  <c r="E11" i="2"/>
  <c r="E10" i="2"/>
  <c r="D10" i="2"/>
  <c r="Q9" i="2"/>
  <c r="E9" i="2"/>
  <c r="D9" i="2"/>
  <c r="E7" i="2"/>
  <c r="D7" i="2"/>
  <c r="E6" i="2"/>
  <c r="D6" i="2"/>
  <c r="B4" i="2"/>
  <c r="D2" i="2"/>
  <c r="EC9" i="3" l="1"/>
  <c r="ED9" i="3" s="1"/>
  <c r="EG9" i="3" s="1"/>
  <c r="EH9" i="3" s="1"/>
  <c r="EI9" i="3" s="1"/>
  <c r="EC12" i="3"/>
  <c r="ED12" i="3" s="1"/>
  <c r="EC4" i="3"/>
  <c r="ED4" i="3" s="1"/>
  <c r="ED11" i="3"/>
  <c r="EE11" i="3" s="1"/>
  <c r="EC5" i="3"/>
  <c r="ED5" i="3" s="1"/>
  <c r="EG13" i="3"/>
  <c r="EH13" i="3" s="1"/>
  <c r="EI13" i="3" s="1"/>
  <c r="EE13" i="3"/>
  <c r="D22" i="1"/>
  <c r="D31" i="1" s="1"/>
  <c r="DL3" i="3"/>
  <c r="DL4" i="3"/>
  <c r="DM4" i="3" s="1"/>
  <c r="D30" i="1"/>
  <c r="D27" i="1"/>
  <c r="AS5" i="3"/>
  <c r="AS3" i="3"/>
  <c r="AS7" i="3"/>
  <c r="AS6" i="3"/>
  <c r="AS4" i="3"/>
  <c r="EE8" i="3"/>
  <c r="EG8" i="3"/>
  <c r="EH8" i="3" s="1"/>
  <c r="EI8" i="3" s="1"/>
  <c r="EG6" i="3"/>
  <c r="EH6" i="3" s="1"/>
  <c r="EI6" i="3" s="1"/>
  <c r="EE6" i="3"/>
  <c r="EG11" i="3"/>
  <c r="EH11" i="3" s="1"/>
  <c r="EI11" i="3" s="1"/>
  <c r="ED10" i="3"/>
  <c r="BB9" i="3"/>
  <c r="W46" i="2"/>
  <c r="W70" i="2"/>
  <c r="W94" i="2"/>
  <c r="W118" i="2"/>
  <c r="W154" i="2"/>
  <c r="W178" i="2"/>
  <c r="W202" i="2"/>
  <c r="W238" i="2"/>
  <c r="W23" i="2"/>
  <c r="W35" i="2"/>
  <c r="W47" i="2"/>
  <c r="W59" i="2"/>
  <c r="W71" i="2"/>
  <c r="W83" i="2"/>
  <c r="W95" i="2"/>
  <c r="W107" i="2"/>
  <c r="W119" i="2"/>
  <c r="W131" i="2"/>
  <c r="W143" i="2"/>
  <c r="W155" i="2"/>
  <c r="W167" i="2"/>
  <c r="W179" i="2"/>
  <c r="W191" i="2"/>
  <c r="W203" i="2"/>
  <c r="W215" i="2"/>
  <c r="W227" i="2"/>
  <c r="W239" i="2"/>
  <c r="W251" i="2"/>
  <c r="W263" i="2"/>
  <c r="W275" i="2"/>
  <c r="W287" i="2"/>
  <c r="W299" i="2"/>
  <c r="W311" i="2"/>
  <c r="AC3" i="3"/>
  <c r="AO5" i="3"/>
  <c r="AR3" i="3" a="1"/>
  <c r="BB11" i="3"/>
  <c r="BC11" i="3"/>
  <c r="BE5" i="3"/>
  <c r="EC3" i="3"/>
  <c r="ED3" i="3" s="1"/>
  <c r="AO6" i="3"/>
  <c r="BB12" i="3"/>
  <c r="BC12" i="3"/>
  <c r="BE6" i="3"/>
  <c r="EC10" i="3"/>
  <c r="W300" i="2"/>
  <c r="W37" i="2"/>
  <c r="W49" i="2"/>
  <c r="W61" i="2"/>
  <c r="W73" i="2"/>
  <c r="W85" i="2"/>
  <c r="W97" i="2"/>
  <c r="W109" i="2"/>
  <c r="W121" i="2"/>
  <c r="W133" i="2"/>
  <c r="W145" i="2"/>
  <c r="W157" i="2"/>
  <c r="W169" i="2"/>
  <c r="W181" i="2"/>
  <c r="W193" i="2"/>
  <c r="W205" i="2"/>
  <c r="W217" i="2"/>
  <c r="W229" i="2"/>
  <c r="W241" i="2"/>
  <c r="W253" i="2"/>
  <c r="W265" i="2"/>
  <c r="W277" i="2"/>
  <c r="W289" i="2"/>
  <c r="W301" i="2"/>
  <c r="W313" i="2"/>
  <c r="AC4" i="3"/>
  <c r="AO7" i="3"/>
  <c r="BB13" i="3"/>
  <c r="BC13" i="3"/>
  <c r="W288" i="2"/>
  <c r="W312" i="2"/>
  <c r="W25" i="2"/>
  <c r="W26" i="2"/>
  <c r="W38" i="2"/>
  <c r="W50" i="2"/>
  <c r="W62" i="2"/>
  <c r="W74" i="2"/>
  <c r="W86" i="2"/>
  <c r="W98" i="2"/>
  <c r="W110" i="2"/>
  <c r="W122" i="2"/>
  <c r="W134" i="2"/>
  <c r="W146" i="2"/>
  <c r="W158" i="2"/>
  <c r="W170" i="2"/>
  <c r="W182" i="2"/>
  <c r="W194" i="2"/>
  <c r="W206" i="2"/>
  <c r="W218" i="2"/>
  <c r="W230" i="2"/>
  <c r="W242" i="2"/>
  <c r="W254" i="2"/>
  <c r="W266" i="2"/>
  <c r="W278" i="2"/>
  <c r="W290" i="2"/>
  <c r="W302" i="2"/>
  <c r="W314" i="2"/>
  <c r="AO8" i="3"/>
  <c r="AQ3" i="3" a="1"/>
  <c r="BB3" i="3"/>
  <c r="BC3" i="3"/>
  <c r="BD3" i="3"/>
  <c r="AO10" i="3"/>
  <c r="BB4" i="3"/>
  <c r="BC4" i="3"/>
  <c r="BD4" i="3"/>
  <c r="AD4" i="3"/>
  <c r="AO11" i="3"/>
  <c r="BB5" i="3"/>
  <c r="BC5" i="3"/>
  <c r="BD5" i="3"/>
  <c r="EC7" i="3"/>
  <c r="ED7" i="3" s="1"/>
  <c r="W147" i="2"/>
  <c r="W159" i="2"/>
  <c r="W171" i="2"/>
  <c r="W183" i="2"/>
  <c r="W195" i="2"/>
  <c r="W207" i="2"/>
  <c r="W219" i="2"/>
  <c r="W231" i="2"/>
  <c r="W243" i="2"/>
  <c r="W255" i="2"/>
  <c r="W267" i="2"/>
  <c r="W279" i="2"/>
  <c r="W291" i="2"/>
  <c r="W303" i="2"/>
  <c r="W315" i="2"/>
  <c r="AO9" i="3"/>
  <c r="W64" i="2"/>
  <c r="W88" i="2"/>
  <c r="W136" i="2"/>
  <c r="W17" i="2"/>
  <c r="W89" i="2"/>
  <c r="W137" i="2"/>
  <c r="W161" i="2"/>
  <c r="W185" i="2"/>
  <c r="W221" i="2"/>
  <c r="W245" i="2"/>
  <c r="W293" i="2"/>
  <c r="W30" i="2"/>
  <c r="W66" i="2"/>
  <c r="W78" i="2"/>
  <c r="W90" i="2"/>
  <c r="W102" i="2"/>
  <c r="W114" i="2"/>
  <c r="W126" i="2"/>
  <c r="W138" i="2"/>
  <c r="W150" i="2"/>
  <c r="W162" i="2"/>
  <c r="W174" i="2"/>
  <c r="W186" i="2"/>
  <c r="W198" i="2"/>
  <c r="W210" i="2"/>
  <c r="W222" i="2"/>
  <c r="W234" i="2"/>
  <c r="W246" i="2"/>
  <c r="W258" i="2"/>
  <c r="W270" i="2"/>
  <c r="W282" i="2"/>
  <c r="W294" i="2"/>
  <c r="W306" i="2"/>
  <c r="E6" i="1"/>
  <c r="AO12" i="3"/>
  <c r="BB6" i="3"/>
  <c r="BC6" i="3"/>
  <c r="BD6" i="3"/>
  <c r="W16" i="2"/>
  <c r="W40" i="2"/>
  <c r="W76" i="2"/>
  <c r="W124" i="2"/>
  <c r="W160" i="2"/>
  <c r="W172" i="2"/>
  <c r="W196" i="2"/>
  <c r="W220" i="2"/>
  <c r="W256" i="2"/>
  <c r="W280" i="2"/>
  <c r="W304" i="2"/>
  <c r="W41" i="2"/>
  <c r="W53" i="2"/>
  <c r="W77" i="2"/>
  <c r="W113" i="2"/>
  <c r="W125" i="2"/>
  <c r="W149" i="2"/>
  <c r="W173" i="2"/>
  <c r="W197" i="2"/>
  <c r="W209" i="2"/>
  <c r="W233" i="2"/>
  <c r="W257" i="2"/>
  <c r="W281" i="2"/>
  <c r="W42" i="2"/>
  <c r="W43" i="2"/>
  <c r="W67" i="2"/>
  <c r="W91" i="2"/>
  <c r="W115" i="2"/>
  <c r="W127" i="2"/>
  <c r="W139" i="2"/>
  <c r="W151" i="2"/>
  <c r="W163" i="2"/>
  <c r="W175" i="2"/>
  <c r="W187" i="2"/>
  <c r="W199" i="2"/>
  <c r="W211" i="2"/>
  <c r="W223" i="2"/>
  <c r="W235" i="2"/>
  <c r="W247" i="2"/>
  <c r="W259" i="2"/>
  <c r="W271" i="2"/>
  <c r="W283" i="2"/>
  <c r="W295" i="2"/>
  <c r="W307" i="2"/>
  <c r="BB7" i="3"/>
  <c r="BC7" i="3"/>
  <c r="W28" i="2"/>
  <c r="W52" i="2"/>
  <c r="W100" i="2"/>
  <c r="W112" i="2"/>
  <c r="W148" i="2"/>
  <c r="W184" i="2"/>
  <c r="W208" i="2"/>
  <c r="W232" i="2"/>
  <c r="W244" i="2"/>
  <c r="W268" i="2"/>
  <c r="W292" i="2"/>
  <c r="W29" i="2"/>
  <c r="W65" i="2"/>
  <c r="W101" i="2"/>
  <c r="W269" i="2"/>
  <c r="W305" i="2"/>
  <c r="W18" i="2"/>
  <c r="W54" i="2"/>
  <c r="W19" i="2"/>
  <c r="W31" i="2"/>
  <c r="W55" i="2"/>
  <c r="W79" i="2"/>
  <c r="W103" i="2"/>
  <c r="W20" i="2"/>
  <c r="W32" i="2"/>
  <c r="W44" i="2"/>
  <c r="W56" i="2"/>
  <c r="W68" i="2"/>
  <c r="W80" i="2"/>
  <c r="W92" i="2"/>
  <c r="W104" i="2"/>
  <c r="W116" i="2"/>
  <c r="W128" i="2"/>
  <c r="W140" i="2"/>
  <c r="W152" i="2"/>
  <c r="W164" i="2"/>
  <c r="W176" i="2"/>
  <c r="W188" i="2"/>
  <c r="W200" i="2"/>
  <c r="W212" i="2"/>
  <c r="W224" i="2"/>
  <c r="W236" i="2"/>
  <c r="W248" i="2"/>
  <c r="W260" i="2"/>
  <c r="W272" i="2"/>
  <c r="W284" i="2"/>
  <c r="W296" i="2"/>
  <c r="W308" i="2"/>
  <c r="AO3" i="3"/>
  <c r="AP3" i="3" a="1"/>
  <c r="BB8" i="3"/>
  <c r="BC8" i="3"/>
  <c r="BE3" i="3"/>
  <c r="BC9" i="3"/>
  <c r="W22" i="2"/>
  <c r="W34" i="2"/>
  <c r="W58" i="2"/>
  <c r="W82" i="2"/>
  <c r="W106" i="2"/>
  <c r="W130" i="2"/>
  <c r="W142" i="2"/>
  <c r="W166" i="2"/>
  <c r="W190" i="2"/>
  <c r="W214" i="2"/>
  <c r="W226" i="2"/>
  <c r="W250" i="2"/>
  <c r="W262" i="2"/>
  <c r="W274" i="2"/>
  <c r="W286" i="2"/>
  <c r="W298" i="2"/>
  <c r="EG5" i="3" l="1"/>
  <c r="EH5" i="3" s="1"/>
  <c r="EI5" i="3" s="1"/>
  <c r="EE5" i="3"/>
  <c r="EG4" i="3"/>
  <c r="EH4" i="3" s="1"/>
  <c r="EI4" i="3" s="1"/>
  <c r="EE4" i="3"/>
  <c r="EE12" i="3"/>
  <c r="EG12" i="3"/>
  <c r="EH12" i="3" s="1"/>
  <c r="EI12" i="3" s="1"/>
  <c r="EE9" i="3"/>
  <c r="EG3" i="3"/>
  <c r="EH3" i="3" s="1"/>
  <c r="EI3" i="3" s="1"/>
  <c r="EE3" i="3"/>
  <c r="EG7" i="3"/>
  <c r="EH7" i="3" s="1"/>
  <c r="EI7" i="3" s="1"/>
  <c r="EE7" i="3"/>
  <c r="AR3" i="3"/>
  <c r="AR10" i="3"/>
  <c r="AR7" i="3"/>
  <c r="AR9" i="3"/>
  <c r="AR8" i="3"/>
  <c r="AR6" i="3"/>
  <c r="AR5" i="3"/>
  <c r="AR4" i="3"/>
  <c r="AP5" i="3"/>
  <c r="AP3" i="3"/>
  <c r="AP7" i="3"/>
  <c r="AP6" i="3"/>
  <c r="AP4" i="3"/>
  <c r="EG10" i="3"/>
  <c r="EH10" i="3" s="1"/>
  <c r="EI10" i="3" s="1"/>
  <c r="P10" i="2" s="1"/>
  <c r="Q2" i="2" s="1"/>
  <c r="EE10" i="3"/>
  <c r="AQ9" i="3"/>
  <c r="AQ8" i="3"/>
  <c r="AQ7" i="3"/>
  <c r="AQ4" i="3"/>
  <c r="AQ6" i="3"/>
  <c r="AQ5" i="3"/>
  <c r="AQ3" i="3"/>
  <c r="AQ10" i="3"/>
</calcChain>
</file>

<file path=xl/sharedStrings.xml><?xml version="1.0" encoding="utf-8"?>
<sst xmlns="http://schemas.openxmlformats.org/spreadsheetml/2006/main" count="893" uniqueCount="340">
  <si>
    <t>Customer Discount *</t>
  </si>
  <si>
    <t>Website</t>
  </si>
  <si>
    <t>Reorder *</t>
  </si>
  <si>
    <t>No</t>
  </si>
  <si>
    <t>Shipping Cost *</t>
  </si>
  <si>
    <t>Custom Logos *</t>
  </si>
  <si>
    <t>Production Priority</t>
  </si>
  <si>
    <t>Total Jersey Count</t>
  </si>
  <si>
    <t>Free Name</t>
  </si>
  <si>
    <t>Free Collar</t>
  </si>
  <si>
    <t>Free Logo</t>
  </si>
  <si>
    <t xml:space="preserve">Free Coaches Jersey </t>
  </si>
  <si>
    <t>Free Express Production</t>
  </si>
  <si>
    <t>Free Shipping</t>
  </si>
  <si>
    <t>Bulk Order Entry Discount</t>
  </si>
  <si>
    <t>Total From Order Details</t>
  </si>
  <si>
    <t>Custom Logo Charges</t>
  </si>
  <si>
    <t>Free Coaches Jersey</t>
  </si>
  <si>
    <t>Subtotal Before Order Discount</t>
  </si>
  <si>
    <t>Order Discount</t>
  </si>
  <si>
    <t>Subtotal Before Production Fee &amp; Shipping</t>
  </si>
  <si>
    <t>TEAM ASSURANCE</t>
  </si>
  <si>
    <t>Production Priority Fee</t>
  </si>
  <si>
    <t>Shipping</t>
  </si>
  <si>
    <t>Grand Total</t>
  </si>
  <si>
    <t>Average Cost per Jersey</t>
  </si>
  <si>
    <t>Total Discounts</t>
  </si>
  <si>
    <t>In Hand Date (the date you need your jerseys in your hands)</t>
  </si>
  <si>
    <t>FOR YOUR INFORMATION:</t>
  </si>
  <si>
    <t>PRODUCTION PRIORITY *</t>
  </si>
  <si>
    <t>Standard (approx 3 weeks)</t>
  </si>
  <si>
    <t>1. All required field are denoted with an *</t>
  </si>
  <si>
    <t>2. The SKU is found in each product at the top near the product name.</t>
  </si>
  <si>
    <t>CRITITICAL DATES</t>
  </si>
  <si>
    <t>Day of Week</t>
  </si>
  <si>
    <t>Date</t>
  </si>
  <si>
    <t>3. You may leave rows blank to help with the organization of your order.</t>
  </si>
  <si>
    <t>Order Placed</t>
  </si>
  <si>
    <t xml:space="preserve">4. Express and Priority production is available at an extra cost. </t>
  </si>
  <si>
    <t>Order Approval</t>
  </si>
  <si>
    <t>5. Please delete the example jersey entry before entering your order details.</t>
  </si>
  <si>
    <t>ESTIMATED PRODUCTION AND SHIPPING DATES</t>
  </si>
  <si>
    <t>6. The CRITICAL DATES (to the LEFT) are estimates of delivery and other key dates based upon the In Hand Date entered (to the ABOVE).  Bowlifi will use their best efforts to meet the In Hand Date, but In Hand Dates are not guaranteed.</t>
  </si>
  <si>
    <t>In Transit Date (Ship from factory)</t>
  </si>
  <si>
    <t>Estimated Ship Date (Ship to you)</t>
  </si>
  <si>
    <t>7. Orders with a requested In Hand Date may require Express or Priority production, UPS Overnight or Select shipping services.</t>
  </si>
  <si>
    <t>Shipping Service Suggestion</t>
  </si>
  <si>
    <t>Estimated Delivery Date</t>
  </si>
  <si>
    <t>Should you have an question, please contact customer service at support@bowlifi.com or 312-281-7797 or use the online chat at Bowlifi.com.</t>
  </si>
  <si>
    <t>SKU *
(Design from Bowlifi.com)</t>
  </si>
  <si>
    <t>Quantity *</t>
  </si>
  <si>
    <t>Cut *</t>
  </si>
  <si>
    <t>Size *</t>
  </si>
  <si>
    <t>Additional Length</t>
  </si>
  <si>
    <t>Collection *</t>
  </si>
  <si>
    <t>Sleeve Type *</t>
  </si>
  <si>
    <t>Neck Collar Type *</t>
  </si>
  <si>
    <t>Name
Orientation</t>
  </si>
  <si>
    <t>Lines for Name</t>
  </si>
  <si>
    <t>Font</t>
  </si>
  <si>
    <t>Front Logo
(Optional)</t>
  </si>
  <si>
    <t>Left Chest Logo
(Optional)</t>
  </si>
  <si>
    <t>Right Chest Logo
(Optional)</t>
  </si>
  <si>
    <t>Left Sleeve Logo
(Optional)</t>
  </si>
  <si>
    <t>Right Sleeve Logo
(Optional)</t>
  </si>
  <si>
    <t>Number
(Optional)</t>
  </si>
  <si>
    <t>Special Instructions
(Optional  -  Additional Costs May Apply)</t>
  </si>
  <si>
    <t>Women's</t>
  </si>
  <si>
    <t>Medium</t>
  </si>
  <si>
    <t>Performance-Line</t>
  </si>
  <si>
    <t>Short</t>
  </si>
  <si>
    <t>Diagonal</t>
  </si>
  <si>
    <t>2-Lines</t>
  </si>
  <si>
    <t>Freestyle</t>
  </si>
  <si>
    <t>Custom On File (FREE)</t>
  </si>
  <si>
    <t>PWBA</t>
  </si>
  <si>
    <t>Large</t>
  </si>
  <si>
    <t>Men's</t>
  </si>
  <si>
    <t>X-Large</t>
  </si>
  <si>
    <t>PBA</t>
  </si>
  <si>
    <t>BASE PRICE</t>
  </si>
  <si>
    <t>CUT</t>
  </si>
  <si>
    <t>COLLECTION</t>
  </si>
  <si>
    <t>SLEEVE</t>
  </si>
  <si>
    <t>STYLE</t>
  </si>
  <si>
    <t>SIZE</t>
  </si>
  <si>
    <t>FRONT LOGO</t>
  </si>
  <si>
    <t>CHEST LOGO</t>
  </si>
  <si>
    <t>LEFT SLEEVE LOGO</t>
  </si>
  <si>
    <t>RIGHT SLEEVE LOGO</t>
  </si>
  <si>
    <t>NAME</t>
  </si>
  <si>
    <t>PRODUCTION PRIORITY</t>
  </si>
  <si>
    <t>SUMMARY</t>
  </si>
  <si>
    <t>IN HAND DATE</t>
  </si>
  <si>
    <t>Quantity</t>
  </si>
  <si>
    <t>Discount</t>
  </si>
  <si>
    <t>Cost</t>
  </si>
  <si>
    <t>Display</t>
  </si>
  <si>
    <t>Code</t>
  </si>
  <si>
    <t>Price</t>
  </si>
  <si>
    <t>Cut</t>
  </si>
  <si>
    <t>Line</t>
  </si>
  <si>
    <t>Mens</t>
  </si>
  <si>
    <t>Womens</t>
  </si>
  <si>
    <t>Youth</t>
  </si>
  <si>
    <t>Toddler</t>
  </si>
  <si>
    <t>Collection</t>
  </si>
  <si>
    <t>Sleeve</t>
  </si>
  <si>
    <t>Order</t>
  </si>
  <si>
    <t>Performance</t>
  </si>
  <si>
    <t>Tour</t>
  </si>
  <si>
    <t>Collar</t>
  </si>
  <si>
    <t>C&amp;S</t>
  </si>
  <si>
    <t>PerformanceShort</t>
  </si>
  <si>
    <t>PerformanceSleeveless</t>
  </si>
  <si>
    <t>PerformanceLong</t>
  </si>
  <si>
    <t>TourShort</t>
  </si>
  <si>
    <t>TourLong</t>
  </si>
  <si>
    <t>Size</t>
  </si>
  <si>
    <t>Length</t>
  </si>
  <si>
    <t>Logos</t>
  </si>
  <si>
    <t>Pct</t>
  </si>
  <si>
    <t>Flat</t>
  </si>
  <si>
    <t>Use</t>
  </si>
  <si>
    <t>Name</t>
  </si>
  <si>
    <t>Name Direction</t>
  </si>
  <si>
    <t>Production</t>
  </si>
  <si>
    <t>Upgrade</t>
  </si>
  <si>
    <t>Minimum</t>
  </si>
  <si>
    <t>Actual</t>
  </si>
  <si>
    <t>Fee</t>
  </si>
  <si>
    <t>Priority Production</t>
  </si>
  <si>
    <t>Yes</t>
  </si>
  <si>
    <t>Days</t>
  </si>
  <si>
    <t>Reorder</t>
  </si>
  <si>
    <t>Weekday</t>
  </si>
  <si>
    <t>Ship Days</t>
  </si>
  <si>
    <t>Shipping Service</t>
  </si>
  <si>
    <t>Holiday</t>
  </si>
  <si>
    <t>Details</t>
  </si>
  <si>
    <t>Order Date</t>
  </si>
  <si>
    <t>Approval Date</t>
  </si>
  <si>
    <t>Est Order Date</t>
  </si>
  <si>
    <t>In Transit</t>
  </si>
  <si>
    <t>Est Ship Date</t>
  </si>
  <si>
    <t>Delivery Date</t>
  </si>
  <si>
    <t>Description</t>
  </si>
  <si>
    <t>M</t>
  </si>
  <si>
    <t>MensCut</t>
  </si>
  <si>
    <t>A</t>
  </si>
  <si>
    <t>S</t>
  </si>
  <si>
    <t>1/4 Zip Sash</t>
  </si>
  <si>
    <t>ABS</t>
  </si>
  <si>
    <t>X-Small</t>
  </si>
  <si>
    <t>R</t>
  </si>
  <si>
    <t>+2</t>
  </si>
  <si>
    <t>Custom</t>
  </si>
  <si>
    <t>Creating The Difference</t>
  </si>
  <si>
    <t>CTD</t>
  </si>
  <si>
    <t>1-Line</t>
  </si>
  <si>
    <t>Bruss</t>
  </si>
  <si>
    <t>Style 3</t>
  </si>
  <si>
    <t>Express (approx 2 weeks) +25%</t>
  </si>
  <si>
    <t>Saturday</t>
  </si>
  <si>
    <t>Overnight</t>
  </si>
  <si>
    <t>WARNING</t>
  </si>
  <si>
    <t>It does not appear that we are able to meet your In Hand Date</t>
  </si>
  <si>
    <t>W</t>
  </si>
  <si>
    <t>WomensCut</t>
  </si>
  <si>
    <t>Tour-Line</t>
  </si>
  <si>
    <t>G</t>
  </si>
  <si>
    <t>Sleeveless</t>
  </si>
  <si>
    <t>N</t>
  </si>
  <si>
    <t>Polo</t>
  </si>
  <si>
    <t>A3S</t>
  </si>
  <si>
    <t>Small</t>
  </si>
  <si>
    <t>+4</t>
  </si>
  <si>
    <t>Custom On File</t>
  </si>
  <si>
    <t>Bowl4Life</t>
  </si>
  <si>
    <t>B4L</t>
  </si>
  <si>
    <t>PBA50</t>
  </si>
  <si>
    <t>Straight</t>
  </si>
  <si>
    <t>Cena</t>
  </si>
  <si>
    <t>Style 1</t>
  </si>
  <si>
    <t>Express (approx 2 weeks)</t>
  </si>
  <si>
    <t>Priority (approx 1 week) +35%</t>
  </si>
  <si>
    <t>Sunday</t>
  </si>
  <si>
    <t>Two Day</t>
  </si>
  <si>
    <t>Thanksgiving</t>
  </si>
  <si>
    <t>PRIORITY</t>
  </si>
  <si>
    <t>Y</t>
  </si>
  <si>
    <t>YouthCut</t>
  </si>
  <si>
    <t>Long</t>
  </si>
  <si>
    <t>L</t>
  </si>
  <si>
    <t>V-Neck</t>
  </si>
  <si>
    <t>ATSV</t>
  </si>
  <si>
    <t>+6</t>
  </si>
  <si>
    <t>900 Global</t>
  </si>
  <si>
    <t>900G</t>
  </si>
  <si>
    <t>Turbo</t>
  </si>
  <si>
    <t>PBA Jr</t>
  </si>
  <si>
    <t>PBAJR</t>
  </si>
  <si>
    <t>Collegiate</t>
  </si>
  <si>
    <t>Style 6</t>
  </si>
  <si>
    <t>Priority (approx 1 week)</t>
  </si>
  <si>
    <t>Monday</t>
  </si>
  <si>
    <t>3-Day Select</t>
  </si>
  <si>
    <t>Christmas</t>
  </si>
  <si>
    <t>T</t>
  </si>
  <si>
    <t>ToddlerCut</t>
  </si>
  <si>
    <t>Crew</t>
  </si>
  <si>
    <t>ATS</t>
  </si>
  <si>
    <t>Brunswick</t>
  </si>
  <si>
    <t>VISE</t>
  </si>
  <si>
    <t>Style 4</t>
  </si>
  <si>
    <t>Tuesday</t>
  </si>
  <si>
    <t>Ground</t>
  </si>
  <si>
    <t>New Years Day</t>
  </si>
  <si>
    <t>1/4 Zip Blade</t>
  </si>
  <si>
    <t>AZSB</t>
  </si>
  <si>
    <t>X</t>
  </si>
  <si>
    <t>Columbia</t>
  </si>
  <si>
    <t>US Flag</t>
  </si>
  <si>
    <t>USAFlag</t>
  </si>
  <si>
    <t>9-Tap</t>
  </si>
  <si>
    <t>9TAP</t>
  </si>
  <si>
    <t>Obelix</t>
  </si>
  <si>
    <t>Style 5</t>
  </si>
  <si>
    <t>Wednesday</t>
  </si>
  <si>
    <t>Memorial Day</t>
  </si>
  <si>
    <t>4th Monday</t>
  </si>
  <si>
    <t>EXPRESS</t>
  </si>
  <si>
    <t>3 Button Blade</t>
  </si>
  <si>
    <t>A3SB</t>
  </si>
  <si>
    <t>2X-Large</t>
  </si>
  <si>
    <t>DV8</t>
  </si>
  <si>
    <t>Canada Flag</t>
  </si>
  <si>
    <t>CanadaFlag</t>
  </si>
  <si>
    <t>Passing Notes</t>
  </si>
  <si>
    <t>Style 2</t>
  </si>
  <si>
    <t>Thursday</t>
  </si>
  <si>
    <t>Independence Day</t>
  </si>
  <si>
    <t>1/4 Zip Polo</t>
  </si>
  <si>
    <t>AZS</t>
  </si>
  <si>
    <t>3X-Large</t>
  </si>
  <si>
    <t>Ebonite</t>
  </si>
  <si>
    <t>Mexico Flag</t>
  </si>
  <si>
    <t>MexicoFlag</t>
  </si>
  <si>
    <t>Friday</t>
  </si>
  <si>
    <t>Labor Day</t>
  </si>
  <si>
    <t>1st Monday</t>
  </si>
  <si>
    <t>Mock Turtleneck</t>
  </si>
  <si>
    <t>AMS</t>
  </si>
  <si>
    <t>4X-Large</t>
  </si>
  <si>
    <t>Hammer</t>
  </si>
  <si>
    <t>4th Thursday</t>
  </si>
  <si>
    <t>STANDARD</t>
  </si>
  <si>
    <t>BowlRetro</t>
  </si>
  <si>
    <t>SIS</t>
  </si>
  <si>
    <t>5X-Large</t>
  </si>
  <si>
    <t>Lane Masters</t>
  </si>
  <si>
    <t>LaneMasters</t>
  </si>
  <si>
    <t>Lightweight Hoodie</t>
  </si>
  <si>
    <t>APSH</t>
  </si>
  <si>
    <t>6X-Large</t>
  </si>
  <si>
    <t>Legends</t>
  </si>
  <si>
    <t>US Flag (+$5.00)</t>
  </si>
  <si>
    <t>ABL</t>
  </si>
  <si>
    <t>7X-Large</t>
  </si>
  <si>
    <t>Lord Field</t>
  </si>
  <si>
    <t>LordField</t>
  </si>
  <si>
    <t>Canada Flag (+$5.00)</t>
  </si>
  <si>
    <t>A3L</t>
  </si>
  <si>
    <t>Master</t>
  </si>
  <si>
    <t>Mexico Flag (+$5.00)</t>
  </si>
  <si>
    <t>ATL</t>
  </si>
  <si>
    <t>Motiv</t>
  </si>
  <si>
    <t>Custom ($30 Per Order)</t>
  </si>
  <si>
    <t>ATLV</t>
  </si>
  <si>
    <t>Powerhouse</t>
  </si>
  <si>
    <t>AZL</t>
  </si>
  <si>
    <t>Radical</t>
  </si>
  <si>
    <t>900 Global (+$5.00)</t>
  </si>
  <si>
    <t>1/4 Zip Pullover</t>
  </si>
  <si>
    <t>APL</t>
  </si>
  <si>
    <t xml:space="preserve">Robby's </t>
  </si>
  <si>
    <t>Robbys</t>
  </si>
  <si>
    <t>Brunswick (+$5.00)</t>
  </si>
  <si>
    <t>APLH</t>
  </si>
  <si>
    <t>Roto-Grip</t>
  </si>
  <si>
    <t>Roto</t>
  </si>
  <si>
    <t>Columbia (+$5.00)</t>
  </si>
  <si>
    <t>Lightweight 1/4 Zip Hoodie</t>
  </si>
  <si>
    <t>APLH4</t>
  </si>
  <si>
    <t>Storm</t>
  </si>
  <si>
    <t>DV8 (+$5.00)</t>
  </si>
  <si>
    <t>ABN</t>
  </si>
  <si>
    <t>SWAG</t>
  </si>
  <si>
    <t>Ebonite (+$5.00)</t>
  </si>
  <si>
    <t>A3N</t>
  </si>
  <si>
    <t>Track</t>
  </si>
  <si>
    <t>Hammer (+$5.00)</t>
  </si>
  <si>
    <t>AVN</t>
  </si>
  <si>
    <t>Lane Masters (+$5.00)</t>
  </si>
  <si>
    <t>ATN</t>
  </si>
  <si>
    <t>Legends (+$5.00)</t>
  </si>
  <si>
    <t>APNH</t>
  </si>
  <si>
    <t>Lord Field (+$5.00)</t>
  </si>
  <si>
    <t>GBS</t>
  </si>
  <si>
    <t>Master (+$5.00)</t>
  </si>
  <si>
    <t>G3S</t>
  </si>
  <si>
    <t>Genesis</t>
  </si>
  <si>
    <t>Motiv (+$5.00)</t>
  </si>
  <si>
    <t>GVS</t>
  </si>
  <si>
    <t>Mongoose</t>
  </si>
  <si>
    <t>Powerhouse (+$5.00)</t>
  </si>
  <si>
    <t>GTS</t>
  </si>
  <si>
    <t>Real Bowlers Tape</t>
  </si>
  <si>
    <t>Radical (+$5.00)</t>
  </si>
  <si>
    <t>GZSB</t>
  </si>
  <si>
    <t>2T</t>
  </si>
  <si>
    <t>Ultimate</t>
  </si>
  <si>
    <t>Robby's  (+$5.00)</t>
  </si>
  <si>
    <t>G3SB</t>
  </si>
  <si>
    <t>3T</t>
  </si>
  <si>
    <t>Roto-Grip (+$5.00)</t>
  </si>
  <si>
    <t>GZS</t>
  </si>
  <si>
    <t>4T</t>
  </si>
  <si>
    <t>Storm (+$5.00)</t>
  </si>
  <si>
    <t>GMS</t>
  </si>
  <si>
    <t>5T</t>
  </si>
  <si>
    <t>SWAG (+$5.00)</t>
  </si>
  <si>
    <t>GBL</t>
  </si>
  <si>
    <t>Track (+$5.00)</t>
  </si>
  <si>
    <t>G3L</t>
  </si>
  <si>
    <t>Genesis (+$15.00)</t>
  </si>
  <si>
    <t>GVL</t>
  </si>
  <si>
    <t>GTL</t>
  </si>
  <si>
    <t>GZL</t>
  </si>
  <si>
    <t>Ultimate (+$5.00)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</si>
</sst>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_(* #,##0.00_);_(* \(#,##0.00\);_(* \-??_);_(@_)"/>
  </numFmts>
  <fonts count="21">
    <font>
      <sz val="11"/>
      <name val="Calibri"/>
      <charset val="1"/>
    </font>
    <font>
      <sz val="11"/>
      <color theme="1"/>
      <name val="Helvetica Neue"/>
      <family val="2"/>
      <charset val="1"/>
    </font>
    <font>
      <b/>
      <sz val="11"/>
      <name val="Calibri"/>
      <family val="2"/>
      <charset val="1"/>
    </font>
    <font>
      <b/>
      <sz val="11"/>
      <color theme="1" tint="0.3498947111423078"/>
      <name val="Calibri"/>
      <family val="2"/>
      <charset val="1"/>
    </font>
    <font>
      <sz val="11"/>
      <name val="Calibri"/>
      <family val="2"/>
      <charset val="1"/>
    </font>
    <font>
      <b/>
      <sz val="11"/>
      <color theme="9" tint="-0.499984740745262"/>
      <name val="Calibri"/>
      <family val="2"/>
      <charset val="1"/>
    </font>
    <font>
      <sz val="16"/>
      <name val="Calibri"/>
      <family val="2"/>
      <charset val="1"/>
    </font>
    <font>
      <b/>
      <sz val="16"/>
      <name val="Calibri"/>
      <family val="2"/>
      <charset val="1"/>
    </font>
    <font>
      <b/>
      <sz val="14"/>
      <name val="Calibri"/>
      <family val="2"/>
      <charset val="1"/>
    </font>
    <font>
      <b/>
      <sz val="24"/>
      <color rgb="FFC00000"/>
      <name val="Calibri"/>
      <family val="2"/>
      <charset val="1"/>
    </font>
    <font>
      <sz val="11"/>
      <color theme="0"/>
      <name val="Calibri"/>
      <family val="2"/>
      <charset val="1"/>
    </font>
    <font>
      <b/>
      <sz val="14"/>
      <color rgb="FFC00000"/>
      <name val="Calibri"/>
      <family val="2"/>
      <charset val="1"/>
    </font>
    <font>
      <b/>
      <sz val="12"/>
      <color theme="0"/>
      <name val="Calibri"/>
      <family val="2"/>
      <charset val="1"/>
    </font>
    <font>
      <b/>
      <sz val="14"/>
      <color rgb="FFFF0000"/>
      <name val="Calibri"/>
      <family val="2"/>
      <charset val="1"/>
    </font>
    <font>
      <b/>
      <sz val="18"/>
      <name val="Calibri"/>
      <family val="2"/>
      <charset val="1"/>
    </font>
    <font>
      <b/>
      <sz val="16"/>
      <color rgb="FFC00000"/>
      <name val="Calibri"/>
      <family val="2"/>
      <charset val="1"/>
    </font>
    <font>
      <b/>
      <sz val="7"/>
      <color rgb="FF222529"/>
      <name val="Arial"/>
      <family val="2"/>
      <charset val="1"/>
    </font>
    <font>
      <b/>
      <sz val="11"/>
      <color theme="0"/>
      <name val="Calibri"/>
      <family val="2"/>
      <charset val="1"/>
    </font>
    <font>
      <sz val="11"/>
      <color theme="1"/>
      <name val="Calibri"/>
      <family val="2"/>
      <charset val="1"/>
    </font>
    <font>
      <sz val="11"/>
      <color rgb="FF000000"/>
      <name val="Calibri"/>
      <family val="2"/>
      <charset val="1"/>
    </font>
    <font>
      <sz val="11"/>
      <name val="Calibri"/>
      <charset val="1"/>
    </font>
  </fonts>
  <fills count="14">
    <fill>
      <patternFill patternType="none"/>
    </fill>
    <fill>
      <patternFill patternType="gray125"/>
    </fill>
    <fill>
      <patternFill patternType="solid">
        <fgColor theme="1" tint="0.3498947111423078"/>
        <bgColor rgb="FF385724"/>
      </patternFill>
    </fill>
    <fill>
      <patternFill patternType="solid">
        <fgColor theme="9" tint="0.79989013336588644"/>
        <bgColor rgb="FFEDEDED"/>
      </patternFill>
    </fill>
    <fill>
      <patternFill patternType="solid">
        <fgColor theme="7" tint="0.79989013336588644"/>
        <bgColor rgb="FFFBE5D6"/>
      </patternFill>
    </fill>
    <fill>
      <patternFill patternType="solid">
        <fgColor theme="5" tint="0.79989013336588644"/>
        <bgColor rgb="FFFFF2CC"/>
      </patternFill>
    </fill>
    <fill>
      <patternFill patternType="solid">
        <fgColor theme="4" tint="0.79989013336588644"/>
        <bgColor rgb="FFD9D9D9"/>
      </patternFill>
    </fill>
    <fill>
      <patternFill patternType="solid">
        <fgColor theme="4" tint="0.39988402966399123"/>
        <bgColor rgb="FF969696"/>
      </patternFill>
    </fill>
    <fill>
      <patternFill patternType="solid">
        <fgColor rgb="FFFFFF00"/>
        <bgColor rgb="FFFFFF00"/>
      </patternFill>
    </fill>
    <fill>
      <patternFill patternType="solid">
        <fgColor theme="3" tint="0.79989013336588644"/>
        <bgColor rgb="FFE2F0D9"/>
      </patternFill>
    </fill>
    <fill>
      <patternFill patternType="solid">
        <fgColor theme="3" tint="0.39988402966399123"/>
        <bgColor rgb="FFD0D7E5"/>
      </patternFill>
    </fill>
    <fill>
      <patternFill patternType="solid">
        <fgColor theme="1"/>
        <bgColor rgb="FF222529"/>
      </patternFill>
    </fill>
    <fill>
      <patternFill patternType="solid">
        <fgColor theme="4"/>
        <bgColor rgb="FF0066CC"/>
      </patternFill>
    </fill>
    <fill>
      <patternFill patternType="solid">
        <fgColor theme="0" tint="-0.14999847407452621"/>
        <bgColor rgb="FFD0D7E5"/>
      </patternFill>
    </fill>
  </fills>
  <borders count="3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medium">
        <color theme="1"/>
      </top>
      <bottom style="medium">
        <color theme="1"/>
      </bottom>
      <diagonal/>
    </border>
    <border>
      <left style="thin">
        <color theme="4"/>
      </left>
      <right/>
      <top style="thin">
        <color theme="4"/>
      </top>
      <bottom/>
      <diagonal/>
    </border>
    <border>
      <left style="thin">
        <color rgb="FFD0D7E5"/>
      </left>
      <right style="thin">
        <color rgb="FFD0D7E5"/>
      </right>
      <top style="thin">
        <color rgb="FFD0D7E5"/>
      </top>
      <bottom style="thin">
        <color rgb="FFD0D7E5"/>
      </bottom>
      <diagonal/>
    </border>
    <border>
      <left/>
      <right/>
      <top/>
      <bottom style="medium">
        <color theme="1"/>
      </bottom>
      <diagonal/>
    </border>
    <border>
      <left style="thin">
        <color theme="4"/>
      </left>
      <right/>
      <top style="thin">
        <color theme="4"/>
      </top>
      <bottom style="thin">
        <color theme="4"/>
      </bottom>
      <diagonal/>
    </border>
    <border>
      <left style="thin">
        <color rgb="FFD0D7E5"/>
      </left>
      <right style="thin">
        <color rgb="FFD0D7E5"/>
      </right>
      <top style="thin">
        <color rgb="FFD0D7E5"/>
      </top>
      <bottom/>
      <diagonal/>
    </border>
  </borders>
  <cellStyleXfs count="5">
    <xf numFmtId="0" fontId="0" fillId="0" borderId="0"/>
    <xf numFmtId="165" fontId="20" fillId="0" borderId="0" applyBorder="0" applyProtection="0"/>
    <xf numFmtId="9" fontId="20" fillId="0" borderId="0" applyBorder="0" applyProtection="0"/>
    <xf numFmtId="0" fontId="1" fillId="0" borderId="0"/>
    <xf numFmtId="0" fontId="1" fillId="0" borderId="0"/>
  </cellStyleXfs>
  <cellXfs count="193">
    <xf numFmtId="0" fontId="0" fillId="0" borderId="0" xfId="0"/>
    <xf numFmtId="0" fontId="14" fillId="6" borderId="0" xfId="0" applyFont="1" applyFill="1" applyAlignment="1">
      <alignment horizontal="center"/>
    </xf>
    <xf numFmtId="0" fontId="15" fillId="0" borderId="0" xfId="0" applyFont="1" applyAlignment="1">
      <alignment horizontal="center" vertical="center" wrapText="1"/>
    </xf>
    <xf numFmtId="0" fontId="2" fillId="3" borderId="1" xfId="0" applyFont="1" applyFill="1" applyBorder="1" applyAlignment="1">
      <alignment horizontal="left" vertical="center"/>
    </xf>
    <xf numFmtId="0" fontId="13" fillId="0" borderId="0" xfId="0" applyFont="1" applyAlignment="1">
      <alignment horizontal="left" vertical="center" wrapText="1"/>
    </xf>
    <xf numFmtId="0" fontId="12" fillId="11" borderId="22" xfId="0" applyFont="1" applyFill="1" applyBorder="1" applyAlignment="1">
      <alignment horizontal="center" vertical="center" wrapText="1"/>
    </xf>
    <xf numFmtId="0" fontId="11" fillId="0" borderId="0" xfId="0" applyFont="1" applyAlignment="1">
      <alignment horizontal="left" vertical="center" wrapText="1"/>
    </xf>
    <xf numFmtId="164" fontId="8" fillId="4" borderId="3" xfId="0" applyNumberFormat="1" applyFont="1" applyFill="1" applyBorder="1" applyAlignment="1">
      <alignment horizontal="center" vertical="center"/>
    </xf>
    <xf numFmtId="0" fontId="9" fillId="0" borderId="0" xfId="0" applyFont="1" applyAlignment="1">
      <alignment horizontal="left" vertical="top"/>
    </xf>
    <xf numFmtId="0" fontId="2" fillId="3" borderId="1" xfId="0" applyFont="1" applyFill="1" applyBorder="1" applyAlignment="1">
      <alignment horizontal="left" vertical="center" wrapText="1"/>
    </xf>
    <xf numFmtId="0" fontId="0" fillId="0" borderId="0" xfId="0" applyAlignment="1">
      <alignment horizontal="right"/>
    </xf>
    <xf numFmtId="0" fontId="0" fillId="2" borderId="0" xfId="0" applyFill="1"/>
    <xf numFmtId="0" fontId="0" fillId="2" borderId="0" xfId="0" applyFill="1" applyAlignment="1">
      <alignment horizontal="right"/>
    </xf>
    <xf numFmtId="0" fontId="2" fillId="2" borderId="0" xfId="0" applyFont="1" applyFill="1" applyAlignment="1">
      <alignment vertical="center"/>
    </xf>
    <xf numFmtId="0" fontId="2" fillId="3" borderId="1" xfId="0" applyFont="1" applyFill="1" applyBorder="1" applyAlignment="1">
      <alignment vertical="center"/>
    </xf>
    <xf numFmtId="0" fontId="2" fillId="3" borderId="2" xfId="0" applyFont="1" applyFill="1" applyBorder="1" applyAlignment="1">
      <alignment vertical="center"/>
    </xf>
    <xf numFmtId="0" fontId="2" fillId="4" borderId="3" xfId="0" applyFont="1" applyFill="1" applyBorder="1" applyAlignment="1">
      <alignment horizontal="right" vertical="center"/>
    </xf>
    <xf numFmtId="0" fontId="2" fillId="0" borderId="0" xfId="0" applyFont="1" applyAlignment="1">
      <alignment vertical="center"/>
    </xf>
    <xf numFmtId="0" fontId="2" fillId="2" borderId="0" xfId="0" applyFont="1" applyFill="1" applyAlignment="1">
      <alignment vertical="center" wrapText="1"/>
    </xf>
    <xf numFmtId="164" fontId="2" fillId="4" borderId="3" xfId="0" applyNumberFormat="1" applyFont="1" applyFill="1" applyBorder="1" applyAlignment="1">
      <alignment vertical="center"/>
    </xf>
    <xf numFmtId="1" fontId="2" fillId="4" borderId="3" xfId="0" applyNumberFormat="1" applyFont="1" applyFill="1" applyBorder="1" applyAlignment="1">
      <alignment vertical="center"/>
    </xf>
    <xf numFmtId="0" fontId="2" fillId="3" borderId="3" xfId="0" applyFont="1" applyFill="1" applyBorder="1" applyAlignment="1">
      <alignment horizontal="right" vertical="center"/>
    </xf>
    <xf numFmtId="0" fontId="3" fillId="2" borderId="0" xfId="0" applyFont="1" applyFill="1" applyAlignment="1">
      <alignment vertical="center"/>
    </xf>
    <xf numFmtId="0" fontId="0" fillId="2" borderId="0" xfId="0" applyFill="1" applyAlignment="1">
      <alignment vertical="center" wrapText="1"/>
    </xf>
    <xf numFmtId="0" fontId="4" fillId="0" borderId="4" xfId="0" applyFont="1" applyBorder="1" applyAlignment="1">
      <alignment vertical="center"/>
    </xf>
    <xf numFmtId="0" fontId="4" fillId="0" borderId="0" xfId="0" applyFont="1" applyAlignment="1">
      <alignment vertical="center"/>
    </xf>
    <xf numFmtId="164" fontId="0" fillId="0" borderId="5" xfId="0" applyNumberFormat="1" applyBorder="1" applyAlignment="1">
      <alignment horizontal="right" vertical="center" wrapText="1"/>
    </xf>
    <xf numFmtId="0" fontId="0" fillId="2" borderId="0" xfId="0" applyFill="1" applyAlignment="1">
      <alignment vertical="center"/>
    </xf>
    <xf numFmtId="0" fontId="0" fillId="0" borderId="0" xfId="0" applyAlignment="1">
      <alignment vertical="center"/>
    </xf>
    <xf numFmtId="0" fontId="2" fillId="5" borderId="6" xfId="0" applyFont="1" applyFill="1" applyBorder="1" applyAlignment="1">
      <alignment vertical="center"/>
    </xf>
    <xf numFmtId="0" fontId="2" fillId="5" borderId="7" xfId="0" applyFont="1" applyFill="1" applyBorder="1" applyAlignment="1">
      <alignment vertical="center"/>
    </xf>
    <xf numFmtId="1" fontId="4" fillId="5" borderId="8" xfId="0" applyNumberFormat="1" applyFont="1" applyFill="1" applyBorder="1" applyAlignment="1">
      <alignment horizontal="right" vertical="center"/>
    </xf>
    <xf numFmtId="0" fontId="0" fillId="2" borderId="0" xfId="0" applyFill="1" applyAlignment="1">
      <alignment vertical="top" wrapText="1"/>
    </xf>
    <xf numFmtId="0" fontId="2" fillId="5" borderId="4" xfId="0" applyFont="1" applyFill="1" applyBorder="1" applyAlignment="1">
      <alignment vertical="top" wrapText="1"/>
    </xf>
    <xf numFmtId="0" fontId="2" fillId="5" borderId="0" xfId="0" applyFont="1" applyFill="1" applyAlignment="1">
      <alignment vertical="top" wrapText="1"/>
    </xf>
    <xf numFmtId="164" fontId="4" fillId="5" borderId="5" xfId="0" applyNumberFormat="1" applyFont="1" applyFill="1" applyBorder="1" applyAlignment="1">
      <alignment horizontal="right" vertical="top"/>
    </xf>
    <xf numFmtId="0" fontId="0" fillId="2" borderId="0" xfId="0" applyFill="1" applyAlignment="1">
      <alignment vertical="top"/>
    </xf>
    <xf numFmtId="0" fontId="0" fillId="0" borderId="0" xfId="0" applyAlignment="1">
      <alignment vertical="top"/>
    </xf>
    <xf numFmtId="0" fontId="2" fillId="5" borderId="4" xfId="0" applyFont="1" applyFill="1" applyBorder="1" applyAlignment="1">
      <alignment vertical="center"/>
    </xf>
    <xf numFmtId="0" fontId="2" fillId="5" borderId="0" xfId="0" applyFont="1" applyFill="1" applyAlignment="1">
      <alignment vertical="center"/>
    </xf>
    <xf numFmtId="164" fontId="4" fillId="5" borderId="5" xfId="0" applyNumberFormat="1" applyFont="1" applyFill="1" applyBorder="1" applyAlignment="1">
      <alignment horizontal="right" vertical="center"/>
    </xf>
    <xf numFmtId="1" fontId="4" fillId="5" borderId="5" xfId="0" applyNumberFormat="1" applyFont="1" applyFill="1" applyBorder="1" applyAlignment="1">
      <alignment horizontal="right" vertical="center"/>
    </xf>
    <xf numFmtId="0" fontId="2" fillId="5" borderId="9" xfId="0" applyFont="1" applyFill="1" applyBorder="1" applyAlignment="1">
      <alignment vertical="center"/>
    </xf>
    <xf numFmtId="0" fontId="2" fillId="5" borderId="10" xfId="0" applyFont="1" applyFill="1" applyBorder="1" applyAlignment="1">
      <alignment vertical="center"/>
    </xf>
    <xf numFmtId="9" fontId="4" fillId="5" borderId="11" xfId="2" applyFont="1" applyFill="1" applyBorder="1" applyAlignment="1" applyProtection="1">
      <alignment horizontal="right" vertical="center"/>
    </xf>
    <xf numFmtId="0" fontId="0" fillId="0" borderId="4" xfId="0" applyBorder="1" applyAlignment="1">
      <alignment vertical="center" wrapText="1"/>
    </xf>
    <xf numFmtId="0" fontId="0" fillId="0" borderId="0" xfId="0" applyAlignment="1">
      <alignment vertical="center" wrapText="1"/>
    </xf>
    <xf numFmtId="164" fontId="4" fillId="0" borderId="5" xfId="0" applyNumberFormat="1" applyFont="1" applyBorder="1" applyAlignment="1">
      <alignment horizontal="right" vertical="center"/>
    </xf>
    <xf numFmtId="0" fontId="2" fillId="6" borderId="12" xfId="0" applyFont="1" applyFill="1" applyBorder="1" applyAlignment="1">
      <alignment vertical="center"/>
    </xf>
    <xf numFmtId="0" fontId="4" fillId="6" borderId="13" xfId="0" applyFont="1" applyFill="1" applyBorder="1" applyAlignment="1">
      <alignment vertical="center"/>
    </xf>
    <xf numFmtId="164" fontId="2" fillId="7" borderId="14" xfId="0" applyNumberFormat="1" applyFont="1" applyFill="1" applyBorder="1" applyAlignment="1">
      <alignment horizontal="right" vertical="center"/>
    </xf>
    <xf numFmtId="0" fontId="2" fillId="6" borderId="4" xfId="0" applyFont="1" applyFill="1" applyBorder="1" applyAlignment="1">
      <alignment vertical="center"/>
    </xf>
    <xf numFmtId="0" fontId="4" fillId="6" borderId="0" xfId="0" applyFont="1" applyFill="1" applyAlignment="1">
      <alignment vertical="center"/>
    </xf>
    <xf numFmtId="164" fontId="4" fillId="6" borderId="5" xfId="0" applyNumberFormat="1" applyFont="1" applyFill="1" applyBorder="1" applyAlignment="1">
      <alignment horizontal="right" vertical="center"/>
    </xf>
    <xf numFmtId="0" fontId="2" fillId="6" borderId="15" xfId="0" applyFont="1" applyFill="1" applyBorder="1" applyAlignment="1">
      <alignment vertical="center"/>
    </xf>
    <xf numFmtId="0" fontId="2" fillId="6" borderId="16" xfId="0" applyFont="1" applyFill="1" applyBorder="1" applyAlignment="1">
      <alignment vertical="center"/>
    </xf>
    <xf numFmtId="164" fontId="2" fillId="7" borderId="17" xfId="0" applyNumberFormat="1" applyFont="1" applyFill="1" applyBorder="1" applyAlignment="1">
      <alignment horizontal="right" vertical="center"/>
    </xf>
    <xf numFmtId="9" fontId="2" fillId="5" borderId="0" xfId="2" applyFont="1" applyFill="1" applyBorder="1" applyAlignment="1" applyProtection="1">
      <alignment vertical="center"/>
    </xf>
    <xf numFmtId="0" fontId="0" fillId="2" borderId="0" xfId="0" applyFill="1" applyAlignment="1">
      <alignment horizontal="left" vertical="center"/>
    </xf>
    <xf numFmtId="0" fontId="2" fillId="6" borderId="15" xfId="0" applyFont="1" applyFill="1" applyBorder="1" applyAlignment="1">
      <alignment horizontal="left" vertical="center" wrapText="1"/>
    </xf>
    <xf numFmtId="0" fontId="2" fillId="6" borderId="16" xfId="0" applyFont="1" applyFill="1" applyBorder="1" applyAlignment="1">
      <alignment horizontal="left" vertical="center"/>
    </xf>
    <xf numFmtId="0" fontId="0" fillId="0" borderId="0" xfId="0" applyAlignment="1">
      <alignment horizontal="left" vertical="center"/>
    </xf>
    <xf numFmtId="0" fontId="4" fillId="2" borderId="0" xfId="0" applyFont="1" applyFill="1" applyAlignment="1">
      <alignment vertical="center"/>
    </xf>
    <xf numFmtId="164" fontId="5" fillId="3" borderId="1" xfId="0" applyNumberFormat="1" applyFont="1" applyFill="1" applyBorder="1" applyAlignment="1">
      <alignment vertical="center" wrapText="1"/>
    </xf>
    <xf numFmtId="164" fontId="5" fillId="3" borderId="2" xfId="0" applyNumberFormat="1" applyFont="1" applyFill="1" applyBorder="1" applyAlignment="1">
      <alignment vertical="center" wrapText="1"/>
    </xf>
    <xf numFmtId="164" fontId="2" fillId="4" borderId="18" xfId="0" applyNumberFormat="1" applyFont="1" applyFill="1" applyBorder="1" applyAlignment="1">
      <alignment vertical="center"/>
    </xf>
    <xf numFmtId="164" fontId="0" fillId="6" borderId="5" xfId="0" applyNumberFormat="1" applyFill="1" applyBorder="1" applyAlignment="1">
      <alignment horizontal="right" vertical="center"/>
    </xf>
    <xf numFmtId="0" fontId="6" fillId="2" borderId="0" xfId="0" applyFont="1" applyFill="1" applyAlignment="1">
      <alignment vertical="center"/>
    </xf>
    <xf numFmtId="0" fontId="7" fillId="8" borderId="19" xfId="0" applyFont="1" applyFill="1" applyBorder="1" applyAlignment="1">
      <alignment vertical="center"/>
    </xf>
    <xf numFmtId="0" fontId="6" fillId="8" borderId="20" xfId="0" applyFont="1" applyFill="1" applyBorder="1" applyAlignment="1">
      <alignment vertical="center"/>
    </xf>
    <xf numFmtId="164" fontId="7" fillId="8" borderId="21" xfId="0" applyNumberFormat="1" applyFont="1" applyFill="1" applyBorder="1" applyAlignment="1">
      <alignment horizontal="right" vertical="center"/>
    </xf>
    <xf numFmtId="0" fontId="6" fillId="0" borderId="0" xfId="0" applyFont="1" applyAlignment="1">
      <alignment vertical="center"/>
    </xf>
    <xf numFmtId="0" fontId="7" fillId="0" borderId="4" xfId="0" applyFont="1" applyBorder="1" applyAlignment="1">
      <alignment vertical="center"/>
    </xf>
    <xf numFmtId="164" fontId="7" fillId="0" borderId="5" xfId="0" applyNumberFormat="1" applyFont="1" applyBorder="1" applyAlignment="1">
      <alignment horizontal="right" vertical="center"/>
    </xf>
    <xf numFmtId="0" fontId="2" fillId="0" borderId="4" xfId="0" applyFont="1" applyBorder="1"/>
    <xf numFmtId="164" fontId="0" fillId="0" borderId="5" xfId="0" applyNumberFormat="1" applyBorder="1" applyAlignment="1">
      <alignment horizontal="right"/>
    </xf>
    <xf numFmtId="0" fontId="2" fillId="9" borderId="1" xfId="0" applyFont="1" applyFill="1" applyBorder="1" applyAlignment="1">
      <alignment vertical="center"/>
    </xf>
    <xf numFmtId="0" fontId="0" fillId="9" borderId="2" xfId="0" applyFill="1" applyBorder="1"/>
    <xf numFmtId="164" fontId="0" fillId="10" borderId="18" xfId="0" applyNumberFormat="1" applyFill="1" applyBorder="1" applyAlignment="1">
      <alignment horizontal="right"/>
    </xf>
    <xf numFmtId="0" fontId="2" fillId="9" borderId="9" xfId="0" applyFont="1" applyFill="1" applyBorder="1" applyAlignment="1">
      <alignment vertical="center"/>
    </xf>
    <xf numFmtId="0" fontId="0" fillId="9" borderId="10" xfId="0" applyFill="1" applyBorder="1"/>
    <xf numFmtId="164" fontId="0" fillId="10" borderId="11" xfId="0" applyNumberFormat="1" applyFill="1" applyBorder="1" applyAlignment="1">
      <alignment horizontal="right"/>
    </xf>
    <xf numFmtId="0" fontId="0" fillId="0" borderId="0" xfId="0" applyAlignment="1">
      <alignment horizontal="center"/>
    </xf>
    <xf numFmtId="1" fontId="20" fillId="0" borderId="0" xfId="1" applyNumberFormat="1" applyBorder="1" applyAlignment="1" applyProtection="1">
      <alignment horizontal="center"/>
    </xf>
    <xf numFmtId="164" fontId="2" fillId="2" borderId="0" xfId="0" applyNumberFormat="1" applyFont="1" applyFill="1"/>
    <xf numFmtId="0" fontId="0" fillId="2" borderId="0" xfId="0" applyFill="1" applyAlignment="1">
      <alignment horizontal="center"/>
    </xf>
    <xf numFmtId="164" fontId="0" fillId="2" borderId="0" xfId="0" applyNumberFormat="1" applyFill="1" applyAlignment="1">
      <alignment horizontal="center"/>
    </xf>
    <xf numFmtId="1" fontId="20" fillId="2" borderId="0" xfId="1" applyNumberFormat="1" applyFill="1" applyBorder="1" applyAlignment="1" applyProtection="1">
      <alignment horizontal="center"/>
    </xf>
    <xf numFmtId="164" fontId="0" fillId="2" borderId="0" xfId="0" applyNumberFormat="1" applyFill="1" applyAlignment="1">
      <alignment vertical="center"/>
    </xf>
    <xf numFmtId="0" fontId="2" fillId="3" borderId="18" xfId="0" applyFont="1" applyFill="1" applyBorder="1" applyAlignment="1">
      <alignment horizontal="center" vertical="center"/>
    </xf>
    <xf numFmtId="14" fontId="8" fillId="4" borderId="3" xfId="0" applyNumberFormat="1" applyFont="1" applyFill="1" applyBorder="1" applyAlignment="1">
      <alignment horizontal="center" vertical="center"/>
    </xf>
    <xf numFmtId="1" fontId="20" fillId="0" borderId="0" xfId="1" applyNumberFormat="1" applyBorder="1" applyAlignment="1" applyProtection="1">
      <alignment horizontal="center" vertical="center"/>
    </xf>
    <xf numFmtId="0" fontId="10" fillId="0" borderId="0" xfId="0" applyFont="1" applyAlignment="1">
      <alignment horizontal="center" vertical="center"/>
    </xf>
    <xf numFmtId="0" fontId="0" fillId="0" borderId="0" xfId="0" applyAlignment="1">
      <alignment horizontal="center" vertical="center"/>
    </xf>
    <xf numFmtId="164" fontId="2" fillId="3" borderId="1" xfId="0" applyNumberFormat="1" applyFont="1" applyFill="1" applyBorder="1" applyAlignment="1">
      <alignment horizontal="left" vertical="center"/>
    </xf>
    <xf numFmtId="164" fontId="2" fillId="3" borderId="2" xfId="0" applyNumberFormat="1" applyFont="1" applyFill="1" applyBorder="1" applyAlignment="1">
      <alignment horizontal="left" vertical="center"/>
    </xf>
    <xf numFmtId="0" fontId="8" fillId="3" borderId="1" xfId="0" applyFont="1" applyFill="1" applyBorder="1" applyAlignment="1">
      <alignment vertical="center"/>
    </xf>
    <xf numFmtId="0" fontId="2" fillId="3" borderId="3" xfId="0" applyFont="1" applyFill="1" applyBorder="1" applyAlignment="1">
      <alignment horizontal="center" vertical="center"/>
    </xf>
    <xf numFmtId="164" fontId="2" fillId="0" borderId="0" xfId="0" applyNumberFormat="1" applyFont="1" applyAlignment="1">
      <alignment horizontal="right" vertical="center"/>
    </xf>
    <xf numFmtId="0" fontId="13" fillId="0" borderId="0" xfId="0" applyFont="1" applyAlignment="1">
      <alignment horizontal="left" vertical="center" wrapText="1"/>
    </xf>
    <xf numFmtId="0" fontId="2" fillId="3" borderId="4" xfId="0" applyFont="1" applyFill="1" applyBorder="1" applyAlignment="1">
      <alignment vertical="center"/>
    </xf>
    <xf numFmtId="0" fontId="2" fillId="3" borderId="0" xfId="0" applyFont="1" applyFill="1" applyAlignment="1">
      <alignment vertical="center"/>
    </xf>
    <xf numFmtId="0" fontId="2" fillId="3" borderId="22" xfId="0" applyFont="1" applyFill="1" applyBorder="1" applyAlignment="1">
      <alignment horizontal="center" vertical="center"/>
    </xf>
    <xf numFmtId="14" fontId="2" fillId="5" borderId="22" xfId="0" applyNumberFormat="1" applyFont="1" applyFill="1" applyBorder="1" applyAlignment="1">
      <alignment horizontal="center" vertical="center"/>
    </xf>
    <xf numFmtId="164" fontId="14" fillId="0" borderId="0" xfId="0" applyNumberFormat="1" applyFont="1" applyAlignment="1">
      <alignment vertical="center"/>
    </xf>
    <xf numFmtId="0" fontId="2" fillId="3" borderId="6" xfId="0" applyFont="1" applyFill="1" applyBorder="1" applyAlignment="1">
      <alignment vertical="center"/>
    </xf>
    <xf numFmtId="0" fontId="2" fillId="3" borderId="7" xfId="0" applyFont="1" applyFill="1" applyBorder="1" applyAlignment="1">
      <alignment vertical="center"/>
    </xf>
    <xf numFmtId="0" fontId="2" fillId="3" borderId="23" xfId="0" applyFont="1" applyFill="1" applyBorder="1" applyAlignment="1">
      <alignment horizontal="center" vertical="center"/>
    </xf>
    <xf numFmtId="0" fontId="10" fillId="0" borderId="0" xfId="0" applyFont="1" applyAlignment="1">
      <alignment vertical="center"/>
    </xf>
    <xf numFmtId="0" fontId="2" fillId="3" borderId="18" xfId="0" applyFont="1" applyFill="1" applyBorder="1" applyAlignment="1">
      <alignment vertical="center"/>
    </xf>
    <xf numFmtId="0" fontId="11" fillId="0" borderId="0" xfId="0" applyFont="1" applyAlignment="1">
      <alignment vertical="center" wrapText="1"/>
    </xf>
    <xf numFmtId="0" fontId="13" fillId="0" borderId="0" xfId="0" applyFont="1" applyAlignment="1">
      <alignment vertical="center"/>
    </xf>
    <xf numFmtId="0" fontId="11" fillId="0" borderId="0" xfId="0" applyFont="1" applyAlignment="1">
      <alignment horizontal="center" vertical="center" wrapText="1"/>
    </xf>
    <xf numFmtId="0" fontId="15" fillId="0" borderId="0" xfId="0" applyFont="1" applyAlignment="1">
      <alignment vertical="center" wrapText="1"/>
    </xf>
    <xf numFmtId="14" fontId="10" fillId="0" borderId="0" xfId="0" applyNumberFormat="1" applyFont="1" applyAlignment="1">
      <alignment vertical="center"/>
    </xf>
    <xf numFmtId="0" fontId="2" fillId="5" borderId="22" xfId="0" applyFont="1" applyFill="1" applyBorder="1" applyAlignment="1">
      <alignment horizontal="center" vertical="center"/>
    </xf>
    <xf numFmtId="0" fontId="2" fillId="3" borderId="9" xfId="0" applyFont="1" applyFill="1" applyBorder="1" applyAlignment="1">
      <alignment vertical="center"/>
    </xf>
    <xf numFmtId="0" fontId="2" fillId="3" borderId="10" xfId="0" applyFont="1" applyFill="1" applyBorder="1" applyAlignment="1">
      <alignment vertical="center"/>
    </xf>
    <xf numFmtId="0" fontId="2" fillId="3" borderId="24" xfId="0" applyFont="1" applyFill="1" applyBorder="1" applyAlignment="1">
      <alignment horizontal="center" vertical="center"/>
    </xf>
    <xf numFmtId="14" fontId="2" fillId="5" borderId="24" xfId="0" applyNumberFormat="1" applyFont="1" applyFill="1" applyBorder="1" applyAlignment="1">
      <alignment horizontal="center" vertical="center"/>
    </xf>
    <xf numFmtId="164" fontId="2" fillId="0" borderId="0" xfId="0" applyNumberFormat="1" applyFont="1" applyAlignment="1">
      <alignment horizontal="left" vertical="center" wrapText="1"/>
    </xf>
    <xf numFmtId="1" fontId="2" fillId="0" borderId="0" xfId="1" applyNumberFormat="1" applyFont="1" applyBorder="1" applyAlignment="1" applyProtection="1">
      <alignment horizontal="left" vertical="center" wrapText="1"/>
    </xf>
    <xf numFmtId="0" fontId="2" fillId="3" borderId="14" xfId="0" applyFont="1" applyFill="1" applyBorder="1" applyAlignment="1">
      <alignment horizontal="center" wrapText="1"/>
    </xf>
    <xf numFmtId="49" fontId="2" fillId="3" borderId="25" xfId="0" applyNumberFormat="1" applyFont="1" applyFill="1" applyBorder="1" applyAlignment="1">
      <alignment horizontal="center" wrapText="1"/>
    </xf>
    <xf numFmtId="1" fontId="2" fillId="3" borderId="25" xfId="1" applyNumberFormat="1" applyFont="1" applyFill="1" applyBorder="1" applyAlignment="1" applyProtection="1">
      <alignment horizontal="center"/>
    </xf>
    <xf numFmtId="49" fontId="2" fillId="3" borderId="25" xfId="0" applyNumberFormat="1" applyFont="1" applyFill="1" applyBorder="1" applyAlignment="1">
      <alignment horizontal="center"/>
    </xf>
    <xf numFmtId="164" fontId="0" fillId="2" borderId="25" xfId="0" applyNumberFormat="1" applyFill="1" applyBorder="1"/>
    <xf numFmtId="0" fontId="0" fillId="0" borderId="25" xfId="0" applyBorder="1"/>
    <xf numFmtId="0" fontId="2" fillId="3" borderId="26" xfId="0" applyFont="1" applyFill="1" applyBorder="1" applyAlignment="1">
      <alignment horizontal="center" vertical="center"/>
    </xf>
    <xf numFmtId="49" fontId="16" fillId="4" borderId="27" xfId="0" applyNumberFormat="1" applyFont="1" applyFill="1" applyBorder="1" applyAlignment="1">
      <alignment horizontal="center" vertical="center" wrapText="1"/>
    </xf>
    <xf numFmtId="1" fontId="20" fillId="4" borderId="27" xfId="1" applyNumberFormat="1" applyFill="1" applyBorder="1" applyAlignment="1" applyProtection="1">
      <alignment horizontal="center" vertical="center"/>
    </xf>
    <xf numFmtId="49" fontId="0" fillId="4" borderId="27" xfId="0" applyNumberFormat="1" applyFill="1" applyBorder="1" applyAlignment="1">
      <alignment horizontal="center" vertical="center"/>
    </xf>
    <xf numFmtId="49" fontId="4" fillId="4" borderId="27" xfId="0" applyNumberFormat="1" applyFont="1" applyFill="1" applyBorder="1" applyAlignment="1">
      <alignment horizontal="center" vertical="center"/>
    </xf>
    <xf numFmtId="0" fontId="1" fillId="0" borderId="3" xfId="4" applyBorder="1" applyAlignment="1">
      <alignment horizontal="center" wrapText="1"/>
    </xf>
    <xf numFmtId="0" fontId="4" fillId="4" borderId="28" xfId="0" applyFont="1" applyFill="1" applyBorder="1" applyAlignment="1">
      <alignment horizontal="center" vertical="center" wrapText="1"/>
    </xf>
    <xf numFmtId="0" fontId="2" fillId="3" borderId="29" xfId="0" applyFont="1" applyFill="1" applyBorder="1" applyAlignment="1">
      <alignment horizontal="center" vertical="center"/>
    </xf>
    <xf numFmtId="49" fontId="4" fillId="4" borderId="27" xfId="0" applyNumberFormat="1" applyFont="1" applyFill="1" applyBorder="1" applyAlignment="1">
      <alignment horizontal="center" vertical="center" wrapText="1"/>
    </xf>
    <xf numFmtId="0" fontId="0" fillId="4" borderId="28" xfId="0" applyFill="1" applyBorder="1" applyAlignment="1">
      <alignment horizontal="center" vertical="center" wrapText="1"/>
    </xf>
    <xf numFmtId="1" fontId="20" fillId="4" borderId="28" xfId="1" applyNumberFormat="1" applyFill="1" applyBorder="1" applyAlignment="1" applyProtection="1">
      <alignment horizontal="center" vertical="center"/>
    </xf>
    <xf numFmtId="0" fontId="0" fillId="4" borderId="28" xfId="0" applyFill="1" applyBorder="1" applyAlignment="1">
      <alignment horizontal="center" vertical="center"/>
    </xf>
    <xf numFmtId="0" fontId="0" fillId="2" borderId="0" xfId="0" applyFill="1" applyAlignment="1">
      <alignment horizontal="center" vertical="center"/>
    </xf>
    <xf numFmtId="1" fontId="20" fillId="2" borderId="0" xfId="1" applyNumberFormat="1" applyFill="1" applyBorder="1" applyAlignment="1" applyProtection="1">
      <alignment horizontal="center" vertical="center"/>
    </xf>
    <xf numFmtId="0" fontId="0" fillId="2" borderId="0" xfId="0" applyFill="1" applyAlignment="1">
      <alignment horizontal="center" vertical="center" wrapText="1"/>
    </xf>
    <xf numFmtId="0" fontId="0" fillId="0" borderId="0" xfId="0" applyAlignment="1">
      <alignment horizontal="center" wrapText="1"/>
    </xf>
    <xf numFmtId="9" fontId="20" fillId="0" borderId="0" xfId="2" applyBorder="1" applyProtection="1"/>
    <xf numFmtId="164" fontId="0" fillId="0" borderId="0" xfId="0" applyNumberFormat="1"/>
    <xf numFmtId="49" fontId="0" fillId="0" borderId="0" xfId="0" applyNumberFormat="1" applyAlignment="1">
      <alignment horizontal="center"/>
    </xf>
    <xf numFmtId="49" fontId="0" fillId="0" borderId="0" xfId="0" applyNumberFormat="1"/>
    <xf numFmtId="0" fontId="0" fillId="0" borderId="0" xfId="0" applyAlignment="1">
      <alignment horizontal="left"/>
    </xf>
    <xf numFmtId="1" fontId="0" fillId="0" borderId="0" xfId="0" applyNumberFormat="1"/>
    <xf numFmtId="14" fontId="0" fillId="0" borderId="0" xfId="0" applyNumberFormat="1"/>
    <xf numFmtId="0" fontId="14" fillId="6" borderId="0" xfId="0" applyFont="1" applyFill="1"/>
    <xf numFmtId="0" fontId="4" fillId="0" borderId="0" xfId="0" applyFont="1"/>
    <xf numFmtId="9" fontId="4" fillId="0" borderId="0" xfId="2" applyFont="1" applyBorder="1" applyProtection="1"/>
    <xf numFmtId="164" fontId="4" fillId="0" borderId="0" xfId="0" applyNumberFormat="1" applyFont="1"/>
    <xf numFmtId="0" fontId="4" fillId="0" borderId="0" xfId="0" applyFont="1" applyAlignment="1">
      <alignment horizontal="center"/>
    </xf>
    <xf numFmtId="0" fontId="17" fillId="12" borderId="30" xfId="0" applyFont="1" applyFill="1" applyBorder="1"/>
    <xf numFmtId="49" fontId="4" fillId="0" borderId="0" xfId="0" applyNumberFormat="1" applyFont="1" applyAlignment="1">
      <alignment horizontal="center"/>
    </xf>
    <xf numFmtId="49" fontId="4" fillId="0" borderId="0" xfId="0" applyNumberFormat="1" applyFont="1"/>
    <xf numFmtId="49" fontId="17" fillId="12" borderId="30" xfId="0" applyNumberFormat="1" applyFont="1" applyFill="1" applyBorder="1"/>
    <xf numFmtId="0" fontId="4" fillId="0" borderId="0" xfId="0" applyFont="1" applyAlignment="1">
      <alignment horizontal="left"/>
    </xf>
    <xf numFmtId="1" fontId="4" fillId="0" borderId="0" xfId="0" applyNumberFormat="1" applyFont="1"/>
    <xf numFmtId="14" fontId="4" fillId="0" borderId="0" xfId="0" applyNumberFormat="1" applyFont="1"/>
    <xf numFmtId="14" fontId="2" fillId="0" borderId="0" xfId="0" applyNumberFormat="1" applyFont="1" applyAlignment="1">
      <alignment horizontal="center"/>
    </xf>
    <xf numFmtId="0" fontId="2" fillId="0" borderId="0" xfId="0" applyFont="1" applyAlignment="1">
      <alignment horizontal="center"/>
    </xf>
    <xf numFmtId="0" fontId="18" fillId="13" borderId="0" xfId="0" applyFont="1" applyFill="1"/>
    <xf numFmtId="0" fontId="18" fillId="0" borderId="31" xfId="0" applyFont="1" applyBorder="1"/>
    <xf numFmtId="0" fontId="4" fillId="13" borderId="0" xfId="0" applyFont="1" applyFill="1"/>
    <xf numFmtId="49" fontId="4" fillId="13" borderId="0" xfId="0" applyNumberFormat="1" applyFont="1" applyFill="1" applyAlignment="1">
      <alignment horizontal="center"/>
    </xf>
    <xf numFmtId="164" fontId="18" fillId="13" borderId="0" xfId="0" applyNumberFormat="1" applyFont="1" applyFill="1" applyAlignment="1">
      <alignment horizontal="center"/>
    </xf>
    <xf numFmtId="0" fontId="18" fillId="0" borderId="0" xfId="0" applyFont="1"/>
    <xf numFmtId="0" fontId="19" fillId="0" borderId="32" xfId="0" applyFont="1" applyBorder="1" applyAlignment="1">
      <alignment vertical="center"/>
    </xf>
    <xf numFmtId="164" fontId="0" fillId="0" borderId="0" xfId="0" applyNumberFormat="1" applyAlignment="1">
      <alignment horizontal="right"/>
    </xf>
    <xf numFmtId="14" fontId="4" fillId="0" borderId="0" xfId="0" applyNumberFormat="1" applyFont="1" applyAlignment="1">
      <alignment horizontal="center"/>
    </xf>
    <xf numFmtId="14" fontId="2" fillId="0" borderId="0" xfId="0" applyNumberFormat="1" applyFont="1" applyAlignment="1">
      <alignment horizontal="center" vertical="center"/>
    </xf>
    <xf numFmtId="1" fontId="2" fillId="0" borderId="0" xfId="0" applyNumberFormat="1" applyFont="1" applyAlignment="1">
      <alignment horizontal="center" vertical="center"/>
    </xf>
    <xf numFmtId="164" fontId="2" fillId="0" borderId="0" xfId="0" applyNumberFormat="1" applyFont="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18" fillId="0" borderId="33" xfId="0" applyFont="1" applyBorder="1"/>
    <xf numFmtId="164" fontId="18" fillId="0" borderId="0" xfId="0" applyNumberFormat="1" applyFont="1" applyAlignment="1">
      <alignment horizontal="center"/>
    </xf>
    <xf numFmtId="9" fontId="4" fillId="0" borderId="0" xfId="0" applyNumberFormat="1" applyFont="1"/>
    <xf numFmtId="14" fontId="0" fillId="0" borderId="0" xfId="0" applyNumberFormat="1" applyAlignment="1">
      <alignment horizontal="center"/>
    </xf>
    <xf numFmtId="164" fontId="4" fillId="0" borderId="0" xfId="2" applyNumberFormat="1" applyFont="1" applyBorder="1" applyProtection="1"/>
    <xf numFmtId="9" fontId="0" fillId="0" borderId="0" xfId="0" applyNumberFormat="1"/>
    <xf numFmtId="0" fontId="18" fillId="0" borderId="34" xfId="0" applyFont="1" applyBorder="1"/>
    <xf numFmtId="0" fontId="4" fillId="0" borderId="32" xfId="0" applyFont="1" applyBorder="1"/>
    <xf numFmtId="164" fontId="20" fillId="0" borderId="0" xfId="2" applyNumberFormat="1" applyBorder="1" applyProtection="1"/>
    <xf numFmtId="0" fontId="4" fillId="0" borderId="32" xfId="0" applyFont="1" applyBorder="1" applyAlignment="1">
      <alignment vertical="center"/>
    </xf>
    <xf numFmtId="0" fontId="19" fillId="0" borderId="0" xfId="0" applyFont="1" applyAlignment="1">
      <alignment vertical="center"/>
    </xf>
    <xf numFmtId="14" fontId="0" fillId="0" borderId="0" xfId="0" applyNumberFormat="1" applyAlignment="1">
      <alignment horizontal="left"/>
    </xf>
    <xf numFmtId="0" fontId="19" fillId="0" borderId="35" xfId="0" applyFont="1" applyBorder="1" applyAlignment="1">
      <alignment vertical="center"/>
    </xf>
    <xf numFmtId="0" fontId="4" fillId="0" borderId="35" xfId="0" applyFont="1" applyBorder="1" applyAlignment="1">
      <alignment vertical="center"/>
    </xf>
  </cellXfs>
  <cellStyles count="5">
    <cellStyle name="Comma" xfId="1" builtinId="3"/>
    <cellStyle name="Normal" xfId="0" builtinId="0"/>
    <cellStyle name="Normal 2" xfId="3" xr:uid="{00000000-0005-0000-0000-000006000000}"/>
    <cellStyle name="Normal 3" xfId="4" xr:uid="{00000000-0005-0000-0000-000007000000}"/>
    <cellStyle name="Percent" xfId="2" builtinId="5"/>
  </cellStyles>
  <dxfs count="2">
    <dxf>
      <font>
        <color rgb="FFC00000"/>
      </font>
    </dxf>
    <dxf>
      <font>
        <b/>
        <i val="0"/>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CACACA"/>
      <rgbColor rgb="FF808080"/>
      <rgbColor rgb="FF8FAADC"/>
      <rgbColor rgb="FF993366"/>
      <rgbColor rgb="FFFFF2CC"/>
      <rgbColor rgb="FFDAE3F3"/>
      <rgbColor rgb="FF660066"/>
      <rgbColor rgb="FFFF8080"/>
      <rgbColor rgb="FF0066CC"/>
      <rgbColor rgb="FFD0D7E5"/>
      <rgbColor rgb="FF000080"/>
      <rgbColor rgb="FFFF00FF"/>
      <rgbColor rgb="FFFFFF00"/>
      <rgbColor rgb="FF00FFFF"/>
      <rgbColor rgb="FF800080"/>
      <rgbColor rgb="FF800000"/>
      <rgbColor rgb="FF008080"/>
      <rgbColor rgb="FF0000FF"/>
      <rgbColor rgb="FF00CCFF"/>
      <rgbColor rgb="FFEDEDED"/>
      <rgbColor rgb="FFE2F0D9"/>
      <rgbColor rgb="FFFFFF99"/>
      <rgbColor rgb="FFD9D9D9"/>
      <rgbColor rgb="FFFF99CC"/>
      <rgbColor rgb="FFCC99FF"/>
      <rgbColor rgb="FFFBE5D6"/>
      <rgbColor rgb="FF4472C4"/>
      <rgbColor rgb="FF33CCCC"/>
      <rgbColor rgb="FF99CC00"/>
      <rgbColor rgb="FFFFCC00"/>
      <rgbColor rgb="FFFF9900"/>
      <rgbColor rgb="FFFF6600"/>
      <rgbColor rgb="FF595959"/>
      <rgbColor rgb="FF969696"/>
      <rgbColor rgb="FF003366"/>
      <rgbColor rgb="FF339966"/>
      <rgbColor rgb="FF003300"/>
      <rgbColor rgb="FF385724"/>
      <rgbColor rgb="FF993300"/>
      <rgbColor rgb="FF993366"/>
      <rgbColor rgb="FF333399"/>
      <rgbColor rgb="FF222529"/>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hest" displayName="Chest" ref="BT2:BZ30" totalsRowShown="0">
  <autoFilter ref="BT2:BZ30" xr:uid="{00000000-0009-0000-0100-000001000000}"/>
  <tableColumns count="7">
    <tableColumn id="1" xr3:uid="{00000000-0010-0000-0000-000001000000}" name="Logos"/>
    <tableColumn id="2" xr3:uid="{00000000-0010-0000-0000-000002000000}" name="Order"/>
    <tableColumn id="3" xr3:uid="{00000000-0010-0000-0000-000003000000}" name="Display"/>
    <tableColumn id="4" xr3:uid="{00000000-0010-0000-0000-000004000000}" name="Code"/>
    <tableColumn id="5" xr3:uid="{00000000-0010-0000-0000-000005000000}" name="Pct"/>
    <tableColumn id="6" xr3:uid="{00000000-0010-0000-0000-000006000000}" name="Flat"/>
    <tableColumn id="7" xr3:uid="{00000000-0010-0000-0000-000007000000}" name="Use"/>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Length" displayName="Length" ref="BG2:BJ5" totalsRowShown="0">
  <autoFilter ref="BG2:BJ5" xr:uid="{00000000-0009-0000-0100-00000A000000}"/>
  <tableColumns count="4">
    <tableColumn id="1" xr3:uid="{00000000-0010-0000-0900-000001000000}" name="Length"/>
    <tableColumn id="2" xr3:uid="{00000000-0010-0000-0900-000002000000}" name="Display"/>
    <tableColumn id="3" xr3:uid="{00000000-0010-0000-0900-000003000000}" name="Code"/>
    <tableColumn id="4" xr3:uid="{00000000-0010-0000-0900-000004000000}" name="Price"/>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Logos" displayName="Logos" ref="BL2:BR23" totalsRowShown="0">
  <autoFilter ref="BL2:BR23" xr:uid="{00000000-0009-0000-0100-00000B000000}"/>
  <tableColumns count="7">
    <tableColumn id="1" xr3:uid="{00000000-0010-0000-0A00-000001000000}" name="Logos"/>
    <tableColumn id="2" xr3:uid="{00000000-0010-0000-0A00-000002000000}" name="Order"/>
    <tableColumn id="3" xr3:uid="{00000000-0010-0000-0A00-000003000000}" name="Display"/>
    <tableColumn id="4" xr3:uid="{00000000-0010-0000-0A00-000004000000}" name="Code"/>
    <tableColumn id="5" xr3:uid="{00000000-0010-0000-0A00-000005000000}" name="Pct"/>
    <tableColumn id="6" xr3:uid="{00000000-0010-0000-0A00-000006000000}" name="Flat"/>
    <tableColumn id="7" xr3:uid="{00000000-0010-0000-0A00-000007000000}" name="Use"/>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Name" displayName="Name" ref="CR2:CS3" totalsRowShown="0">
  <autoFilter ref="CR2:CS3" xr:uid="{00000000-0009-0000-0100-00000C000000}"/>
  <tableColumns count="2">
    <tableColumn id="1" xr3:uid="{00000000-0010-0000-0B00-000001000000}" name="Name"/>
    <tableColumn id="2" xr3:uid="{00000000-0010-0000-0B00-000002000000}" name="Price"/>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NameDirection" displayName="NameDirection" ref="CW2:CW4" totalsRowShown="0">
  <autoFilter ref="CW2:CW4" xr:uid="{00000000-0009-0000-0100-00000D000000}"/>
  <tableColumns count="1">
    <tableColumn id="1" xr3:uid="{00000000-0010-0000-0C00-000001000000}" name="Name Direction"/>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NameLines" displayName="NameLines" ref="CU2:CU4" totalsRowShown="0">
  <autoFilter ref="CU2:CU4" xr:uid="{00000000-0009-0000-0100-00000E000000}"/>
  <tableColumns count="1">
    <tableColumn id="1" xr3:uid="{00000000-0010-0000-0D00-000001000000}" name="Lines for Name"/>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Price" displayName="Price" ref="A2:C7" totalsRowShown="0">
  <autoFilter ref="A2:C7" xr:uid="{00000000-0009-0000-0100-00000F000000}"/>
  <tableColumns count="3">
    <tableColumn id="1" xr3:uid="{00000000-0010-0000-0E00-000001000000}" name="Quantity"/>
    <tableColumn id="2" xr3:uid="{00000000-0010-0000-0E00-000002000000}" name="Discount"/>
    <tableColumn id="3" xr3:uid="{00000000-0010-0000-0E00-000003000000}" name="Cost"/>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PriorityProduction" displayName="PriorityProduction" ref="DK2:DN5" totalsRowShown="0">
  <autoFilter ref="DK2:DN5" xr:uid="{00000000-0009-0000-0100-000010000000}"/>
  <tableColumns count="4">
    <tableColumn id="1" xr3:uid="{00000000-0010-0000-0F00-000001000000}" name="Priority Production"/>
    <tableColumn id="2" xr3:uid="{00000000-0010-0000-0F00-000002000000}" name="No"/>
    <tableColumn id="3" xr3:uid="{00000000-0010-0000-0F00-000003000000}" name="Yes"/>
    <tableColumn id="4" xr3:uid="{00000000-0010-0000-0F00-000004000000}" name="Days"/>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ProductionPriority" displayName="ProductionPriority" ref="DC2:DI5" totalsRowShown="0">
  <autoFilter ref="DC2:DI5" xr:uid="{00000000-0009-0000-0100-000011000000}"/>
  <tableColumns count="7">
    <tableColumn id="1" xr3:uid="{00000000-0010-0000-1000-000001000000}" name="Production"/>
    <tableColumn id="2" xr3:uid="{00000000-0010-0000-1000-000002000000}" name="Display"/>
    <tableColumn id="3" xr3:uid="{00000000-0010-0000-1000-000003000000}" name="Price"/>
    <tableColumn id="4" xr3:uid="{00000000-0010-0000-1000-000004000000}" name="Upgrade"/>
    <tableColumn id="5" xr3:uid="{00000000-0010-0000-1000-000005000000}" name="Minimum"/>
    <tableColumn id="6" xr3:uid="{00000000-0010-0000-1000-000006000000}" name="Actual"/>
    <tableColumn id="7" xr3:uid="{00000000-0010-0000-1000-000007000000}" name="Fee"/>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RightSleeve" displayName="RightSleeve" ref="CJ2:CP38" totalsRowShown="0">
  <autoFilter ref="CJ2:CP38" xr:uid="{00000000-0009-0000-0100-000012000000}"/>
  <tableColumns count="7">
    <tableColumn id="1" xr3:uid="{00000000-0010-0000-1100-000001000000}" name="Logos"/>
    <tableColumn id="2" xr3:uid="{00000000-0010-0000-1100-000002000000}" name="Order"/>
    <tableColumn id="3" xr3:uid="{00000000-0010-0000-1100-000003000000}" name="Display"/>
    <tableColumn id="4" xr3:uid="{00000000-0010-0000-1100-000004000000}" name="Code"/>
    <tableColumn id="5" xr3:uid="{00000000-0010-0000-1100-000005000000}" name="Pct"/>
    <tableColumn id="6" xr3:uid="{00000000-0010-0000-1100-000006000000}" name="Flat"/>
    <tableColumn id="7" xr3:uid="{00000000-0010-0000-1100-000007000000}" name="Use"/>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hipDays" displayName="ShipDays" ref="DU2:DV6" totalsRowShown="0">
  <autoFilter ref="DU2:DV6" xr:uid="{00000000-0009-0000-0100-000013000000}"/>
  <tableColumns count="2">
    <tableColumn id="1" xr3:uid="{00000000-0010-0000-1200-000001000000}" name="Ship Days"/>
    <tableColumn id="2" xr3:uid="{00000000-0010-0000-1200-000002000000}" name="Shipping Servic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ollar" displayName="Collar" ref="AF2:AM38" totalsRowShown="0">
  <autoFilter ref="AF2:AM38" xr:uid="{00000000-0009-0000-0100-000002000000}"/>
  <tableColumns count="8">
    <tableColumn id="1" xr3:uid="{00000000-0010-0000-0100-000001000000}" name="Collar"/>
    <tableColumn id="2" xr3:uid="{00000000-0010-0000-0100-000002000000}" name="Order"/>
    <tableColumn id="3" xr3:uid="{00000000-0010-0000-0100-000003000000}" name="Display"/>
    <tableColumn id="4" xr3:uid="{00000000-0010-0000-0100-000004000000}" name="Code"/>
    <tableColumn id="5" xr3:uid="{00000000-0010-0000-0100-000005000000}" name="Price"/>
    <tableColumn id="6" xr3:uid="{00000000-0010-0000-0100-000006000000}" name="Sleeve"/>
    <tableColumn id="7" xr3:uid="{00000000-0010-0000-0100-000007000000}" name="Collection"/>
    <tableColumn id="8" xr3:uid="{00000000-0010-0000-0100-000008000000}" name="C&amp;S"/>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Size" displayName="Size" ref="AU2:AZ33" totalsRowShown="0">
  <autoFilter ref="AU2:AZ33" xr:uid="{00000000-0009-0000-0100-000014000000}"/>
  <tableColumns count="6">
    <tableColumn id="1" xr3:uid="{00000000-0010-0000-1300-000001000000}" name="Size"/>
    <tableColumn id="2" xr3:uid="{00000000-0010-0000-1300-000002000000}" name="Order"/>
    <tableColumn id="3" xr3:uid="{00000000-0010-0000-1300-000003000000}" name="Display"/>
    <tableColumn id="4" xr3:uid="{00000000-0010-0000-1300-000004000000}" name="Code"/>
    <tableColumn id="5" xr3:uid="{00000000-0010-0000-1300-000005000000}" name="Price"/>
    <tableColumn id="6" xr3:uid="{00000000-0010-0000-1300-000006000000}" name="Cut"/>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leeve" displayName="Sleeve" ref="V2:AA7" totalsRowShown="0">
  <autoFilter ref="V2:AA7" xr:uid="{00000000-0009-0000-0100-000015000000}"/>
  <tableColumns count="6">
    <tableColumn id="1" xr3:uid="{00000000-0010-0000-1400-000001000000}" name="Sleeve"/>
    <tableColumn id="2" xr3:uid="{00000000-0010-0000-1400-000002000000}" name="Order"/>
    <tableColumn id="3" xr3:uid="{00000000-0010-0000-1400-000003000000}" name="Display"/>
    <tableColumn id="4" xr3:uid="{00000000-0010-0000-1400-000004000000}" name="Code"/>
    <tableColumn id="5" xr3:uid="{00000000-0010-0000-1400-000005000000}" name="Price"/>
    <tableColumn id="6" xr3:uid="{00000000-0010-0000-1400-000006000000}" name="Line"/>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YesNo" displayName="YesNo" ref="DP2:DP4" totalsRowShown="0">
  <autoFilter ref="DP2:DP4" xr:uid="{00000000-0009-0000-0100-000016000000}"/>
  <tableColumns count="1">
    <tableColumn id="1" xr3:uid="{00000000-0010-0000-1500-000001000000}" name="Reorder"/>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Collection" displayName="Collection" ref="P2:T4" totalsRowShown="0">
  <autoFilter ref="P2:T4" xr:uid="{00000000-0009-0000-0100-000003000000}"/>
  <tableColumns count="5">
    <tableColumn id="1" xr3:uid="{00000000-0010-0000-0200-000001000000}" name="Collection"/>
    <tableColumn id="2" xr3:uid="{00000000-0010-0000-0200-000002000000}" name="Display"/>
    <tableColumn id="3" xr3:uid="{00000000-0010-0000-0200-000003000000}" name="Code"/>
    <tableColumn id="4" xr3:uid="{00000000-0010-0000-0200-000004000000}" name="Price"/>
    <tableColumn id="5" xr3:uid="{00000000-0010-0000-0200-000005000000}" name="Lin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Cut" displayName="Cut" ref="E2:I6" totalsRowShown="0">
  <autoFilter ref="E2:I6" xr:uid="{00000000-0009-0000-0100-000004000000}"/>
  <tableColumns count="5">
    <tableColumn id="1" xr3:uid="{00000000-0010-0000-0300-000001000000}" name="Display"/>
    <tableColumn id="2" xr3:uid="{00000000-0010-0000-0300-000002000000}" name="Code"/>
    <tableColumn id="3" xr3:uid="{00000000-0010-0000-0300-000003000000}" name="Price"/>
    <tableColumn id="4" xr3:uid="{00000000-0010-0000-0300-000004000000}" name="Cut"/>
    <tableColumn id="5" xr3:uid="{00000000-0010-0000-0300-000005000000}" name="Lin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Day" displayName="Day" ref="DR2:DS9" totalsRowShown="0">
  <autoFilter ref="DR2:DS9" xr:uid="{00000000-0009-0000-0100-000005000000}"/>
  <tableColumns count="2">
    <tableColumn id="1" xr3:uid="{00000000-0010-0000-0400-000001000000}" name="Weekday"/>
    <tableColumn id="2" xr3:uid="{00000000-0010-0000-0400-000002000000}" name="Day of Week"/>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Font" displayName="Font" ref="CY2:DA8" totalsRowShown="0">
  <autoFilter ref="CY2:DA8" xr:uid="{00000000-0009-0000-0100-000006000000}"/>
  <tableColumns count="3">
    <tableColumn id="1" xr3:uid="{00000000-0010-0000-0500-000001000000}" name="Font"/>
    <tableColumn id="2" xr3:uid="{00000000-0010-0000-0500-000002000000}" name="Code"/>
    <tableColumn id="3" xr3:uid="{00000000-0010-0000-0500-000003000000}" name="Price"/>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Holidays" displayName="Holidays" ref="DX2:DZ11" totalsRowShown="0">
  <autoFilter ref="DX2:DZ11" xr:uid="{00000000-0009-0000-0100-000007000000}"/>
  <tableColumns count="3">
    <tableColumn id="1" xr3:uid="{00000000-0010-0000-0600-000001000000}" name="Holiday"/>
    <tableColumn id="2" xr3:uid="{00000000-0010-0000-0600-000002000000}" name="Shipping Service"/>
    <tableColumn id="3" xr3:uid="{00000000-0010-0000-0600-000003000000}" name="Details"/>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IHD_Calc" displayName="IHD_Calc" ref="EB2:EL13" totalsRowShown="0">
  <autoFilter ref="EB2:EL13" xr:uid="{00000000-0009-0000-0100-000008000000}"/>
  <tableColumns count="11">
    <tableColumn id="1" xr3:uid="{00000000-0010-0000-0700-000001000000}" name="Order Date"/>
    <tableColumn id="2" xr3:uid="{00000000-0010-0000-0700-000002000000}" name="Days"/>
    <tableColumn id="3" xr3:uid="{00000000-0010-0000-0700-000003000000}" name="Approval Date"/>
    <tableColumn id="4" xr3:uid="{00000000-0010-0000-0700-000004000000}" name="Est Order Date"/>
    <tableColumn id="5" xr3:uid="{00000000-0010-0000-0700-000005000000}" name="Production Priority"/>
    <tableColumn id="6" xr3:uid="{00000000-0010-0000-0700-000006000000}" name="In Transit"/>
    <tableColumn id="7" xr3:uid="{00000000-0010-0000-0700-000007000000}" name="Est Ship Date"/>
    <tableColumn id="8" xr3:uid="{00000000-0010-0000-0700-000008000000}" name="Delivery Date"/>
    <tableColumn id="9" xr3:uid="{00000000-0010-0000-0700-000009000000}" name="Shipping"/>
    <tableColumn id="10" xr3:uid="{00000000-0010-0000-0700-00000A000000}" name="Production"/>
    <tableColumn id="11" xr3:uid="{00000000-0010-0000-0700-00000B000000}" name="Descriptio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eftSleeve" displayName="LeftSleeve" ref="CB2:CH33" totalsRowShown="0">
  <autoFilter ref="CB2:CH33" xr:uid="{00000000-0009-0000-0100-000009000000}"/>
  <tableColumns count="7">
    <tableColumn id="1" xr3:uid="{00000000-0010-0000-0800-000001000000}" name="Logos"/>
    <tableColumn id="2" xr3:uid="{00000000-0010-0000-0800-000002000000}" name="Order"/>
    <tableColumn id="3" xr3:uid="{00000000-0010-0000-0800-000003000000}" name="Display"/>
    <tableColumn id="4" xr3:uid="{00000000-0010-0000-0800-000004000000}" name="Code"/>
    <tableColumn id="5" xr3:uid="{00000000-0010-0000-0800-000005000000}" name="Pct"/>
    <tableColumn id="6" xr3:uid="{00000000-0010-0000-0800-000006000000}" name="Flat"/>
    <tableColumn id="7" xr3:uid="{00000000-0010-0000-0800-000007000000}" name="Use"/>
  </tableColumns>
  <tableStyleInfo showFirstColumn="0" showLastColumn="0" showRowStripes="1" showColumnStripes="0"/>
</table>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tint val="100000"/>
                <a:shade val="100000"/>
              </a:schemeClr>
            </a:gs>
            <a:gs pos="100000">
              <a:schemeClr val="phClr">
                <a:tint val="50000"/>
                <a:shade val="100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2"/>
  <sheetViews>
    <sheetView topLeftCell="F1" zoomScaleNormal="100" workbookViewId="0">
      <selection activeCell="E1" sqref="E1"/>
    </sheetView>
  </sheetViews>
  <sheetFormatPr defaultColWidth="4.21875" defaultRowHeight="14.4"/>
  <cols>
    <col min="1" max="1" width="10.109375" hidden="1" customWidth="1"/>
    <col min="2" max="2" width="30.109375" hidden="1" customWidth="1"/>
    <col min="3" max="3" width="4.44140625" hidden="1" customWidth="1"/>
    <col min="4" max="4" width="27.77734375" style="10" hidden="1" customWidth="1"/>
    <col min="5" max="5" width="1.88671875" hidden="1" customWidth="1"/>
  </cols>
  <sheetData>
    <row r="1" spans="1:5" ht="19.5" customHeight="1">
      <c r="A1" s="11"/>
      <c r="B1" s="11"/>
      <c r="C1" s="11"/>
      <c r="D1" s="12"/>
      <c r="E1" s="11"/>
    </row>
    <row r="2" spans="1:5" s="17" customFormat="1" ht="30" customHeight="1">
      <c r="A2" s="13"/>
      <c r="B2" s="14" t="s">
        <v>0</v>
      </c>
      <c r="C2" s="15"/>
      <c r="D2" s="16" t="s">
        <v>1</v>
      </c>
      <c r="E2" s="13"/>
    </row>
    <row r="3" spans="1:5" s="17" customFormat="1" ht="30" customHeight="1">
      <c r="A3" s="13"/>
      <c r="B3" s="14" t="s">
        <v>2</v>
      </c>
      <c r="C3" s="15"/>
      <c r="D3" s="16" t="s">
        <v>3</v>
      </c>
      <c r="E3" s="13"/>
    </row>
    <row r="4" spans="1:5" s="17" customFormat="1" ht="30" customHeight="1">
      <c r="A4" s="18"/>
      <c r="B4" s="14" t="s">
        <v>4</v>
      </c>
      <c r="C4" s="15"/>
      <c r="D4" s="19">
        <v>0</v>
      </c>
      <c r="E4" s="13"/>
    </row>
    <row r="5" spans="1:5" s="17" customFormat="1" ht="30" customHeight="1">
      <c r="A5" s="18"/>
      <c r="B5" s="14" t="s">
        <v>5</v>
      </c>
      <c r="C5" s="15"/>
      <c r="D5" s="20">
        <v>0</v>
      </c>
      <c r="E5" s="13"/>
    </row>
    <row r="6" spans="1:5" s="17" customFormat="1" ht="30" customHeight="1">
      <c r="A6" s="18"/>
      <c r="B6" s="14" t="s">
        <v>6</v>
      </c>
      <c r="C6" s="15"/>
      <c r="D6" s="21" t="str">
        <f t="array" ref="D6:E6">'Bulk Order Details'!D3:E3</f>
        <v>Standard (approx 3 weeks)</v>
      </c>
      <c r="E6" s="22">
        <v>0</v>
      </c>
    </row>
    <row r="7" spans="1:5" s="28" customFormat="1" ht="4.5" customHeight="1">
      <c r="A7" s="23"/>
      <c r="B7" s="24"/>
      <c r="C7" s="25"/>
      <c r="D7" s="26"/>
      <c r="E7" s="27"/>
    </row>
    <row r="8" spans="1:5" s="28" customFormat="1" ht="24.75" customHeight="1">
      <c r="A8" s="27"/>
      <c r="B8" s="29" t="s">
        <v>7</v>
      </c>
      <c r="C8" s="30"/>
      <c r="D8" s="31" t="e">
        <f>SUM(#REF!)</f>
        <v>#REF!</v>
      </c>
      <c r="E8" s="27"/>
    </row>
    <row r="9" spans="1:5" s="37" customFormat="1" ht="30" customHeight="1">
      <c r="A9" s="32"/>
      <c r="B9" s="33" t="e">
        <f>IF(VLOOKUP(D2,#REF!,2)&gt;0,"Discounts Applied to Entire Order (See  Order Discounts Below)","Discounted Base Price")</f>
        <v>#REF!</v>
      </c>
      <c r="C9" s="34"/>
      <c r="D9" s="35" t="e">
        <f>IF(VLOOKUP(CustGroup,#REF!,2)=0,MIN((1-VLOOKUP(Jerseys,Price[],2))*VLOOKUP(CustGroup,#REF!,11),(1-VLOOKUP(CustGroup,#REF!,3))*VLOOKUP(CustGroup,#REF!,11)),VLOOKUP(CustGroup,#REF!,11))</f>
        <v>#REF!</v>
      </c>
      <c r="E9" s="36"/>
    </row>
    <row r="10" spans="1:5" s="28" customFormat="1" ht="19.5" customHeight="1">
      <c r="A10" s="27"/>
      <c r="B10" s="38" t="s">
        <v>8</v>
      </c>
      <c r="C10" s="39"/>
      <c r="D10" s="40" t="e">
        <f>VLOOKUP($D$2,#REF!,4)</f>
        <v>#REF!</v>
      </c>
      <c r="E10" s="27"/>
    </row>
    <row r="11" spans="1:5" s="28" customFormat="1" ht="19.5" customHeight="1">
      <c r="A11" s="27"/>
      <c r="B11" s="38" t="s">
        <v>9</v>
      </c>
      <c r="C11" s="39"/>
      <c r="D11" s="40" t="e">
        <f>VLOOKUP($D$2,#REF!,5)</f>
        <v>#REF!</v>
      </c>
      <c r="E11" s="27"/>
    </row>
    <row r="12" spans="1:5" s="28" customFormat="1" ht="19.5" customHeight="1">
      <c r="A12" s="27"/>
      <c r="B12" s="38" t="s">
        <v>10</v>
      </c>
      <c r="C12" s="39"/>
      <c r="D12" s="40" t="e">
        <f>VLOOKUP($D$2,#REF!,6)</f>
        <v>#REF!</v>
      </c>
      <c r="E12" s="27"/>
    </row>
    <row r="13" spans="1:5" s="28" customFormat="1" ht="19.5" customHeight="1">
      <c r="A13" s="27"/>
      <c r="B13" s="38" t="s">
        <v>11</v>
      </c>
      <c r="C13" s="39"/>
      <c r="D13" s="41" t="e">
        <f>IF(D3="Yes","No",IF(Jerseys&gt;=VLOOKUP($D$2,#REF!,7),"Yes","No"))</f>
        <v>#REF!</v>
      </c>
      <c r="E13" s="27"/>
    </row>
    <row r="14" spans="1:5" s="28" customFormat="1" ht="19.5" customHeight="1">
      <c r="A14" s="27"/>
      <c r="B14" s="38" t="s">
        <v>12</v>
      </c>
      <c r="C14" s="39"/>
      <c r="D14" s="41" t="e">
        <f>VLOOKUP($D$2,#REF!,8)</f>
        <v>#REF!</v>
      </c>
      <c r="E14" s="27"/>
    </row>
    <row r="15" spans="1:5" s="28" customFormat="1" ht="19.5" customHeight="1">
      <c r="A15" s="27"/>
      <c r="B15" s="38" t="s">
        <v>13</v>
      </c>
      <c r="C15" s="39"/>
      <c r="D15" s="41" t="e">
        <f>IF(VLOOKUP(CustGroup,#REF!,9)&gt;0,IF(VLOOKUP(CustGroup,#REF!,9)&lt;D23,"Yes","No"),"No")</f>
        <v>#REF!</v>
      </c>
      <c r="E15" s="27"/>
    </row>
    <row r="16" spans="1:5" s="28" customFormat="1" ht="19.5" customHeight="1">
      <c r="A16" s="27"/>
      <c r="B16" s="42" t="s">
        <v>14</v>
      </c>
      <c r="C16" s="43"/>
      <c r="D16" s="44" t="e">
        <f>LOOKUP(CustGroup,#REF!,#REF!)</f>
        <v>#REF!</v>
      </c>
      <c r="E16" s="27"/>
    </row>
    <row r="17" spans="1:5" s="28" customFormat="1" ht="4.5" customHeight="1">
      <c r="A17" s="27"/>
      <c r="B17" s="45"/>
      <c r="C17" s="46"/>
      <c r="D17" s="47"/>
      <c r="E17" s="27"/>
    </row>
    <row r="18" spans="1:5" s="28" customFormat="1" ht="19.5" customHeight="1">
      <c r="A18" s="27"/>
      <c r="B18" s="48" t="s">
        <v>15</v>
      </c>
      <c r="C18" s="49"/>
      <c r="D18" s="50" t="e">
        <f>SUM(#REF!)</f>
        <v>#REF!</v>
      </c>
      <c r="E18" s="27"/>
    </row>
    <row r="19" spans="1:5" s="28" customFormat="1" ht="19.5" customHeight="1">
      <c r="A19" s="27"/>
      <c r="B19" s="51" t="s">
        <v>16</v>
      </c>
      <c r="C19" s="52"/>
      <c r="D19" s="53">
        <f>D5*30</f>
        <v>0</v>
      </c>
      <c r="E19" s="27"/>
    </row>
    <row r="20" spans="1:5" s="28" customFormat="1" ht="19.5" customHeight="1">
      <c r="A20" s="27"/>
      <c r="B20" s="51" t="s">
        <v>17</v>
      </c>
      <c r="C20" s="52"/>
      <c r="D20" s="53" t="e">
        <f>IF(D13="Yes",-MAX(#REF!),0)</f>
        <v>#REF!</v>
      </c>
      <c r="E20" s="27"/>
    </row>
    <row r="21" spans="1:5" s="28" customFormat="1" ht="19.5" customHeight="1">
      <c r="A21" s="27"/>
      <c r="B21" s="54" t="s">
        <v>18</v>
      </c>
      <c r="C21" s="55"/>
      <c r="D21" s="56" t="e">
        <f>SUM(D18:D20)</f>
        <v>#REF!</v>
      </c>
      <c r="E21" s="27"/>
    </row>
    <row r="22" spans="1:5" s="28" customFormat="1" ht="19.5" customHeight="1">
      <c r="A22" s="27"/>
      <c r="B22" s="38" t="s">
        <v>19</v>
      </c>
      <c r="C22" s="57" t="e">
        <f>IF(VLOOKUP(D2,#REF!,2)+D16&gt;0,VLOOKUP(D2,#REF!,2)+D16,"")</f>
        <v>#REF!</v>
      </c>
      <c r="D22" s="40">
        <f>IFERROR(-ROUND(C22*D21,2),0)</f>
        <v>0</v>
      </c>
      <c r="E22" s="27"/>
    </row>
    <row r="23" spans="1:5" s="61" customFormat="1" ht="31.5" customHeight="1">
      <c r="A23" s="58"/>
      <c r="B23" s="59" t="s">
        <v>20</v>
      </c>
      <c r="C23" s="60"/>
      <c r="D23" s="56" t="e">
        <f>IF(TeamAssuranceQuote="",SUM(D21:D22),MIN(ROUND(0.9*TeamAssuranceQuote,2),SUM(D21:D22)))</f>
        <v>#REF!</v>
      </c>
      <c r="E23" s="58"/>
    </row>
    <row r="24" spans="1:5" s="25" customFormat="1">
      <c r="A24" s="62"/>
      <c r="B24" s="63" t="s">
        <v>21</v>
      </c>
      <c r="C24" s="64"/>
      <c r="D24" s="65"/>
      <c r="E24" s="62"/>
    </row>
    <row r="25" spans="1:5" s="28" customFormat="1" ht="19.5" customHeight="1">
      <c r="A25" s="27"/>
      <c r="B25" s="51" t="s">
        <v>22</v>
      </c>
      <c r="C25" s="52"/>
      <c r="D25" s="66" t="e">
        <f>VLOOKUP(Summary!D$6,PriorityProduction[],IF(Summary!D$14="Yes",3,2))</f>
        <v>#REF!</v>
      </c>
      <c r="E25" s="27"/>
    </row>
    <row r="26" spans="1:5" s="28" customFormat="1" ht="19.5" customHeight="1">
      <c r="A26" s="27"/>
      <c r="B26" s="51" t="s">
        <v>23</v>
      </c>
      <c r="C26" s="52"/>
      <c r="D26" s="66" t="e">
        <f>IF(D15="Yes",0,D$4)</f>
        <v>#REF!</v>
      </c>
      <c r="E26" s="27"/>
    </row>
    <row r="27" spans="1:5" s="71" customFormat="1" ht="30" customHeight="1">
      <c r="A27" s="67"/>
      <c r="B27" s="68" t="s">
        <v>24</v>
      </c>
      <c r="C27" s="69"/>
      <c r="D27" s="70" t="e">
        <f>IF(TeamAssuranceQuote="",D23,IF(D23&gt;TeamAssuranceQuote,0.9*TeamAssuranceQuote,D23))+SUM(D25:D26)</f>
        <v>#REF!</v>
      </c>
      <c r="E27" s="67"/>
    </row>
    <row r="28" spans="1:5" s="71" customFormat="1" ht="4.5" customHeight="1">
      <c r="A28" s="67"/>
      <c r="B28" s="72"/>
      <c r="D28" s="73"/>
      <c r="E28" s="67"/>
    </row>
    <row r="29" spans="1:5" ht="4.5" customHeight="1">
      <c r="A29" s="11"/>
      <c r="B29" s="74"/>
      <c r="D29" s="75"/>
      <c r="E29" s="11"/>
    </row>
    <row r="30" spans="1:5">
      <c r="A30" s="11"/>
      <c r="B30" s="76" t="s">
        <v>25</v>
      </c>
      <c r="C30" s="77"/>
      <c r="D30" s="78" t="e">
        <f>D23/Jerseys</f>
        <v>#REF!</v>
      </c>
      <c r="E30" s="11"/>
    </row>
    <row r="31" spans="1:5">
      <c r="A31" s="11"/>
      <c r="B31" s="79" t="s">
        <v>26</v>
      </c>
      <c r="C31" s="80"/>
      <c r="D31" s="81" t="e">
        <f>-SUM(#REF!)/Jerseys-D22/Jerseys</f>
        <v>#REF!</v>
      </c>
      <c r="E31" s="11"/>
    </row>
    <row r="32" spans="1:5">
      <c r="A32" s="11"/>
      <c r="B32" s="11"/>
      <c r="C32" s="11"/>
      <c r="D32" s="12"/>
      <c r="E32" s="11"/>
    </row>
  </sheetData>
  <sheetProtection algorithmName="SHA-512" hashValue="NN5PpzTVXh1aapY3W0dHmNeTAxpsP8mBgHsRQW6+Kc5YugLC/FdNLnxFnMCPcYKLmmy+10nECulkEtIvgjDeqA==" saltValue="cJ+t1SEIXMW6Z9lI/5NCVQ==" spinCount="100000" sheet="1" objects="1" scenarios="1"/>
  <protectedRanges>
    <protectedRange sqref="D2:D5" name="Range1"/>
  </protectedRanges>
  <pageMargins left="0.7" right="0.7" top="0.75" bottom="0.75"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Prices!$DD$3:$DD$5</xm:f>
          </x14:formula1>
          <x14:formula2>
            <xm:f>0</xm:f>
          </x14:formula2>
          <xm:sqref>C7:C8</xm:sqref>
        </x14:dataValidation>
        <x14:dataValidation type="list" allowBlank="1" showInputMessage="1" showErrorMessage="1" xr:uid="{00000000-0002-0000-0000-000001000000}">
          <x14:formula1>
            <xm:f>Prices!$DP$3:$DP$4</xm:f>
          </x14:formula1>
          <x14:formula2>
            <xm:f>0</xm:f>
          </x14:formula2>
          <xm:sqref>D3</xm:sqref>
        </x14:dataValidation>
        <x14:dataValidation type="list" allowBlank="1" showInputMessage="1" showErrorMessage="1" xr:uid="{00000000-0002-0000-0000-000002000000}">
          <x14:formula1>
            <xm:f>Prices!#REF!</xm:f>
          </x14:formula1>
          <x14:formula2>
            <xm:f>0</xm:f>
          </x14:formula2>
          <xm:sqref>D2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P318"/>
  <sheetViews>
    <sheetView showGridLines="0" tabSelected="1" topLeftCell="C1" zoomScaleNormal="100" workbookViewId="0">
      <selection activeCell="E20" sqref="E20"/>
    </sheetView>
  </sheetViews>
  <sheetFormatPr defaultColWidth="0" defaultRowHeight="14.4" zeroHeight="1"/>
  <cols>
    <col min="1" max="1" width="2.77734375" style="11" customWidth="1"/>
    <col min="2" max="2" width="11.21875" style="82" customWidth="1"/>
    <col min="3" max="3" width="53.77734375" style="82" customWidth="1"/>
    <col min="4" max="4" width="14.77734375" style="83" customWidth="1"/>
    <col min="5" max="5" width="19.109375" style="82" customWidth="1"/>
    <col min="6" max="6" width="16.77734375" style="82" customWidth="1"/>
    <col min="7" max="7" width="14.77734375" style="82" customWidth="1"/>
    <col min="8" max="8" width="18.88671875" style="82" customWidth="1"/>
    <col min="9" max="9" width="16.77734375" style="82" customWidth="1"/>
    <col min="10" max="10" width="22.77734375" style="82" customWidth="1"/>
    <col min="11" max="11" width="27.44140625" style="82" customWidth="1"/>
    <col min="12" max="12" width="15.21875" style="82" customWidth="1"/>
    <col min="13" max="13" width="11.88671875" style="82" customWidth="1"/>
    <col min="14" max="14" width="15" style="82" customWidth="1"/>
    <col min="15" max="19" width="21.5546875" style="82" customWidth="1"/>
    <col min="20" max="20" width="11.88671875" style="82" customWidth="1"/>
    <col min="21" max="21" width="41.21875" style="82" customWidth="1"/>
    <col min="22" max="22" width="3.21875" style="84" customWidth="1"/>
    <col min="23" max="24" width="12.77734375" hidden="1"/>
    <col min="25" max="25" width="5" hidden="1" customWidth="1"/>
    <col min="26" max="26" width="12.77734375" hidden="1"/>
    <col min="27" max="27" width="10.109375" hidden="1" customWidth="1"/>
    <col min="28" max="29" width="12.77734375" hidden="1"/>
    <col min="30" max="30" width="5" hidden="1" customWidth="1"/>
    <col min="31" max="31" width="12.77734375" hidden="1"/>
    <col min="32" max="42" width="10.109375" hidden="1" customWidth="1"/>
    <col min="43" max="16384" width="12.77734375" hidden="1"/>
  </cols>
  <sheetData>
    <row r="1" spans="1:23" s="11" customFormat="1" ht="15" customHeight="1">
      <c r="B1" s="85"/>
      <c r="C1" s="85"/>
      <c r="D1" s="85"/>
      <c r="E1" s="86"/>
      <c r="F1" s="85"/>
      <c r="G1" s="87"/>
      <c r="H1" s="85"/>
      <c r="I1" s="85"/>
      <c r="J1" s="85"/>
      <c r="K1" s="85"/>
      <c r="L1" s="85"/>
      <c r="M1" s="85"/>
      <c r="N1" s="85"/>
      <c r="O1" s="85"/>
      <c r="P1" s="85"/>
      <c r="Q1" s="85"/>
      <c r="R1" s="85"/>
      <c r="S1" s="85"/>
      <c r="T1" s="85"/>
      <c r="U1" s="85"/>
      <c r="V1" s="88"/>
    </row>
    <row r="2" spans="1:23" s="28" customFormat="1" ht="28.5" customHeight="1">
      <c r="A2" s="27"/>
      <c r="B2" s="9" t="s">
        <v>27</v>
      </c>
      <c r="C2" s="9"/>
      <c r="D2" s="89" t="str">
        <f>IF(E2="","",VLOOKUP(WEEKDAY(E2,16),Day[],2))</f>
        <v/>
      </c>
      <c r="E2" s="90"/>
      <c r="F2" s="91"/>
      <c r="G2" s="8" t="s">
        <v>28</v>
      </c>
      <c r="H2" s="8"/>
      <c r="I2" s="8"/>
      <c r="J2" s="8"/>
      <c r="K2" s="8"/>
      <c r="L2" s="8"/>
      <c r="Q2" s="92" t="b">
        <f ca="1">P10&gt;E12</f>
        <v>0</v>
      </c>
      <c r="R2" s="93"/>
      <c r="S2" s="93"/>
      <c r="T2" s="93"/>
      <c r="U2" s="93"/>
      <c r="V2" s="88"/>
    </row>
    <row r="3" spans="1:23" s="28" customFormat="1" ht="28.5" customHeight="1">
      <c r="A3" s="27"/>
      <c r="B3" s="94" t="s">
        <v>29</v>
      </c>
      <c r="C3" s="95"/>
      <c r="D3" s="7" t="s">
        <v>30</v>
      </c>
      <c r="E3" s="7"/>
      <c r="F3" s="91"/>
      <c r="G3" s="6" t="s">
        <v>31</v>
      </c>
      <c r="H3" s="6"/>
      <c r="I3" s="6"/>
      <c r="J3" s="6"/>
      <c r="K3" s="6"/>
      <c r="L3" s="6"/>
      <c r="S3" s="93"/>
      <c r="T3" s="93"/>
      <c r="U3" s="93"/>
      <c r="V3" s="88"/>
    </row>
    <row r="4" spans="1:23" s="28" customFormat="1" ht="28.5" customHeight="1">
      <c r="A4" s="27"/>
      <c r="B4" s="5" t="str">
        <f>IF(E2="","",LOOKUP(BOD_IHD,IHD_Calc[Delivery Date],IHD_Calc[Description]))</f>
        <v/>
      </c>
      <c r="C4" s="5"/>
      <c r="D4" s="5"/>
      <c r="E4" s="5"/>
      <c r="G4" s="6" t="s">
        <v>32</v>
      </c>
      <c r="H4" s="6"/>
      <c r="I4" s="6"/>
      <c r="J4" s="6"/>
      <c r="K4" s="6"/>
      <c r="L4" s="6"/>
      <c r="S4" s="93"/>
      <c r="T4" s="93"/>
      <c r="U4" s="93"/>
      <c r="V4" s="88"/>
    </row>
    <row r="5" spans="1:23" s="28" customFormat="1" ht="28.5" customHeight="1">
      <c r="A5" s="27"/>
      <c r="B5" s="96" t="s">
        <v>33</v>
      </c>
      <c r="C5" s="15"/>
      <c r="D5" s="97" t="s">
        <v>34</v>
      </c>
      <c r="E5" s="97" t="s">
        <v>35</v>
      </c>
      <c r="F5" s="98"/>
      <c r="G5" s="6" t="s">
        <v>36</v>
      </c>
      <c r="H5" s="6"/>
      <c r="I5" s="6"/>
      <c r="J5" s="6"/>
      <c r="K5" s="6"/>
      <c r="L5" s="6"/>
      <c r="Q5" s="4"/>
      <c r="R5" s="4"/>
      <c r="S5" s="4"/>
      <c r="T5" s="4"/>
      <c r="U5" s="4"/>
      <c r="V5" s="88"/>
    </row>
    <row r="6" spans="1:23" s="28" customFormat="1" ht="28.5" customHeight="1">
      <c r="A6" s="27"/>
      <c r="B6" s="100" t="s">
        <v>37</v>
      </c>
      <c r="C6" s="101"/>
      <c r="D6" s="102" t="str">
        <f>IF(E2="","",VLOOKUP(WEEKDAY(E6,16),Day[],2))</f>
        <v/>
      </c>
      <c r="E6" s="103" t="str">
        <f>IF(E2="","",LOOKUP(BOD_IHD,IHD_Calc[Delivery Date],IHD_Calc[Est Order Date]))</f>
        <v/>
      </c>
      <c r="F6" s="104"/>
      <c r="G6" s="6" t="s">
        <v>38</v>
      </c>
      <c r="H6" s="6"/>
      <c r="I6" s="6"/>
      <c r="J6" s="6"/>
      <c r="K6" s="6"/>
      <c r="L6" s="6"/>
      <c r="S6" s="93"/>
      <c r="T6" s="93"/>
      <c r="U6" s="93"/>
      <c r="V6" s="88"/>
    </row>
    <row r="7" spans="1:23" s="28" customFormat="1" ht="28.5" customHeight="1">
      <c r="A7" s="27"/>
      <c r="B7" s="105" t="s">
        <v>39</v>
      </c>
      <c r="C7" s="106"/>
      <c r="D7" s="107" t="str">
        <f>IF(E2="","",VLOOKUP(WEEKDAY(E7,16),Day[],2))</f>
        <v/>
      </c>
      <c r="E7" s="103" t="str">
        <f>IF(E2="","",LOOKUP(BOD_IHD,IHD_Calc[Delivery Date],IHD_Calc[Approval Date]))</f>
        <v/>
      </c>
      <c r="F7" s="108"/>
      <c r="G7" s="6" t="s">
        <v>40</v>
      </c>
      <c r="H7" s="6"/>
      <c r="I7" s="6"/>
      <c r="J7" s="6"/>
      <c r="K7" s="6"/>
      <c r="L7" s="6"/>
      <c r="S7" s="93"/>
      <c r="T7" s="93"/>
      <c r="U7" s="93"/>
      <c r="V7" s="88"/>
    </row>
    <row r="8" spans="1:23" s="28" customFormat="1" ht="28.5" customHeight="1">
      <c r="A8" s="27"/>
      <c r="B8" s="94" t="s">
        <v>41</v>
      </c>
      <c r="C8" s="15"/>
      <c r="D8" s="15"/>
      <c r="E8" s="109"/>
      <c r="G8" s="6" t="s">
        <v>42</v>
      </c>
      <c r="H8" s="6"/>
      <c r="I8" s="6"/>
      <c r="J8" s="6"/>
      <c r="K8" s="6"/>
      <c r="L8" s="110"/>
      <c r="Q8" s="111"/>
      <c r="R8" s="111"/>
      <c r="S8" s="111"/>
      <c r="T8" s="111"/>
      <c r="U8" s="111"/>
      <c r="V8" s="88"/>
    </row>
    <row r="9" spans="1:23" s="28" customFormat="1" ht="28.5" customHeight="1">
      <c r="A9" s="27"/>
      <c r="B9" s="105" t="s">
        <v>43</v>
      </c>
      <c r="C9" s="106"/>
      <c r="D9" s="102" t="str">
        <f>IFERROR(IF(E2="","",VLOOKUP(WEEKDAY(E9,16),Day[],2)),"Error")</f>
        <v/>
      </c>
      <c r="E9" s="103" t="str">
        <f>IF(E2="","",LOOKUP(BOD_IHD,IHD_Calc[Delivery Date],IHD_Calc[In Transit]))</f>
        <v/>
      </c>
      <c r="G9" s="6"/>
      <c r="H9" s="6"/>
      <c r="I9" s="6"/>
      <c r="J9" s="6"/>
      <c r="K9" s="6"/>
      <c r="L9" s="110"/>
      <c r="Q9" s="4" t="str">
        <f>IF(E2="","","   ** Bowlifi will use their best efforts to meet the In Hand Date, but In Hand Dates are not guaranteed.")</f>
        <v/>
      </c>
      <c r="R9" s="4"/>
      <c r="S9" s="4"/>
      <c r="T9" s="4"/>
      <c r="U9" s="4"/>
      <c r="V9" s="88"/>
    </row>
    <row r="10" spans="1:23" s="28" customFormat="1" ht="28.5" customHeight="1">
      <c r="A10" s="27"/>
      <c r="B10" s="14" t="s">
        <v>44</v>
      </c>
      <c r="C10" s="15"/>
      <c r="D10" s="97" t="str">
        <f>IF(E2="","","Tuesday")</f>
        <v/>
      </c>
      <c r="E10" s="103" t="str">
        <f>IF(E2="","",LOOKUP(BOD_IHD,IHD_Calc[Delivery Date],IHD_Calc[Est Ship Date]))</f>
        <v/>
      </c>
      <c r="F10" s="112"/>
      <c r="G10" s="6" t="s">
        <v>45</v>
      </c>
      <c r="H10" s="6"/>
      <c r="I10" s="6"/>
      <c r="J10" s="6"/>
      <c r="K10" s="6"/>
      <c r="L10" s="113"/>
      <c r="P10" s="114">
        <f ca="1">_xlfn.XLOOKUP(Selected_ProdPriority,IHD_Calc[Production Priority],IHD_Calc[Delivery Date])</f>
        <v>46169</v>
      </c>
      <c r="Q10" s="4"/>
      <c r="R10" s="4"/>
      <c r="S10" s="4"/>
      <c r="T10" s="4"/>
      <c r="U10" s="4"/>
      <c r="V10" s="88"/>
    </row>
    <row r="11" spans="1:23" s="28" customFormat="1" ht="28.5" customHeight="1">
      <c r="A11" s="27"/>
      <c r="B11" s="3" t="s">
        <v>46</v>
      </c>
      <c r="C11" s="3"/>
      <c r="D11" s="89"/>
      <c r="E11" s="115" t="str">
        <f>IF(E2="","",LOOKUP(BOD_IHD,IHD_Calc[Delivery Date],IHD_Calc[Shipping]))</f>
        <v/>
      </c>
      <c r="F11" s="112"/>
      <c r="G11" s="6"/>
      <c r="H11" s="6"/>
      <c r="I11" s="6"/>
      <c r="J11" s="6"/>
      <c r="K11" s="6"/>
      <c r="L11" s="113"/>
      <c r="P11" s="114"/>
      <c r="Q11" s="99"/>
      <c r="R11" s="99"/>
      <c r="S11" s="99"/>
      <c r="T11" s="99"/>
      <c r="U11" s="99"/>
      <c r="V11" s="88"/>
    </row>
    <row r="12" spans="1:23" s="28" customFormat="1" ht="28.5" customHeight="1">
      <c r="A12" s="27"/>
      <c r="B12" s="116" t="s">
        <v>47</v>
      </c>
      <c r="C12" s="117"/>
      <c r="D12" s="118" t="str">
        <f>IF(E2="","",VLOOKUP(WEEKDAY(E12,16),Day[],2))</f>
        <v/>
      </c>
      <c r="E12" s="119" t="str">
        <f>IF(E2="","",LOOKUP(BOD_IHD,IHD_Calc[Delivery Date],IHD_Calc[Delivery Date]))</f>
        <v/>
      </c>
      <c r="F12" s="112"/>
      <c r="G12" s="2" t="s">
        <v>48</v>
      </c>
      <c r="H12" s="2"/>
      <c r="I12" s="2"/>
      <c r="J12" s="2"/>
      <c r="K12" s="2"/>
      <c r="L12" s="113"/>
      <c r="P12" s="114"/>
      <c r="Q12" s="99"/>
      <c r="R12" s="99"/>
      <c r="S12" s="99"/>
      <c r="T12" s="99"/>
      <c r="U12" s="99"/>
      <c r="V12" s="88"/>
    </row>
    <row r="13" spans="1:23" s="28" customFormat="1" ht="14.25" customHeight="1">
      <c r="A13" s="27"/>
      <c r="B13" s="112"/>
      <c r="C13" s="112"/>
      <c r="D13" s="112"/>
      <c r="E13" s="112"/>
      <c r="F13" s="112"/>
      <c r="G13" s="2"/>
      <c r="H13" s="2"/>
      <c r="I13" s="2"/>
      <c r="J13" s="2"/>
      <c r="K13" s="2"/>
      <c r="L13" s="113"/>
      <c r="R13" s="99"/>
      <c r="S13" s="99"/>
      <c r="T13" s="99"/>
      <c r="U13" s="99"/>
      <c r="V13" s="88"/>
    </row>
    <row r="14" spans="1:23" s="28" customFormat="1" ht="7.5" customHeight="1">
      <c r="A14" s="27"/>
      <c r="B14" s="120"/>
      <c r="C14" s="120"/>
      <c r="D14" s="120"/>
      <c r="E14" s="120"/>
      <c r="F14" s="120"/>
      <c r="G14" s="121"/>
      <c r="H14" s="93"/>
      <c r="I14" s="93"/>
      <c r="J14" s="93"/>
      <c r="K14" s="93"/>
      <c r="L14" s="93"/>
      <c r="M14" s="93"/>
      <c r="N14" s="93"/>
      <c r="O14" s="93"/>
      <c r="P14" s="93"/>
      <c r="Q14" s="93"/>
      <c r="R14" s="93"/>
      <c r="S14" s="93"/>
      <c r="T14" s="93"/>
      <c r="U14" s="93"/>
      <c r="V14" s="88"/>
    </row>
    <row r="15" spans="1:23" s="127" customFormat="1" ht="28.8">
      <c r="A15" s="11"/>
      <c r="B15" s="122"/>
      <c r="C15" s="123" t="s">
        <v>49</v>
      </c>
      <c r="D15" s="124" t="s">
        <v>50</v>
      </c>
      <c r="E15" s="123" t="s">
        <v>51</v>
      </c>
      <c r="F15" s="125" t="s">
        <v>52</v>
      </c>
      <c r="G15" s="123" t="s">
        <v>53</v>
      </c>
      <c r="H15" s="123" t="s">
        <v>54</v>
      </c>
      <c r="I15" s="125" t="s">
        <v>55</v>
      </c>
      <c r="J15" s="123" t="s">
        <v>56</v>
      </c>
      <c r="K15" s="123" t="str">
        <f>"Name on Back of Jersey (Optional +"&amp;TEXT(_xlfn.XLOOKUP("Name",Name[Name],Name[Price]),"0.00")&amp;")"</f>
        <v>Name on Back of Jersey (Optional +8.00)</v>
      </c>
      <c r="L15" s="123" t="s">
        <v>57</v>
      </c>
      <c r="M15" s="123" t="s">
        <v>58</v>
      </c>
      <c r="N15" s="125" t="s">
        <v>59</v>
      </c>
      <c r="O15" s="123" t="s">
        <v>60</v>
      </c>
      <c r="P15" s="123" t="s">
        <v>61</v>
      </c>
      <c r="Q15" s="123" t="s">
        <v>62</v>
      </c>
      <c r="R15" s="123" t="s">
        <v>63</v>
      </c>
      <c r="S15" s="123" t="s">
        <v>64</v>
      </c>
      <c r="T15" s="123" t="s">
        <v>65</v>
      </c>
      <c r="U15" s="123" t="s">
        <v>66</v>
      </c>
      <c r="V15" s="126"/>
    </row>
    <row r="16" spans="1:23" s="28" customFormat="1" ht="30" customHeight="1">
      <c r="A16" s="27"/>
      <c r="B16" s="128">
        <v>1</v>
      </c>
      <c r="C16" s="129"/>
      <c r="D16" s="130"/>
      <c r="E16" s="131"/>
      <c r="F16" s="131"/>
      <c r="G16" s="131"/>
      <c r="H16" s="131"/>
      <c r="I16" s="132"/>
      <c r="J16" s="131"/>
      <c r="K16" s="133"/>
      <c r="L16" s="131"/>
      <c r="M16" s="131"/>
      <c r="N16" s="131"/>
      <c r="O16" s="132"/>
      <c r="P16" s="132"/>
      <c r="Q16" s="132"/>
      <c r="R16" s="132"/>
      <c r="S16" s="132"/>
      <c r="T16" s="134"/>
      <c r="U16" s="134"/>
      <c r="V16" s="88"/>
      <c r="W16" s="28" t="str">
        <f>IFERROR(_xlfn.XLOOKUP(H16,Collection[Display],Collection[Line])&amp;_xlfn.XLOOKUP(I16,Sleeve[Display],Sleeve[Sleeve]),"")</f>
        <v/>
      </c>
    </row>
    <row r="17" spans="1:23" s="28" customFormat="1" ht="30" customHeight="1">
      <c r="A17" s="27"/>
      <c r="B17" s="135">
        <v>2</v>
      </c>
      <c r="C17" s="129"/>
      <c r="D17" s="130"/>
      <c r="E17" s="131"/>
      <c r="F17" s="131"/>
      <c r="G17" s="131"/>
      <c r="H17" s="131"/>
      <c r="I17" s="132"/>
      <c r="J17" s="131"/>
      <c r="K17" s="133"/>
      <c r="L17" s="131"/>
      <c r="M17" s="131"/>
      <c r="N17" s="131"/>
      <c r="O17" s="132"/>
      <c r="P17" s="132"/>
      <c r="Q17" s="132"/>
      <c r="R17" s="132"/>
      <c r="S17" s="132"/>
      <c r="T17" s="134"/>
      <c r="U17" s="134"/>
      <c r="V17" s="88"/>
      <c r="W17" s="28" t="str">
        <f>IFERROR(_xlfn.XLOOKUP(H17,Collection[Display],Collection[Line])&amp;_xlfn.XLOOKUP(I17,Sleeve[Display],Sleeve[Sleeve]),"")</f>
        <v/>
      </c>
    </row>
    <row r="18" spans="1:23" s="28" customFormat="1" ht="30" customHeight="1">
      <c r="A18" s="27"/>
      <c r="B18" s="135">
        <v>3</v>
      </c>
      <c r="C18" s="129"/>
      <c r="D18" s="130"/>
      <c r="E18" s="131"/>
      <c r="F18" s="131"/>
      <c r="G18" s="131"/>
      <c r="H18" s="131"/>
      <c r="I18" s="132"/>
      <c r="J18" s="131"/>
      <c r="K18" s="133"/>
      <c r="L18" s="131"/>
      <c r="M18" s="131"/>
      <c r="N18" s="131"/>
      <c r="O18" s="132"/>
      <c r="P18" s="132"/>
      <c r="Q18" s="132"/>
      <c r="R18" s="132"/>
      <c r="S18" s="132"/>
      <c r="T18" s="134"/>
      <c r="U18" s="134"/>
      <c r="V18" s="88"/>
      <c r="W18" s="28" t="str">
        <f>IFERROR(_xlfn.XLOOKUP(H18,Collection[Display],Collection[Line])&amp;_xlfn.XLOOKUP(I18,Sleeve[Display],Sleeve[Sleeve]),"")</f>
        <v/>
      </c>
    </row>
    <row r="19" spans="1:23" s="28" customFormat="1" ht="30" customHeight="1">
      <c r="A19" s="27"/>
      <c r="B19" s="135">
        <v>4</v>
      </c>
      <c r="C19" s="129"/>
      <c r="D19" s="130"/>
      <c r="E19" s="131"/>
      <c r="F19" s="131"/>
      <c r="G19" s="131"/>
      <c r="H19" s="131"/>
      <c r="I19" s="132"/>
      <c r="J19" s="131"/>
      <c r="K19" s="133"/>
      <c r="L19" s="131"/>
      <c r="M19" s="131"/>
      <c r="N19" s="131"/>
      <c r="O19" s="132"/>
      <c r="P19" s="132"/>
      <c r="Q19" s="132"/>
      <c r="R19" s="132"/>
      <c r="S19" s="132"/>
      <c r="T19" s="134"/>
      <c r="U19" s="134"/>
      <c r="V19" s="88"/>
      <c r="W19" s="28" t="str">
        <f>IFERROR(_xlfn.XLOOKUP(H19,Collection[Display],Collection[Line])&amp;_xlfn.XLOOKUP(I19,Sleeve[Display],Sleeve[Sleeve]),"")</f>
        <v/>
      </c>
    </row>
    <row r="20" spans="1:23" s="28" customFormat="1" ht="30" customHeight="1">
      <c r="A20" s="27"/>
      <c r="B20" s="135">
        <v>5</v>
      </c>
      <c r="C20" s="129"/>
      <c r="D20" s="130"/>
      <c r="E20" s="131"/>
      <c r="F20" s="131"/>
      <c r="G20" s="131"/>
      <c r="H20" s="131"/>
      <c r="I20" s="132"/>
      <c r="J20" s="131"/>
      <c r="K20" s="133"/>
      <c r="L20" s="131"/>
      <c r="M20" s="131"/>
      <c r="N20" s="131"/>
      <c r="O20" s="132"/>
      <c r="P20" s="132"/>
      <c r="Q20" s="132"/>
      <c r="R20" s="132"/>
      <c r="S20" s="132"/>
      <c r="T20" s="134"/>
      <c r="U20" s="134"/>
      <c r="V20" s="88"/>
      <c r="W20" s="28" t="str">
        <f>IFERROR(_xlfn.XLOOKUP(H20,Collection[Display],Collection[Line])&amp;_xlfn.XLOOKUP(I20,Sleeve[Display],Sleeve[Sleeve]),"")</f>
        <v/>
      </c>
    </row>
    <row r="21" spans="1:23" s="28" customFormat="1" ht="30" customHeight="1">
      <c r="A21" s="27"/>
      <c r="B21" s="135">
        <v>6</v>
      </c>
      <c r="C21" s="129"/>
      <c r="D21" s="130"/>
      <c r="E21" s="131"/>
      <c r="F21" s="131"/>
      <c r="G21" s="131"/>
      <c r="H21" s="131"/>
      <c r="I21" s="132"/>
      <c r="J21" s="131"/>
      <c r="K21" s="133"/>
      <c r="L21" s="131"/>
      <c r="M21" s="131"/>
      <c r="N21" s="131"/>
      <c r="O21" s="132"/>
      <c r="P21" s="132"/>
      <c r="Q21" s="132"/>
      <c r="R21" s="132"/>
      <c r="S21" s="132"/>
      <c r="T21" s="134"/>
      <c r="U21" s="134"/>
      <c r="V21" s="27"/>
      <c r="W21" s="28" t="str">
        <f>IFERROR(_xlfn.XLOOKUP(H21,Collection[Display],Collection[Line])&amp;_xlfn.XLOOKUP(I21,Sleeve[Display],Sleeve[Sleeve]),"")</f>
        <v/>
      </c>
    </row>
    <row r="22" spans="1:23" s="28" customFormat="1" ht="30" customHeight="1">
      <c r="A22" s="27"/>
      <c r="B22" s="135">
        <v>7</v>
      </c>
      <c r="C22" s="129"/>
      <c r="D22" s="130"/>
      <c r="E22" s="131"/>
      <c r="F22" s="131"/>
      <c r="G22" s="131"/>
      <c r="H22" s="131"/>
      <c r="I22" s="132"/>
      <c r="J22" s="131"/>
      <c r="K22" s="133"/>
      <c r="L22" s="131"/>
      <c r="M22" s="131"/>
      <c r="N22" s="131"/>
      <c r="O22" s="132"/>
      <c r="P22" s="132"/>
      <c r="Q22" s="132"/>
      <c r="R22" s="132"/>
      <c r="S22" s="132"/>
      <c r="T22" s="134"/>
      <c r="U22" s="134"/>
      <c r="V22" s="27"/>
      <c r="W22" s="28" t="str">
        <f>IFERROR(_xlfn.XLOOKUP(H22,Collection[Display],Collection[Line])&amp;_xlfn.XLOOKUP(I22,Sleeve[Display],Sleeve[Sleeve]),"")</f>
        <v/>
      </c>
    </row>
    <row r="23" spans="1:23" s="28" customFormat="1" ht="30" customHeight="1">
      <c r="A23" s="27"/>
      <c r="B23" s="135">
        <v>8</v>
      </c>
      <c r="C23" s="129"/>
      <c r="D23" s="130"/>
      <c r="E23" s="131"/>
      <c r="F23" s="131"/>
      <c r="G23" s="131"/>
      <c r="H23" s="131"/>
      <c r="I23" s="132"/>
      <c r="J23" s="131"/>
      <c r="K23" s="133"/>
      <c r="L23" s="131"/>
      <c r="M23" s="131"/>
      <c r="N23" s="131"/>
      <c r="O23" s="132"/>
      <c r="P23" s="132"/>
      <c r="Q23" s="132"/>
      <c r="R23" s="132"/>
      <c r="S23" s="132"/>
      <c r="T23" s="134"/>
      <c r="U23" s="134"/>
      <c r="V23" s="27"/>
      <c r="W23" s="28" t="str">
        <f>IFERROR(_xlfn.XLOOKUP(H23,Collection[Display],Collection[Line])&amp;_xlfn.XLOOKUP(I23,Sleeve[Display],Sleeve[Sleeve]),"")</f>
        <v/>
      </c>
    </row>
    <row r="24" spans="1:23" s="28" customFormat="1" ht="30" customHeight="1">
      <c r="A24" s="27"/>
      <c r="B24" s="135">
        <v>9</v>
      </c>
      <c r="C24" s="129"/>
      <c r="D24" s="130"/>
      <c r="E24" s="131"/>
      <c r="F24" s="131"/>
      <c r="G24" s="131"/>
      <c r="H24" s="131"/>
      <c r="I24" s="132"/>
      <c r="J24" s="131"/>
      <c r="K24" s="133"/>
      <c r="L24" s="131"/>
      <c r="M24" s="131"/>
      <c r="N24" s="131"/>
      <c r="O24" s="132"/>
      <c r="P24" s="132"/>
      <c r="Q24" s="132"/>
      <c r="R24" s="132"/>
      <c r="S24" s="132"/>
      <c r="T24" s="134"/>
      <c r="U24" s="134"/>
      <c r="V24" s="27"/>
      <c r="W24" s="28" t="str">
        <f>IFERROR(_xlfn.XLOOKUP(H24,Collection[Display],Collection[Line])&amp;_xlfn.XLOOKUP(I24,Sleeve[Display],Sleeve[Sleeve]),"")</f>
        <v/>
      </c>
    </row>
    <row r="25" spans="1:23" s="28" customFormat="1" ht="30" customHeight="1">
      <c r="A25" s="27"/>
      <c r="B25" s="135">
        <v>10</v>
      </c>
      <c r="C25" s="129"/>
      <c r="D25" s="130"/>
      <c r="E25" s="131"/>
      <c r="F25" s="131"/>
      <c r="G25" s="131"/>
      <c r="H25" s="131"/>
      <c r="I25" s="132"/>
      <c r="J25" s="131"/>
      <c r="K25" s="133"/>
      <c r="L25" s="131"/>
      <c r="M25" s="131"/>
      <c r="N25" s="131"/>
      <c r="O25" s="132"/>
      <c r="P25" s="132"/>
      <c r="Q25" s="132"/>
      <c r="R25" s="132"/>
      <c r="S25" s="132"/>
      <c r="T25" s="134"/>
      <c r="U25" s="134"/>
      <c r="V25" s="27"/>
      <c r="W25" s="28" t="str">
        <f>IFERROR(_xlfn.XLOOKUP(H25,Collection[Display],Collection[Line])&amp;_xlfn.XLOOKUP(I25,Sleeve[Display],Sleeve[Sleeve]),"")</f>
        <v/>
      </c>
    </row>
    <row r="26" spans="1:23" s="28" customFormat="1" ht="30" customHeight="1">
      <c r="A26" s="27"/>
      <c r="B26" s="135">
        <v>11</v>
      </c>
      <c r="C26" s="129"/>
      <c r="D26" s="130"/>
      <c r="E26" s="131"/>
      <c r="F26" s="131"/>
      <c r="G26" s="131"/>
      <c r="H26" s="131"/>
      <c r="I26" s="132"/>
      <c r="J26" s="131"/>
      <c r="K26" s="133"/>
      <c r="L26" s="131"/>
      <c r="M26" s="131"/>
      <c r="N26" s="131"/>
      <c r="O26" s="132"/>
      <c r="P26" s="132"/>
      <c r="Q26" s="132"/>
      <c r="R26" s="132"/>
      <c r="S26" s="132"/>
      <c r="T26" s="134"/>
      <c r="U26" s="134"/>
      <c r="V26" s="27"/>
      <c r="W26" s="28" t="str">
        <f>IFERROR(_xlfn.XLOOKUP(H26,Collection[Display],Collection[Line])&amp;_xlfn.XLOOKUP(I26,Sleeve[Display],Sleeve[Sleeve]),"")</f>
        <v/>
      </c>
    </row>
    <row r="27" spans="1:23" s="28" customFormat="1" ht="30" customHeight="1">
      <c r="A27" s="27"/>
      <c r="B27" s="135">
        <v>12</v>
      </c>
      <c r="C27" s="129"/>
      <c r="D27" s="130"/>
      <c r="E27" s="131"/>
      <c r="F27" s="131"/>
      <c r="G27" s="131"/>
      <c r="H27" s="131"/>
      <c r="I27" s="132"/>
      <c r="J27" s="131"/>
      <c r="K27" s="133"/>
      <c r="L27" s="131"/>
      <c r="M27" s="131"/>
      <c r="N27" s="131"/>
      <c r="O27" s="132"/>
      <c r="P27" s="132"/>
      <c r="Q27" s="132"/>
      <c r="R27" s="132"/>
      <c r="S27" s="132"/>
      <c r="T27" s="134"/>
      <c r="U27" s="134"/>
      <c r="V27" s="27"/>
      <c r="W27" s="28" t="str">
        <f>IFERROR(_xlfn.XLOOKUP(H27,Collection[Display],Collection[Line])&amp;_xlfn.XLOOKUP(I27,Sleeve[Display],Sleeve[Sleeve]),"")</f>
        <v/>
      </c>
    </row>
    <row r="28" spans="1:23" s="28" customFormat="1" ht="30" customHeight="1">
      <c r="A28" s="27"/>
      <c r="B28" s="135">
        <v>13</v>
      </c>
      <c r="C28" s="136"/>
      <c r="D28" s="130"/>
      <c r="E28" s="131"/>
      <c r="F28" s="131"/>
      <c r="G28" s="131"/>
      <c r="H28" s="131"/>
      <c r="I28" s="132"/>
      <c r="J28" s="131"/>
      <c r="K28" s="136"/>
      <c r="L28" s="131"/>
      <c r="M28" s="131"/>
      <c r="N28" s="131"/>
      <c r="O28" s="132"/>
      <c r="P28" s="132"/>
      <c r="Q28" s="132"/>
      <c r="R28" s="132"/>
      <c r="S28" s="132"/>
      <c r="T28" s="134"/>
      <c r="U28" s="134"/>
      <c r="V28" s="27"/>
      <c r="W28" s="28" t="str">
        <f>IFERROR(_xlfn.XLOOKUP(H28,Collection[Display],Collection[Line])&amp;_xlfn.XLOOKUP(I28,Sleeve[Display],Sleeve[Sleeve]),"")</f>
        <v/>
      </c>
    </row>
    <row r="29" spans="1:23" s="28" customFormat="1" ht="30" customHeight="1">
      <c r="A29" s="27"/>
      <c r="B29" s="135">
        <v>14</v>
      </c>
      <c r="C29" s="136"/>
      <c r="D29" s="130"/>
      <c r="E29" s="131"/>
      <c r="F29" s="131"/>
      <c r="G29" s="131"/>
      <c r="H29" s="131"/>
      <c r="I29" s="132"/>
      <c r="J29" s="131"/>
      <c r="K29" s="136"/>
      <c r="L29" s="131"/>
      <c r="M29" s="131"/>
      <c r="N29" s="131"/>
      <c r="O29" s="132"/>
      <c r="P29" s="132"/>
      <c r="Q29" s="132"/>
      <c r="R29" s="132"/>
      <c r="S29" s="132"/>
      <c r="T29" s="134"/>
      <c r="U29" s="134"/>
      <c r="V29" s="27"/>
      <c r="W29" s="28" t="str">
        <f>IFERROR(_xlfn.XLOOKUP(H29,Collection[Display],Collection[Line])&amp;_xlfn.XLOOKUP(I29,Sleeve[Display],Sleeve[Sleeve]),"")</f>
        <v/>
      </c>
    </row>
    <row r="30" spans="1:23" s="28" customFormat="1" ht="30" customHeight="1">
      <c r="A30" s="27"/>
      <c r="B30" s="135">
        <v>15</v>
      </c>
      <c r="C30" s="136"/>
      <c r="D30" s="130"/>
      <c r="E30" s="131"/>
      <c r="F30" s="131"/>
      <c r="G30" s="131"/>
      <c r="H30" s="131"/>
      <c r="I30" s="132"/>
      <c r="J30" s="131"/>
      <c r="K30" s="133"/>
      <c r="L30" s="131"/>
      <c r="M30" s="131"/>
      <c r="N30" s="131"/>
      <c r="O30" s="132"/>
      <c r="P30" s="132"/>
      <c r="Q30" s="132"/>
      <c r="R30" s="132"/>
      <c r="S30" s="132"/>
      <c r="T30" s="134"/>
      <c r="U30" s="134"/>
      <c r="V30" s="27"/>
      <c r="W30" s="28" t="str">
        <f>IFERROR(_xlfn.XLOOKUP(H30,Collection[Display],Collection[Line])&amp;_xlfn.XLOOKUP(I30,Sleeve[Display],Sleeve[Sleeve]),"")</f>
        <v/>
      </c>
    </row>
    <row r="31" spans="1:23" s="28" customFormat="1" ht="30" customHeight="1">
      <c r="A31" s="27"/>
      <c r="B31" s="135">
        <v>16</v>
      </c>
      <c r="C31" s="136"/>
      <c r="D31" s="130"/>
      <c r="E31" s="131"/>
      <c r="F31" s="131"/>
      <c r="G31" s="131"/>
      <c r="H31" s="131"/>
      <c r="I31" s="132"/>
      <c r="J31" s="131"/>
      <c r="K31" s="132"/>
      <c r="L31" s="131"/>
      <c r="M31" s="131"/>
      <c r="N31" s="131"/>
      <c r="O31" s="132"/>
      <c r="P31" s="132"/>
      <c r="Q31" s="132"/>
      <c r="R31" s="132"/>
      <c r="S31" s="132"/>
      <c r="T31" s="134"/>
      <c r="U31" s="134"/>
      <c r="V31" s="27"/>
      <c r="W31" s="28" t="str">
        <f>IFERROR(_xlfn.XLOOKUP(H31,Collection[Display],Collection[Line])&amp;_xlfn.XLOOKUP(I31,Sleeve[Display],Sleeve[Sleeve]),"")</f>
        <v/>
      </c>
    </row>
    <row r="32" spans="1:23" s="28" customFormat="1" ht="30" customHeight="1">
      <c r="A32" s="27"/>
      <c r="B32" s="135">
        <v>17</v>
      </c>
      <c r="C32" s="136"/>
      <c r="D32" s="130"/>
      <c r="E32" s="131"/>
      <c r="F32" s="131"/>
      <c r="G32" s="131"/>
      <c r="H32" s="131"/>
      <c r="I32" s="132"/>
      <c r="J32" s="131"/>
      <c r="K32" s="132"/>
      <c r="L32" s="131"/>
      <c r="M32" s="131"/>
      <c r="N32" s="131"/>
      <c r="O32" s="132"/>
      <c r="P32" s="132"/>
      <c r="Q32" s="132"/>
      <c r="R32" s="132"/>
      <c r="S32" s="132"/>
      <c r="T32" s="134"/>
      <c r="U32" s="134"/>
      <c r="V32" s="27"/>
      <c r="W32" s="28" t="str">
        <f>IFERROR(_xlfn.XLOOKUP(H32,Collection[Display],Collection[Line])&amp;_xlfn.XLOOKUP(I32,Sleeve[Display],Sleeve[Sleeve]),"")</f>
        <v/>
      </c>
    </row>
    <row r="33" spans="1:23" s="28" customFormat="1" ht="30" customHeight="1">
      <c r="A33" s="27"/>
      <c r="B33" s="135">
        <v>18</v>
      </c>
      <c r="C33" s="136"/>
      <c r="D33" s="130"/>
      <c r="E33" s="131"/>
      <c r="F33" s="131"/>
      <c r="G33" s="131"/>
      <c r="H33" s="131"/>
      <c r="I33" s="132"/>
      <c r="J33" s="131"/>
      <c r="K33" s="132"/>
      <c r="L33" s="131"/>
      <c r="M33" s="131"/>
      <c r="N33" s="131"/>
      <c r="O33" s="132"/>
      <c r="P33" s="132"/>
      <c r="Q33" s="132"/>
      <c r="R33" s="132"/>
      <c r="S33" s="132"/>
      <c r="T33" s="134"/>
      <c r="U33" s="134"/>
      <c r="V33" s="27"/>
      <c r="W33" s="28" t="str">
        <f>IFERROR(_xlfn.XLOOKUP(H33,Collection[Display],Collection[Line])&amp;_xlfn.XLOOKUP(I33,Sleeve[Display],Sleeve[Sleeve]),"")</f>
        <v/>
      </c>
    </row>
    <row r="34" spans="1:23" s="28" customFormat="1" ht="30" customHeight="1">
      <c r="A34" s="27"/>
      <c r="B34" s="135">
        <v>19</v>
      </c>
      <c r="C34" s="136"/>
      <c r="D34" s="130"/>
      <c r="E34" s="131"/>
      <c r="F34" s="131"/>
      <c r="G34" s="131"/>
      <c r="H34" s="131"/>
      <c r="I34" s="132"/>
      <c r="J34" s="131"/>
      <c r="K34" s="132"/>
      <c r="L34" s="131"/>
      <c r="M34" s="131"/>
      <c r="N34" s="131"/>
      <c r="O34" s="132"/>
      <c r="P34" s="132"/>
      <c r="Q34" s="132"/>
      <c r="R34" s="132"/>
      <c r="S34" s="132"/>
      <c r="T34" s="134"/>
      <c r="U34" s="134"/>
      <c r="V34" s="27"/>
      <c r="W34" s="28" t="str">
        <f>IFERROR(_xlfn.XLOOKUP(H34,Collection[Display],Collection[Line])&amp;_xlfn.XLOOKUP(I34,Sleeve[Display],Sleeve[Sleeve]),"")</f>
        <v/>
      </c>
    </row>
    <row r="35" spans="1:23" s="28" customFormat="1" ht="30" customHeight="1">
      <c r="A35" s="27"/>
      <c r="B35" s="135">
        <v>20</v>
      </c>
      <c r="C35" s="136"/>
      <c r="D35" s="130"/>
      <c r="E35" s="131"/>
      <c r="F35" s="131"/>
      <c r="G35" s="131"/>
      <c r="H35" s="131"/>
      <c r="I35" s="132"/>
      <c r="J35" s="131"/>
      <c r="K35" s="132"/>
      <c r="L35" s="131"/>
      <c r="M35" s="131"/>
      <c r="N35" s="131"/>
      <c r="O35" s="132"/>
      <c r="P35" s="132"/>
      <c r="Q35" s="132"/>
      <c r="R35" s="132"/>
      <c r="S35" s="132"/>
      <c r="T35" s="134"/>
      <c r="U35" s="134"/>
      <c r="V35" s="27"/>
      <c r="W35" s="28" t="str">
        <f>IFERROR(_xlfn.XLOOKUP(H35,Collection[Display],Collection[Line])&amp;_xlfn.XLOOKUP(I35,Sleeve[Display],Sleeve[Sleeve]),"")</f>
        <v/>
      </c>
    </row>
    <row r="36" spans="1:23" s="28" customFormat="1" ht="30" customHeight="1">
      <c r="A36" s="27"/>
      <c r="B36" s="135">
        <v>21</v>
      </c>
      <c r="C36" s="136"/>
      <c r="D36" s="130"/>
      <c r="E36" s="131"/>
      <c r="F36" s="131"/>
      <c r="G36" s="131"/>
      <c r="H36" s="131"/>
      <c r="I36" s="132"/>
      <c r="J36" s="131"/>
      <c r="K36" s="132"/>
      <c r="L36" s="131"/>
      <c r="M36" s="131"/>
      <c r="N36" s="131"/>
      <c r="O36" s="132"/>
      <c r="P36" s="132"/>
      <c r="Q36" s="132"/>
      <c r="R36" s="132"/>
      <c r="S36" s="132"/>
      <c r="T36" s="134"/>
      <c r="U36" s="134"/>
      <c r="V36" s="27"/>
      <c r="W36" s="28" t="str">
        <f>IFERROR(_xlfn.XLOOKUP(H36,Collection[Display],Collection[Line])&amp;_xlfn.XLOOKUP(I36,Sleeve[Display],Sleeve[Sleeve]),"")</f>
        <v/>
      </c>
    </row>
    <row r="37" spans="1:23" s="28" customFormat="1" ht="30" customHeight="1">
      <c r="A37" s="27"/>
      <c r="B37" s="135">
        <v>22</v>
      </c>
      <c r="C37" s="136"/>
      <c r="D37" s="130"/>
      <c r="E37" s="131"/>
      <c r="F37" s="131"/>
      <c r="G37" s="131"/>
      <c r="H37" s="131"/>
      <c r="I37" s="132"/>
      <c r="J37" s="131"/>
      <c r="K37" s="132"/>
      <c r="L37" s="131"/>
      <c r="M37" s="131"/>
      <c r="N37" s="131"/>
      <c r="O37" s="132"/>
      <c r="P37" s="132"/>
      <c r="Q37" s="132"/>
      <c r="R37" s="132"/>
      <c r="S37" s="132"/>
      <c r="T37" s="134"/>
      <c r="U37" s="134"/>
      <c r="V37" s="27"/>
      <c r="W37" s="28" t="str">
        <f>IFERROR(_xlfn.XLOOKUP(H37,Collection[Display],Collection[Line])&amp;_xlfn.XLOOKUP(I37,Sleeve[Display],Sleeve[Sleeve]),"")</f>
        <v/>
      </c>
    </row>
    <row r="38" spans="1:23" s="28" customFormat="1" ht="30" customHeight="1">
      <c r="A38" s="27"/>
      <c r="B38" s="135">
        <v>23</v>
      </c>
      <c r="C38" s="136"/>
      <c r="D38" s="130"/>
      <c r="E38" s="131"/>
      <c r="F38" s="131"/>
      <c r="G38" s="131"/>
      <c r="H38" s="131"/>
      <c r="I38" s="132"/>
      <c r="J38" s="131"/>
      <c r="K38" s="132"/>
      <c r="L38" s="131"/>
      <c r="M38" s="131"/>
      <c r="N38" s="131"/>
      <c r="O38" s="132"/>
      <c r="P38" s="132"/>
      <c r="Q38" s="132"/>
      <c r="R38" s="132"/>
      <c r="S38" s="132"/>
      <c r="T38" s="134"/>
      <c r="U38" s="134"/>
      <c r="V38" s="27"/>
      <c r="W38" s="28" t="str">
        <f>IFERROR(_xlfn.XLOOKUP(H38,Collection[Display],Collection[Line])&amp;_xlfn.XLOOKUP(I38,Sleeve[Display],Sleeve[Sleeve]),"")</f>
        <v/>
      </c>
    </row>
    <row r="39" spans="1:23" s="28" customFormat="1" ht="30" customHeight="1">
      <c r="A39" s="27"/>
      <c r="B39" s="135">
        <v>24</v>
      </c>
      <c r="C39" s="136"/>
      <c r="D39" s="130"/>
      <c r="E39" s="131"/>
      <c r="F39" s="131"/>
      <c r="G39" s="131"/>
      <c r="H39" s="131"/>
      <c r="I39" s="132"/>
      <c r="J39" s="131"/>
      <c r="K39" s="132"/>
      <c r="L39" s="131"/>
      <c r="M39" s="131"/>
      <c r="N39" s="131"/>
      <c r="O39" s="132"/>
      <c r="P39" s="132"/>
      <c r="Q39" s="132"/>
      <c r="R39" s="132"/>
      <c r="S39" s="132"/>
      <c r="T39" s="134"/>
      <c r="U39" s="134"/>
      <c r="V39" s="27"/>
      <c r="W39" s="28" t="str">
        <f>IFERROR(_xlfn.XLOOKUP(H39,Collection[Display],Collection[Line])&amp;_xlfn.XLOOKUP(I39,Sleeve[Display],Sleeve[Sleeve]),"")</f>
        <v/>
      </c>
    </row>
    <row r="40" spans="1:23" s="28" customFormat="1" ht="30" customHeight="1">
      <c r="A40" s="27"/>
      <c r="B40" s="135">
        <v>25</v>
      </c>
      <c r="C40" s="136"/>
      <c r="D40" s="130"/>
      <c r="E40" s="131"/>
      <c r="F40" s="131"/>
      <c r="G40" s="131"/>
      <c r="H40" s="131"/>
      <c r="I40" s="132"/>
      <c r="J40" s="131"/>
      <c r="K40" s="132"/>
      <c r="L40" s="131"/>
      <c r="M40" s="131"/>
      <c r="N40" s="131"/>
      <c r="O40" s="132"/>
      <c r="P40" s="132"/>
      <c r="Q40" s="132"/>
      <c r="R40" s="132"/>
      <c r="S40" s="132"/>
      <c r="T40" s="134"/>
      <c r="U40" s="134"/>
      <c r="V40" s="27"/>
      <c r="W40" s="28" t="str">
        <f>IFERROR(_xlfn.XLOOKUP(H40,Collection[Display],Collection[Line])&amp;_xlfn.XLOOKUP(I40,Sleeve[Display],Sleeve[Sleeve]),"")</f>
        <v/>
      </c>
    </row>
    <row r="41" spans="1:23" s="28" customFormat="1" ht="30" customHeight="1">
      <c r="A41" s="27"/>
      <c r="B41" s="135">
        <v>26</v>
      </c>
      <c r="C41" s="136"/>
      <c r="D41" s="130"/>
      <c r="E41" s="131"/>
      <c r="F41" s="131"/>
      <c r="G41" s="131"/>
      <c r="H41" s="131"/>
      <c r="I41" s="132"/>
      <c r="J41" s="131"/>
      <c r="K41" s="132"/>
      <c r="L41" s="131"/>
      <c r="M41" s="131"/>
      <c r="N41" s="131"/>
      <c r="O41" s="132"/>
      <c r="P41" s="132"/>
      <c r="Q41" s="132"/>
      <c r="R41" s="132"/>
      <c r="S41" s="132"/>
      <c r="T41" s="134"/>
      <c r="U41" s="134"/>
      <c r="V41" s="27"/>
      <c r="W41" s="28" t="str">
        <f>IFERROR(_xlfn.XLOOKUP(H41,Collection[Display],Collection[Line])&amp;_xlfn.XLOOKUP(I41,Sleeve[Display],Sleeve[Sleeve]),"")</f>
        <v/>
      </c>
    </row>
    <row r="42" spans="1:23" s="28" customFormat="1" ht="30" customHeight="1">
      <c r="A42" s="27"/>
      <c r="B42" s="135">
        <v>27</v>
      </c>
      <c r="C42" s="136"/>
      <c r="D42" s="130"/>
      <c r="E42" s="131"/>
      <c r="F42" s="131"/>
      <c r="G42" s="131"/>
      <c r="H42" s="131"/>
      <c r="I42" s="132"/>
      <c r="J42" s="131"/>
      <c r="K42" s="132"/>
      <c r="L42" s="131"/>
      <c r="M42" s="131"/>
      <c r="N42" s="131"/>
      <c r="O42" s="132"/>
      <c r="P42" s="132"/>
      <c r="Q42" s="132"/>
      <c r="R42" s="132"/>
      <c r="S42" s="132"/>
      <c r="T42" s="134"/>
      <c r="U42" s="134"/>
      <c r="V42" s="27"/>
      <c r="W42" s="28" t="str">
        <f>IFERROR(_xlfn.XLOOKUP(H42,Collection[Display],Collection[Line])&amp;_xlfn.XLOOKUP(I42,Sleeve[Display],Sleeve[Sleeve]),"")</f>
        <v/>
      </c>
    </row>
    <row r="43" spans="1:23" s="28" customFormat="1" ht="30" customHeight="1">
      <c r="A43" s="27"/>
      <c r="B43" s="135">
        <v>28</v>
      </c>
      <c r="C43" s="136"/>
      <c r="D43" s="130"/>
      <c r="E43" s="131"/>
      <c r="F43" s="131"/>
      <c r="G43" s="131"/>
      <c r="H43" s="131"/>
      <c r="I43" s="132"/>
      <c r="J43" s="131"/>
      <c r="K43" s="132"/>
      <c r="L43" s="131"/>
      <c r="M43" s="131"/>
      <c r="N43" s="131"/>
      <c r="O43" s="132"/>
      <c r="P43" s="132"/>
      <c r="Q43" s="132"/>
      <c r="R43" s="132"/>
      <c r="S43" s="132"/>
      <c r="T43" s="134"/>
      <c r="U43" s="134"/>
      <c r="V43" s="27"/>
      <c r="W43" s="28" t="str">
        <f>IFERROR(_xlfn.XLOOKUP(H43,Collection[Display],Collection[Line])&amp;_xlfn.XLOOKUP(I43,Sleeve[Display],Sleeve[Sleeve]),"")</f>
        <v/>
      </c>
    </row>
    <row r="44" spans="1:23" s="28" customFormat="1" ht="30" customHeight="1">
      <c r="A44" s="27"/>
      <c r="B44" s="135">
        <v>29</v>
      </c>
      <c r="C44" s="136"/>
      <c r="D44" s="130"/>
      <c r="E44" s="131"/>
      <c r="F44" s="131"/>
      <c r="G44" s="131"/>
      <c r="H44" s="131"/>
      <c r="I44" s="132"/>
      <c r="J44" s="131"/>
      <c r="K44" s="132"/>
      <c r="L44" s="131"/>
      <c r="M44" s="131"/>
      <c r="N44" s="131"/>
      <c r="O44" s="132"/>
      <c r="P44" s="132"/>
      <c r="Q44" s="132"/>
      <c r="R44" s="132"/>
      <c r="S44" s="132"/>
      <c r="T44" s="134"/>
      <c r="U44" s="134"/>
      <c r="V44" s="27"/>
      <c r="W44" s="28" t="str">
        <f>IFERROR(_xlfn.XLOOKUP(H44,Collection[Display],Collection[Line])&amp;_xlfn.XLOOKUP(I44,Sleeve[Display],Sleeve[Sleeve]),"")</f>
        <v/>
      </c>
    </row>
    <row r="45" spans="1:23" s="28" customFormat="1" ht="30" customHeight="1">
      <c r="A45" s="27"/>
      <c r="B45" s="135">
        <v>30</v>
      </c>
      <c r="C45" s="136"/>
      <c r="D45" s="130"/>
      <c r="E45" s="131"/>
      <c r="F45" s="131"/>
      <c r="G45" s="131"/>
      <c r="H45" s="131"/>
      <c r="I45" s="132"/>
      <c r="J45" s="131"/>
      <c r="K45" s="132"/>
      <c r="L45" s="131"/>
      <c r="M45" s="131"/>
      <c r="N45" s="131"/>
      <c r="O45" s="132"/>
      <c r="P45" s="132"/>
      <c r="Q45" s="132"/>
      <c r="R45" s="132"/>
      <c r="S45" s="132"/>
      <c r="T45" s="134"/>
      <c r="U45" s="134"/>
      <c r="V45" s="27"/>
      <c r="W45" s="28" t="str">
        <f>IFERROR(_xlfn.XLOOKUP(H45,Collection[Display],Collection[Line])&amp;_xlfn.XLOOKUP(I45,Sleeve[Display],Sleeve[Sleeve]),"")</f>
        <v/>
      </c>
    </row>
    <row r="46" spans="1:23" s="28" customFormat="1" ht="30" customHeight="1">
      <c r="A46" s="27"/>
      <c r="B46" s="135">
        <v>31</v>
      </c>
      <c r="C46" s="136"/>
      <c r="D46" s="130"/>
      <c r="E46" s="131"/>
      <c r="F46" s="131"/>
      <c r="G46" s="131"/>
      <c r="H46" s="131"/>
      <c r="I46" s="132"/>
      <c r="J46" s="131"/>
      <c r="K46" s="132"/>
      <c r="L46" s="131"/>
      <c r="M46" s="131"/>
      <c r="N46" s="131"/>
      <c r="O46" s="132"/>
      <c r="P46" s="132"/>
      <c r="Q46" s="132"/>
      <c r="R46" s="132"/>
      <c r="S46" s="132"/>
      <c r="T46" s="134"/>
      <c r="U46" s="137"/>
      <c r="V46" s="27"/>
      <c r="W46" s="28" t="str">
        <f>IFERROR(_xlfn.XLOOKUP(H46,Collection[Display],Collection[Line])&amp;_xlfn.XLOOKUP(I46,Sleeve[Display],Sleeve[Sleeve]),"")</f>
        <v/>
      </c>
    </row>
    <row r="47" spans="1:23" s="28" customFormat="1" ht="30" customHeight="1">
      <c r="A47" s="27"/>
      <c r="B47" s="135">
        <v>32</v>
      </c>
      <c r="C47" s="136"/>
      <c r="D47" s="130"/>
      <c r="E47" s="131"/>
      <c r="F47" s="131"/>
      <c r="G47" s="131"/>
      <c r="H47" s="131"/>
      <c r="I47" s="132"/>
      <c r="J47" s="131"/>
      <c r="K47" s="132"/>
      <c r="L47" s="131"/>
      <c r="M47" s="131"/>
      <c r="N47" s="131"/>
      <c r="O47" s="132"/>
      <c r="P47" s="132"/>
      <c r="Q47" s="132"/>
      <c r="R47" s="132"/>
      <c r="S47" s="132"/>
      <c r="T47" s="134"/>
      <c r="U47" s="137"/>
      <c r="V47" s="27"/>
      <c r="W47" s="28" t="str">
        <f>IFERROR(_xlfn.XLOOKUP(H47,Collection[Display],Collection[Line])&amp;_xlfn.XLOOKUP(I47,Sleeve[Display],Sleeve[Sleeve]),"")</f>
        <v/>
      </c>
    </row>
    <row r="48" spans="1:23" s="28" customFormat="1" ht="30" customHeight="1">
      <c r="A48" s="27"/>
      <c r="B48" s="135">
        <v>33</v>
      </c>
      <c r="C48" s="136"/>
      <c r="D48" s="130"/>
      <c r="E48" s="131"/>
      <c r="F48" s="131"/>
      <c r="G48" s="131"/>
      <c r="H48" s="131"/>
      <c r="I48" s="132"/>
      <c r="J48" s="131"/>
      <c r="K48" s="132"/>
      <c r="L48" s="131"/>
      <c r="M48" s="131"/>
      <c r="N48" s="131"/>
      <c r="O48" s="132"/>
      <c r="P48" s="132"/>
      <c r="Q48" s="132"/>
      <c r="R48" s="132"/>
      <c r="S48" s="132"/>
      <c r="T48" s="134"/>
      <c r="U48" s="137"/>
      <c r="V48" s="27"/>
      <c r="W48" s="28" t="str">
        <f>IFERROR(_xlfn.XLOOKUP(H48,Collection[Display],Collection[Line])&amp;_xlfn.XLOOKUP(I48,Sleeve[Display],Sleeve[Sleeve]),"")</f>
        <v/>
      </c>
    </row>
    <row r="49" spans="1:23" s="28" customFormat="1" ht="30" customHeight="1">
      <c r="A49" s="27"/>
      <c r="B49" s="135">
        <v>34</v>
      </c>
      <c r="C49" s="136"/>
      <c r="D49" s="130"/>
      <c r="E49" s="131"/>
      <c r="F49" s="131"/>
      <c r="G49" s="131"/>
      <c r="H49" s="131"/>
      <c r="I49" s="132"/>
      <c r="J49" s="131"/>
      <c r="K49" s="132"/>
      <c r="L49" s="131"/>
      <c r="M49" s="131"/>
      <c r="N49" s="131"/>
      <c r="O49" s="132"/>
      <c r="P49" s="132"/>
      <c r="Q49" s="132"/>
      <c r="R49" s="132"/>
      <c r="S49" s="132"/>
      <c r="T49" s="134"/>
      <c r="U49" s="137"/>
      <c r="V49" s="27"/>
      <c r="W49" s="28" t="str">
        <f>IFERROR(_xlfn.XLOOKUP(H49,Collection[Display],Collection[Line])&amp;_xlfn.XLOOKUP(I49,Sleeve[Display],Sleeve[Sleeve]),"")</f>
        <v/>
      </c>
    </row>
    <row r="50" spans="1:23" s="28" customFormat="1" ht="30" customHeight="1">
      <c r="A50" s="27"/>
      <c r="B50" s="135">
        <v>35</v>
      </c>
      <c r="C50" s="136"/>
      <c r="D50" s="130"/>
      <c r="E50" s="131"/>
      <c r="F50" s="131"/>
      <c r="G50" s="131"/>
      <c r="H50" s="131"/>
      <c r="I50" s="132"/>
      <c r="J50" s="131"/>
      <c r="K50" s="132"/>
      <c r="L50" s="131"/>
      <c r="M50" s="131"/>
      <c r="N50" s="131"/>
      <c r="O50" s="132"/>
      <c r="P50" s="132"/>
      <c r="Q50" s="132"/>
      <c r="R50" s="132"/>
      <c r="S50" s="132"/>
      <c r="T50" s="134"/>
      <c r="U50" s="137"/>
      <c r="V50" s="27"/>
      <c r="W50" s="28" t="str">
        <f>IFERROR(_xlfn.XLOOKUP(H50,Collection[Display],Collection[Line])&amp;_xlfn.XLOOKUP(I50,Sleeve[Display],Sleeve[Sleeve]),"")</f>
        <v/>
      </c>
    </row>
    <row r="51" spans="1:23" s="28" customFormat="1" ht="30" customHeight="1">
      <c r="A51" s="27"/>
      <c r="B51" s="135">
        <v>36</v>
      </c>
      <c r="C51" s="136"/>
      <c r="D51" s="130"/>
      <c r="E51" s="131"/>
      <c r="F51" s="131"/>
      <c r="G51" s="131"/>
      <c r="H51" s="131"/>
      <c r="I51" s="132"/>
      <c r="J51" s="131"/>
      <c r="K51" s="132"/>
      <c r="L51" s="131"/>
      <c r="M51" s="131"/>
      <c r="N51" s="131"/>
      <c r="O51" s="132"/>
      <c r="P51" s="132"/>
      <c r="Q51" s="132"/>
      <c r="R51" s="132"/>
      <c r="S51" s="132"/>
      <c r="T51" s="134"/>
      <c r="U51" s="137"/>
      <c r="V51" s="27"/>
      <c r="W51" s="28" t="str">
        <f>IFERROR(_xlfn.XLOOKUP(H51,Collection[Display],Collection[Line])&amp;_xlfn.XLOOKUP(I51,Sleeve[Display],Sleeve[Sleeve]),"")</f>
        <v/>
      </c>
    </row>
    <row r="52" spans="1:23" s="28" customFormat="1" ht="30" customHeight="1">
      <c r="A52" s="27"/>
      <c r="B52" s="135">
        <v>37</v>
      </c>
      <c r="C52" s="136"/>
      <c r="D52" s="130"/>
      <c r="E52" s="131"/>
      <c r="F52" s="131"/>
      <c r="G52" s="131"/>
      <c r="H52" s="131"/>
      <c r="I52" s="132"/>
      <c r="J52" s="131"/>
      <c r="K52" s="132"/>
      <c r="L52" s="131"/>
      <c r="M52" s="131"/>
      <c r="N52" s="131"/>
      <c r="O52" s="132"/>
      <c r="P52" s="132"/>
      <c r="Q52" s="132"/>
      <c r="R52" s="132"/>
      <c r="S52" s="132"/>
      <c r="T52" s="134"/>
      <c r="U52" s="137"/>
      <c r="V52" s="27"/>
      <c r="W52" s="28" t="str">
        <f>IFERROR(_xlfn.XLOOKUP(H52,Collection[Display],Collection[Line])&amp;_xlfn.XLOOKUP(I52,Sleeve[Display],Sleeve[Sleeve]),"")</f>
        <v/>
      </c>
    </row>
    <row r="53" spans="1:23" s="28" customFormat="1" ht="30" customHeight="1">
      <c r="A53" s="27"/>
      <c r="B53" s="135">
        <v>38</v>
      </c>
      <c r="C53" s="136"/>
      <c r="D53" s="130"/>
      <c r="E53" s="131"/>
      <c r="F53" s="131"/>
      <c r="G53" s="131"/>
      <c r="H53" s="131"/>
      <c r="I53" s="132"/>
      <c r="J53" s="131"/>
      <c r="K53" s="132"/>
      <c r="L53" s="131"/>
      <c r="M53" s="131"/>
      <c r="N53" s="131"/>
      <c r="O53" s="132"/>
      <c r="P53" s="132"/>
      <c r="Q53" s="132"/>
      <c r="R53" s="132"/>
      <c r="S53" s="132"/>
      <c r="T53" s="134"/>
      <c r="U53" s="137"/>
      <c r="V53" s="27"/>
      <c r="W53" s="28" t="str">
        <f>IFERROR(_xlfn.XLOOKUP(H53,Collection[Display],Collection[Line])&amp;_xlfn.XLOOKUP(I53,Sleeve[Display],Sleeve[Sleeve]),"")</f>
        <v/>
      </c>
    </row>
    <row r="54" spans="1:23" s="28" customFormat="1" ht="30" customHeight="1">
      <c r="A54" s="27"/>
      <c r="B54" s="135">
        <v>39</v>
      </c>
      <c r="C54" s="136"/>
      <c r="D54" s="130"/>
      <c r="E54" s="131"/>
      <c r="F54" s="131"/>
      <c r="G54" s="131"/>
      <c r="H54" s="131"/>
      <c r="I54" s="132"/>
      <c r="J54" s="131"/>
      <c r="K54" s="132"/>
      <c r="L54" s="131"/>
      <c r="M54" s="131"/>
      <c r="N54" s="131"/>
      <c r="O54" s="132"/>
      <c r="P54" s="132"/>
      <c r="Q54" s="132"/>
      <c r="R54" s="132"/>
      <c r="S54" s="132"/>
      <c r="T54" s="134"/>
      <c r="U54" s="137"/>
      <c r="V54" s="27"/>
      <c r="W54" s="28" t="str">
        <f>IFERROR(_xlfn.XLOOKUP(H54,Collection[Display],Collection[Line])&amp;_xlfn.XLOOKUP(I54,Sleeve[Display],Sleeve[Sleeve]),"")</f>
        <v/>
      </c>
    </row>
    <row r="55" spans="1:23" s="28" customFormat="1" ht="30" customHeight="1">
      <c r="A55" s="27"/>
      <c r="B55" s="135">
        <v>40</v>
      </c>
      <c r="C55" s="136"/>
      <c r="D55" s="130"/>
      <c r="E55" s="131"/>
      <c r="F55" s="131"/>
      <c r="G55" s="131"/>
      <c r="H55" s="131"/>
      <c r="I55" s="132"/>
      <c r="J55" s="131"/>
      <c r="K55" s="132"/>
      <c r="L55" s="131"/>
      <c r="M55" s="131"/>
      <c r="N55" s="131"/>
      <c r="O55" s="132"/>
      <c r="P55" s="132"/>
      <c r="Q55" s="132"/>
      <c r="R55" s="132"/>
      <c r="S55" s="132"/>
      <c r="T55" s="134"/>
      <c r="U55" s="137"/>
      <c r="V55" s="27"/>
      <c r="W55" s="28" t="str">
        <f>IFERROR(_xlfn.XLOOKUP(H55,Collection[Display],Collection[Line])&amp;_xlfn.XLOOKUP(I55,Sleeve[Display],Sleeve[Sleeve]),"")</f>
        <v/>
      </c>
    </row>
    <row r="56" spans="1:23" s="28" customFormat="1" ht="30" customHeight="1">
      <c r="A56" s="27"/>
      <c r="B56" s="135">
        <v>41</v>
      </c>
      <c r="C56" s="136"/>
      <c r="D56" s="130"/>
      <c r="E56" s="131"/>
      <c r="F56" s="131"/>
      <c r="G56" s="131"/>
      <c r="H56" s="131"/>
      <c r="I56" s="132"/>
      <c r="J56" s="131"/>
      <c r="K56" s="132"/>
      <c r="L56" s="131"/>
      <c r="M56" s="131"/>
      <c r="N56" s="131"/>
      <c r="O56" s="132"/>
      <c r="P56" s="132"/>
      <c r="Q56" s="132"/>
      <c r="R56" s="132"/>
      <c r="S56" s="132"/>
      <c r="T56" s="134"/>
      <c r="U56" s="137"/>
      <c r="V56" s="27"/>
      <c r="W56" s="28" t="str">
        <f>IFERROR(_xlfn.XLOOKUP(H56,Collection[Display],Collection[Line])&amp;_xlfn.XLOOKUP(I56,Sleeve[Display],Sleeve[Sleeve]),"")</f>
        <v/>
      </c>
    </row>
    <row r="57" spans="1:23" s="28" customFormat="1" ht="30" customHeight="1">
      <c r="A57" s="27"/>
      <c r="B57" s="135">
        <v>42</v>
      </c>
      <c r="C57" s="136"/>
      <c r="D57" s="130"/>
      <c r="E57" s="131"/>
      <c r="F57" s="131"/>
      <c r="G57" s="131"/>
      <c r="H57" s="131"/>
      <c r="I57" s="132"/>
      <c r="J57" s="131"/>
      <c r="K57" s="132"/>
      <c r="L57" s="131"/>
      <c r="M57" s="131"/>
      <c r="N57" s="131"/>
      <c r="O57" s="132"/>
      <c r="P57" s="132"/>
      <c r="Q57" s="132"/>
      <c r="R57" s="132"/>
      <c r="S57" s="132"/>
      <c r="T57" s="134"/>
      <c r="U57" s="137"/>
      <c r="V57" s="27"/>
      <c r="W57" s="28" t="str">
        <f>IFERROR(_xlfn.XLOOKUP(H57,Collection[Display],Collection[Line])&amp;_xlfn.XLOOKUP(I57,Sleeve[Display],Sleeve[Sleeve]),"")</f>
        <v/>
      </c>
    </row>
    <row r="58" spans="1:23" s="28" customFormat="1" ht="30" customHeight="1">
      <c r="A58" s="27"/>
      <c r="B58" s="135">
        <v>43</v>
      </c>
      <c r="C58" s="136"/>
      <c r="D58" s="130"/>
      <c r="E58" s="131"/>
      <c r="F58" s="131"/>
      <c r="G58" s="131"/>
      <c r="H58" s="131"/>
      <c r="I58" s="132"/>
      <c r="J58" s="131"/>
      <c r="K58" s="132"/>
      <c r="L58" s="131"/>
      <c r="M58" s="131"/>
      <c r="N58" s="131"/>
      <c r="O58" s="132"/>
      <c r="P58" s="132"/>
      <c r="Q58" s="132"/>
      <c r="R58" s="132"/>
      <c r="S58" s="132"/>
      <c r="T58" s="134"/>
      <c r="U58" s="137"/>
      <c r="V58" s="27"/>
      <c r="W58" s="28" t="str">
        <f>IFERROR(_xlfn.XLOOKUP(H58,Collection[Display],Collection[Line])&amp;_xlfn.XLOOKUP(I58,Sleeve[Display],Sleeve[Sleeve]),"")</f>
        <v/>
      </c>
    </row>
    <row r="59" spans="1:23" s="28" customFormat="1" ht="30" customHeight="1">
      <c r="A59" s="27"/>
      <c r="B59" s="135">
        <v>44</v>
      </c>
      <c r="C59" s="136"/>
      <c r="D59" s="130"/>
      <c r="E59" s="131"/>
      <c r="F59" s="131"/>
      <c r="G59" s="131"/>
      <c r="H59" s="131"/>
      <c r="I59" s="132"/>
      <c r="J59" s="131"/>
      <c r="K59" s="132"/>
      <c r="L59" s="131"/>
      <c r="M59" s="131"/>
      <c r="N59" s="131"/>
      <c r="O59" s="132"/>
      <c r="P59" s="132"/>
      <c r="Q59" s="132"/>
      <c r="R59" s="132"/>
      <c r="S59" s="132"/>
      <c r="T59" s="134"/>
      <c r="U59" s="137"/>
      <c r="V59" s="27"/>
      <c r="W59" s="28" t="str">
        <f>IFERROR(_xlfn.XLOOKUP(H59,Collection[Display],Collection[Line])&amp;_xlfn.XLOOKUP(I59,Sleeve[Display],Sleeve[Sleeve]),"")</f>
        <v/>
      </c>
    </row>
    <row r="60" spans="1:23" s="28" customFormat="1" ht="30" customHeight="1">
      <c r="A60" s="27"/>
      <c r="B60" s="135">
        <v>45</v>
      </c>
      <c r="C60" s="136"/>
      <c r="D60" s="130"/>
      <c r="E60" s="131"/>
      <c r="F60" s="131"/>
      <c r="G60" s="131"/>
      <c r="H60" s="131"/>
      <c r="I60" s="132"/>
      <c r="J60" s="131"/>
      <c r="K60" s="132"/>
      <c r="L60" s="131"/>
      <c r="M60" s="131"/>
      <c r="N60" s="131"/>
      <c r="O60" s="132"/>
      <c r="P60" s="132"/>
      <c r="Q60" s="132"/>
      <c r="R60" s="132"/>
      <c r="S60" s="132"/>
      <c r="T60" s="134"/>
      <c r="U60" s="137"/>
      <c r="V60" s="27"/>
      <c r="W60" s="28" t="str">
        <f>IFERROR(_xlfn.XLOOKUP(H60,Collection[Display],Collection[Line])&amp;_xlfn.XLOOKUP(I60,Sleeve[Display],Sleeve[Sleeve]),"")</f>
        <v/>
      </c>
    </row>
    <row r="61" spans="1:23" s="28" customFormat="1" ht="30" customHeight="1">
      <c r="A61" s="27"/>
      <c r="B61" s="135">
        <v>46</v>
      </c>
      <c r="C61" s="136"/>
      <c r="D61" s="130"/>
      <c r="E61" s="131"/>
      <c r="F61" s="131"/>
      <c r="G61" s="131"/>
      <c r="H61" s="131"/>
      <c r="I61" s="132"/>
      <c r="J61" s="131"/>
      <c r="K61" s="132"/>
      <c r="L61" s="131"/>
      <c r="M61" s="131"/>
      <c r="N61" s="131"/>
      <c r="O61" s="132"/>
      <c r="P61" s="132"/>
      <c r="Q61" s="132"/>
      <c r="R61" s="132"/>
      <c r="S61" s="132"/>
      <c r="T61" s="134"/>
      <c r="U61" s="137"/>
      <c r="V61" s="27"/>
      <c r="W61" s="28" t="str">
        <f>IFERROR(_xlfn.XLOOKUP(H61,Collection[Display],Collection[Line])&amp;_xlfn.XLOOKUP(I61,Sleeve[Display],Sleeve[Sleeve]),"")</f>
        <v/>
      </c>
    </row>
    <row r="62" spans="1:23" s="28" customFormat="1" ht="30" customHeight="1">
      <c r="A62" s="27"/>
      <c r="B62" s="135">
        <v>47</v>
      </c>
      <c r="C62" s="136"/>
      <c r="D62" s="130"/>
      <c r="E62" s="131"/>
      <c r="F62" s="131"/>
      <c r="G62" s="131"/>
      <c r="H62" s="131"/>
      <c r="I62" s="132"/>
      <c r="J62" s="131"/>
      <c r="K62" s="132"/>
      <c r="L62" s="131"/>
      <c r="M62" s="131"/>
      <c r="N62" s="131"/>
      <c r="O62" s="132"/>
      <c r="P62" s="132"/>
      <c r="Q62" s="132"/>
      <c r="R62" s="132"/>
      <c r="S62" s="132"/>
      <c r="T62" s="134"/>
      <c r="U62" s="137"/>
      <c r="V62" s="27"/>
      <c r="W62" s="28" t="str">
        <f>IFERROR(_xlfn.XLOOKUP(H62,Collection[Display],Collection[Line])&amp;_xlfn.XLOOKUP(I62,Sleeve[Display],Sleeve[Sleeve]),"")</f>
        <v/>
      </c>
    </row>
    <row r="63" spans="1:23" s="28" customFormat="1" ht="30" customHeight="1">
      <c r="A63" s="27"/>
      <c r="B63" s="135">
        <v>48</v>
      </c>
      <c r="C63" s="136"/>
      <c r="D63" s="130"/>
      <c r="E63" s="131"/>
      <c r="F63" s="131"/>
      <c r="G63" s="131"/>
      <c r="H63" s="131"/>
      <c r="I63" s="132"/>
      <c r="J63" s="131"/>
      <c r="K63" s="132"/>
      <c r="L63" s="131"/>
      <c r="M63" s="131"/>
      <c r="N63" s="131"/>
      <c r="O63" s="132"/>
      <c r="P63" s="132"/>
      <c r="Q63" s="132"/>
      <c r="R63" s="132"/>
      <c r="S63" s="132"/>
      <c r="T63" s="134"/>
      <c r="U63" s="137"/>
      <c r="V63" s="27"/>
      <c r="W63" s="28" t="str">
        <f>IFERROR(_xlfn.XLOOKUP(H63,Collection[Display],Collection[Line])&amp;_xlfn.XLOOKUP(I63,Sleeve[Display],Sleeve[Sleeve]),"")</f>
        <v/>
      </c>
    </row>
    <row r="64" spans="1:23" s="28" customFormat="1" ht="30" customHeight="1">
      <c r="A64" s="27"/>
      <c r="B64" s="135">
        <v>49</v>
      </c>
      <c r="C64" s="136"/>
      <c r="D64" s="130"/>
      <c r="E64" s="131"/>
      <c r="F64" s="131"/>
      <c r="G64" s="131"/>
      <c r="H64" s="131"/>
      <c r="I64" s="132"/>
      <c r="J64" s="131"/>
      <c r="K64" s="132"/>
      <c r="L64" s="131"/>
      <c r="M64" s="131"/>
      <c r="N64" s="131"/>
      <c r="O64" s="132"/>
      <c r="P64" s="132"/>
      <c r="Q64" s="132"/>
      <c r="R64" s="132"/>
      <c r="S64" s="132"/>
      <c r="T64" s="134"/>
      <c r="U64" s="137"/>
      <c r="V64" s="27"/>
      <c r="W64" s="28" t="str">
        <f>IFERROR(_xlfn.XLOOKUP(H64,Collection[Display],Collection[Line])&amp;_xlfn.XLOOKUP(I64,Sleeve[Display],Sleeve[Sleeve]),"")</f>
        <v/>
      </c>
    </row>
    <row r="65" spans="1:23" s="28" customFormat="1" ht="30" customHeight="1">
      <c r="A65" s="27"/>
      <c r="B65" s="135">
        <v>50</v>
      </c>
      <c r="C65" s="136"/>
      <c r="D65" s="130"/>
      <c r="E65" s="131"/>
      <c r="F65" s="131"/>
      <c r="G65" s="131"/>
      <c r="H65" s="131"/>
      <c r="I65" s="132"/>
      <c r="J65" s="131"/>
      <c r="K65" s="132"/>
      <c r="L65" s="131"/>
      <c r="M65" s="131"/>
      <c r="N65" s="131"/>
      <c r="O65" s="132"/>
      <c r="P65" s="132"/>
      <c r="Q65" s="132"/>
      <c r="R65" s="132"/>
      <c r="S65" s="132"/>
      <c r="T65" s="134"/>
      <c r="U65" s="137"/>
      <c r="V65" s="27"/>
      <c r="W65" s="28" t="str">
        <f>IFERROR(_xlfn.XLOOKUP(H65,Collection[Display],Collection[Line])&amp;_xlfn.XLOOKUP(I65,Sleeve[Display],Sleeve[Sleeve]),"")</f>
        <v/>
      </c>
    </row>
    <row r="66" spans="1:23" s="28" customFormat="1" ht="30" customHeight="1">
      <c r="A66" s="27"/>
      <c r="B66" s="135">
        <v>51</v>
      </c>
      <c r="C66" s="136"/>
      <c r="D66" s="130"/>
      <c r="E66" s="131"/>
      <c r="F66" s="131"/>
      <c r="G66" s="131"/>
      <c r="H66" s="131"/>
      <c r="I66" s="132"/>
      <c r="J66" s="131"/>
      <c r="K66" s="132"/>
      <c r="L66" s="131"/>
      <c r="M66" s="131"/>
      <c r="N66" s="131"/>
      <c r="O66" s="132"/>
      <c r="P66" s="132"/>
      <c r="Q66" s="132"/>
      <c r="R66" s="132"/>
      <c r="S66" s="132"/>
      <c r="T66" s="134"/>
      <c r="U66" s="137"/>
      <c r="V66" s="27"/>
      <c r="W66" s="28" t="str">
        <f>IFERROR(_xlfn.XLOOKUP(H66,Collection[Display],Collection[Line])&amp;_xlfn.XLOOKUP(I66,Sleeve[Display],Sleeve[Sleeve]),"")</f>
        <v/>
      </c>
    </row>
    <row r="67" spans="1:23" s="28" customFormat="1" ht="30" customHeight="1">
      <c r="A67" s="27"/>
      <c r="B67" s="135">
        <v>52</v>
      </c>
      <c r="C67" s="136"/>
      <c r="D67" s="130"/>
      <c r="E67" s="131"/>
      <c r="F67" s="131"/>
      <c r="G67" s="131"/>
      <c r="H67" s="131"/>
      <c r="I67" s="132"/>
      <c r="J67" s="131"/>
      <c r="K67" s="132"/>
      <c r="L67" s="131"/>
      <c r="M67" s="131"/>
      <c r="N67" s="131"/>
      <c r="O67" s="132"/>
      <c r="P67" s="132"/>
      <c r="Q67" s="132"/>
      <c r="R67" s="132"/>
      <c r="S67" s="132"/>
      <c r="T67" s="134"/>
      <c r="U67" s="137"/>
      <c r="V67" s="27"/>
      <c r="W67" s="28" t="str">
        <f>IFERROR(_xlfn.XLOOKUP(H67,Collection[Display],Collection[Line])&amp;_xlfn.XLOOKUP(I67,Sleeve[Display],Sleeve[Sleeve]),"")</f>
        <v/>
      </c>
    </row>
    <row r="68" spans="1:23" s="28" customFormat="1" ht="30" customHeight="1">
      <c r="A68" s="27"/>
      <c r="B68" s="135">
        <v>53</v>
      </c>
      <c r="C68" s="136"/>
      <c r="D68" s="130"/>
      <c r="E68" s="131"/>
      <c r="F68" s="131"/>
      <c r="G68" s="131"/>
      <c r="H68" s="131"/>
      <c r="I68" s="132"/>
      <c r="J68" s="131"/>
      <c r="K68" s="132"/>
      <c r="L68" s="131"/>
      <c r="M68" s="131"/>
      <c r="N68" s="131"/>
      <c r="O68" s="132"/>
      <c r="P68" s="132"/>
      <c r="Q68" s="132"/>
      <c r="R68" s="132"/>
      <c r="S68" s="132"/>
      <c r="T68" s="134"/>
      <c r="U68" s="137"/>
      <c r="V68" s="27"/>
      <c r="W68" s="28" t="str">
        <f>IFERROR(_xlfn.XLOOKUP(H68,Collection[Display],Collection[Line])&amp;_xlfn.XLOOKUP(I68,Sleeve[Display],Sleeve[Sleeve]),"")</f>
        <v/>
      </c>
    </row>
    <row r="69" spans="1:23" s="28" customFormat="1" ht="30" customHeight="1">
      <c r="A69" s="27"/>
      <c r="B69" s="135">
        <v>54</v>
      </c>
      <c r="C69" s="136"/>
      <c r="D69" s="130"/>
      <c r="E69" s="131"/>
      <c r="F69" s="131"/>
      <c r="G69" s="131"/>
      <c r="H69" s="131"/>
      <c r="I69" s="132"/>
      <c r="J69" s="131"/>
      <c r="K69" s="132"/>
      <c r="L69" s="131"/>
      <c r="M69" s="131"/>
      <c r="N69" s="131"/>
      <c r="O69" s="132"/>
      <c r="P69" s="132"/>
      <c r="Q69" s="132"/>
      <c r="R69" s="132"/>
      <c r="S69" s="132"/>
      <c r="T69" s="134"/>
      <c r="U69" s="137"/>
      <c r="V69" s="27"/>
      <c r="W69" s="28" t="str">
        <f>IFERROR(_xlfn.XLOOKUP(H69,Collection[Display],Collection[Line])&amp;_xlfn.XLOOKUP(I69,Sleeve[Display],Sleeve[Sleeve]),"")</f>
        <v/>
      </c>
    </row>
    <row r="70" spans="1:23" s="28" customFormat="1" ht="30" customHeight="1">
      <c r="A70" s="27"/>
      <c r="B70" s="135">
        <v>55</v>
      </c>
      <c r="C70" s="136"/>
      <c r="D70" s="130"/>
      <c r="E70" s="131"/>
      <c r="F70" s="131"/>
      <c r="G70" s="131"/>
      <c r="H70" s="131"/>
      <c r="I70" s="132"/>
      <c r="J70" s="131"/>
      <c r="K70" s="132"/>
      <c r="L70" s="131"/>
      <c r="M70" s="131"/>
      <c r="N70" s="131"/>
      <c r="O70" s="132"/>
      <c r="P70" s="132"/>
      <c r="Q70" s="132"/>
      <c r="R70" s="132"/>
      <c r="S70" s="132"/>
      <c r="T70" s="134"/>
      <c r="U70" s="137"/>
      <c r="V70" s="27"/>
      <c r="W70" s="28" t="str">
        <f>IFERROR(_xlfn.XLOOKUP(H70,Collection[Display],Collection[Line])&amp;_xlfn.XLOOKUP(I70,Sleeve[Display],Sleeve[Sleeve]),"")</f>
        <v/>
      </c>
    </row>
    <row r="71" spans="1:23" s="28" customFormat="1" ht="30" customHeight="1">
      <c r="A71" s="27"/>
      <c r="B71" s="135">
        <v>56</v>
      </c>
      <c r="C71" s="136"/>
      <c r="D71" s="130"/>
      <c r="E71" s="131"/>
      <c r="F71" s="131"/>
      <c r="G71" s="131"/>
      <c r="H71" s="131"/>
      <c r="I71" s="132"/>
      <c r="J71" s="131"/>
      <c r="K71" s="132"/>
      <c r="L71" s="131"/>
      <c r="M71" s="131"/>
      <c r="N71" s="131"/>
      <c r="O71" s="132"/>
      <c r="P71" s="132"/>
      <c r="Q71" s="132"/>
      <c r="R71" s="132"/>
      <c r="S71" s="132"/>
      <c r="T71" s="134"/>
      <c r="U71" s="137"/>
      <c r="V71" s="27"/>
      <c r="W71" s="28" t="str">
        <f>IFERROR(_xlfn.XLOOKUP(H71,Collection[Display],Collection[Line])&amp;_xlfn.XLOOKUP(I71,Sleeve[Display],Sleeve[Sleeve]),"")</f>
        <v/>
      </c>
    </row>
    <row r="72" spans="1:23" s="28" customFormat="1" ht="30" customHeight="1">
      <c r="A72" s="27"/>
      <c r="B72" s="135">
        <v>57</v>
      </c>
      <c r="C72" s="136"/>
      <c r="D72" s="130"/>
      <c r="E72" s="131"/>
      <c r="F72" s="131"/>
      <c r="G72" s="131"/>
      <c r="H72" s="131"/>
      <c r="I72" s="132"/>
      <c r="J72" s="131"/>
      <c r="K72" s="132"/>
      <c r="L72" s="131"/>
      <c r="M72" s="131"/>
      <c r="N72" s="131"/>
      <c r="O72" s="132"/>
      <c r="P72" s="132"/>
      <c r="Q72" s="132"/>
      <c r="R72" s="132"/>
      <c r="S72" s="132"/>
      <c r="T72" s="134"/>
      <c r="U72" s="137"/>
      <c r="V72" s="27"/>
      <c r="W72" s="28" t="str">
        <f>IFERROR(_xlfn.XLOOKUP(H72,Collection[Display],Collection[Line])&amp;_xlfn.XLOOKUP(I72,Sleeve[Display],Sleeve[Sleeve]),"")</f>
        <v/>
      </c>
    </row>
    <row r="73" spans="1:23" s="28" customFormat="1" ht="30" customHeight="1">
      <c r="A73" s="27"/>
      <c r="B73" s="135">
        <v>58</v>
      </c>
      <c r="C73" s="136"/>
      <c r="D73" s="130"/>
      <c r="E73" s="131"/>
      <c r="F73" s="131"/>
      <c r="G73" s="131"/>
      <c r="H73" s="131"/>
      <c r="I73" s="132"/>
      <c r="J73" s="131"/>
      <c r="K73" s="132"/>
      <c r="L73" s="131"/>
      <c r="M73" s="131"/>
      <c r="N73" s="131"/>
      <c r="O73" s="132"/>
      <c r="P73" s="132"/>
      <c r="Q73" s="132"/>
      <c r="R73" s="132"/>
      <c r="S73" s="132"/>
      <c r="T73" s="134"/>
      <c r="U73" s="137"/>
      <c r="V73" s="27"/>
      <c r="W73" s="28" t="str">
        <f>IFERROR(_xlfn.XLOOKUP(H73,Collection[Display],Collection[Line])&amp;_xlfn.XLOOKUP(I73,Sleeve[Display],Sleeve[Sleeve]),"")</f>
        <v/>
      </c>
    </row>
    <row r="74" spans="1:23" s="28" customFormat="1" ht="30" customHeight="1">
      <c r="A74" s="27"/>
      <c r="B74" s="135">
        <v>59</v>
      </c>
      <c r="C74" s="136"/>
      <c r="D74" s="130"/>
      <c r="E74" s="131"/>
      <c r="F74" s="131"/>
      <c r="G74" s="131"/>
      <c r="H74" s="131"/>
      <c r="I74" s="132"/>
      <c r="J74" s="131"/>
      <c r="K74" s="132"/>
      <c r="L74" s="131"/>
      <c r="M74" s="131"/>
      <c r="N74" s="131"/>
      <c r="O74" s="132"/>
      <c r="P74" s="132"/>
      <c r="Q74" s="132"/>
      <c r="R74" s="132"/>
      <c r="S74" s="132"/>
      <c r="T74" s="134"/>
      <c r="U74" s="137"/>
      <c r="V74" s="27"/>
      <c r="W74" s="28" t="str">
        <f>IFERROR(_xlfn.XLOOKUP(H74,Collection[Display],Collection[Line])&amp;_xlfn.XLOOKUP(I74,Sleeve[Display],Sleeve[Sleeve]),"")</f>
        <v/>
      </c>
    </row>
    <row r="75" spans="1:23" s="28" customFormat="1" ht="30" customHeight="1">
      <c r="A75" s="27"/>
      <c r="B75" s="135">
        <v>60</v>
      </c>
      <c r="C75" s="136"/>
      <c r="D75" s="130"/>
      <c r="E75" s="131"/>
      <c r="F75" s="131"/>
      <c r="G75" s="131"/>
      <c r="H75" s="131"/>
      <c r="I75" s="132"/>
      <c r="J75" s="131"/>
      <c r="K75" s="132"/>
      <c r="L75" s="131"/>
      <c r="M75" s="131"/>
      <c r="N75" s="131"/>
      <c r="O75" s="132"/>
      <c r="P75" s="132"/>
      <c r="Q75" s="132"/>
      <c r="R75" s="132"/>
      <c r="S75" s="132"/>
      <c r="T75" s="134"/>
      <c r="U75" s="137"/>
      <c r="V75" s="27"/>
      <c r="W75" s="28" t="str">
        <f>IFERROR(_xlfn.XLOOKUP(H75,Collection[Display],Collection[Line])&amp;_xlfn.XLOOKUP(I75,Sleeve[Display],Sleeve[Sleeve]),"")</f>
        <v/>
      </c>
    </row>
    <row r="76" spans="1:23" s="28" customFormat="1" ht="30" customHeight="1">
      <c r="A76" s="27"/>
      <c r="B76" s="135">
        <v>61</v>
      </c>
      <c r="C76" s="136"/>
      <c r="D76" s="130"/>
      <c r="E76" s="131"/>
      <c r="F76" s="131"/>
      <c r="G76" s="131"/>
      <c r="H76" s="131"/>
      <c r="I76" s="132"/>
      <c r="J76" s="131"/>
      <c r="K76" s="132"/>
      <c r="L76" s="131"/>
      <c r="M76" s="131"/>
      <c r="N76" s="131"/>
      <c r="O76" s="132"/>
      <c r="P76" s="132"/>
      <c r="Q76" s="132"/>
      <c r="R76" s="132"/>
      <c r="S76" s="132"/>
      <c r="T76" s="134"/>
      <c r="U76" s="137"/>
      <c r="V76" s="27"/>
      <c r="W76" s="28" t="str">
        <f>IFERROR(_xlfn.XLOOKUP(H76,Collection[Display],Collection[Line])&amp;_xlfn.XLOOKUP(I76,Sleeve[Display],Sleeve[Sleeve]),"")</f>
        <v/>
      </c>
    </row>
    <row r="77" spans="1:23" s="28" customFormat="1" ht="30" customHeight="1">
      <c r="A77" s="27"/>
      <c r="B77" s="135">
        <v>62</v>
      </c>
      <c r="C77" s="136"/>
      <c r="D77" s="130"/>
      <c r="E77" s="131"/>
      <c r="F77" s="131"/>
      <c r="G77" s="131"/>
      <c r="H77" s="131"/>
      <c r="I77" s="132"/>
      <c r="J77" s="131"/>
      <c r="K77" s="132"/>
      <c r="L77" s="131"/>
      <c r="M77" s="131"/>
      <c r="N77" s="131"/>
      <c r="O77" s="132"/>
      <c r="P77" s="132"/>
      <c r="Q77" s="132"/>
      <c r="R77" s="132"/>
      <c r="S77" s="132"/>
      <c r="T77" s="134"/>
      <c r="U77" s="137"/>
      <c r="V77" s="27"/>
      <c r="W77" s="28" t="str">
        <f>IFERROR(_xlfn.XLOOKUP(H77,Collection[Display],Collection[Line])&amp;_xlfn.XLOOKUP(I77,Sleeve[Display],Sleeve[Sleeve]),"")</f>
        <v/>
      </c>
    </row>
    <row r="78" spans="1:23" s="28" customFormat="1" ht="30" customHeight="1">
      <c r="A78" s="27"/>
      <c r="B78" s="135">
        <v>63</v>
      </c>
      <c r="C78" s="136"/>
      <c r="D78" s="130"/>
      <c r="E78" s="131"/>
      <c r="F78" s="131"/>
      <c r="G78" s="131"/>
      <c r="H78" s="131"/>
      <c r="I78" s="132"/>
      <c r="J78" s="131"/>
      <c r="K78" s="132"/>
      <c r="L78" s="131"/>
      <c r="M78" s="131"/>
      <c r="N78" s="131"/>
      <c r="O78" s="132"/>
      <c r="P78" s="132"/>
      <c r="Q78" s="132"/>
      <c r="R78" s="132"/>
      <c r="S78" s="132"/>
      <c r="T78" s="134"/>
      <c r="U78" s="137"/>
      <c r="V78" s="27"/>
      <c r="W78" s="28" t="str">
        <f>IFERROR(_xlfn.XLOOKUP(H78,Collection[Display],Collection[Line])&amp;_xlfn.XLOOKUP(I78,Sleeve[Display],Sleeve[Sleeve]),"")</f>
        <v/>
      </c>
    </row>
    <row r="79" spans="1:23" s="28" customFormat="1" ht="30" customHeight="1">
      <c r="A79" s="27"/>
      <c r="B79" s="135">
        <v>64</v>
      </c>
      <c r="C79" s="136"/>
      <c r="D79" s="130"/>
      <c r="E79" s="131"/>
      <c r="F79" s="131"/>
      <c r="G79" s="131"/>
      <c r="H79" s="131"/>
      <c r="I79" s="132"/>
      <c r="J79" s="131"/>
      <c r="K79" s="132"/>
      <c r="L79" s="131"/>
      <c r="M79" s="131"/>
      <c r="N79" s="131"/>
      <c r="O79" s="132"/>
      <c r="P79" s="132"/>
      <c r="Q79" s="132"/>
      <c r="R79" s="132"/>
      <c r="S79" s="132"/>
      <c r="T79" s="134"/>
      <c r="U79" s="137"/>
      <c r="V79" s="27"/>
      <c r="W79" s="28" t="str">
        <f>IFERROR(_xlfn.XLOOKUP(H79,Collection[Display],Collection[Line])&amp;_xlfn.XLOOKUP(I79,Sleeve[Display],Sleeve[Sleeve]),"")</f>
        <v/>
      </c>
    </row>
    <row r="80" spans="1:23" s="28" customFormat="1" ht="30" customHeight="1">
      <c r="A80" s="27"/>
      <c r="B80" s="135">
        <v>65</v>
      </c>
      <c r="C80" s="136"/>
      <c r="D80" s="130"/>
      <c r="E80" s="131"/>
      <c r="F80" s="131"/>
      <c r="G80" s="131"/>
      <c r="H80" s="131"/>
      <c r="I80" s="132"/>
      <c r="J80" s="131"/>
      <c r="K80" s="132"/>
      <c r="L80" s="131"/>
      <c r="M80" s="131"/>
      <c r="N80" s="131"/>
      <c r="O80" s="132"/>
      <c r="P80" s="132"/>
      <c r="Q80" s="132"/>
      <c r="R80" s="132"/>
      <c r="S80" s="132"/>
      <c r="T80" s="134"/>
      <c r="U80" s="137"/>
      <c r="V80" s="27"/>
      <c r="W80" s="28" t="str">
        <f>IFERROR(_xlfn.XLOOKUP(H80,Collection[Display],Collection[Line])&amp;_xlfn.XLOOKUP(I80,Sleeve[Display],Sleeve[Sleeve]),"")</f>
        <v/>
      </c>
    </row>
    <row r="81" spans="1:23" s="28" customFormat="1" ht="30" customHeight="1">
      <c r="A81" s="27"/>
      <c r="B81" s="135">
        <v>66</v>
      </c>
      <c r="C81" s="136"/>
      <c r="D81" s="130"/>
      <c r="E81" s="131"/>
      <c r="F81" s="131"/>
      <c r="G81" s="131"/>
      <c r="H81" s="131"/>
      <c r="I81" s="132"/>
      <c r="J81" s="131"/>
      <c r="K81" s="132"/>
      <c r="L81" s="131"/>
      <c r="M81" s="131"/>
      <c r="N81" s="131"/>
      <c r="O81" s="132"/>
      <c r="P81" s="132"/>
      <c r="Q81" s="132"/>
      <c r="R81" s="132"/>
      <c r="S81" s="132"/>
      <c r="T81" s="134"/>
      <c r="U81" s="137"/>
      <c r="V81" s="27"/>
      <c r="W81" s="28" t="str">
        <f>IFERROR(_xlfn.XLOOKUP(H81,Collection[Display],Collection[Line])&amp;_xlfn.XLOOKUP(I81,Sleeve[Display],Sleeve[Sleeve]),"")</f>
        <v/>
      </c>
    </row>
    <row r="82" spans="1:23" s="28" customFormat="1" ht="30" customHeight="1">
      <c r="A82" s="27"/>
      <c r="B82" s="135">
        <v>67</v>
      </c>
      <c r="C82" s="136"/>
      <c r="D82" s="130"/>
      <c r="E82" s="131"/>
      <c r="F82" s="131"/>
      <c r="G82" s="131"/>
      <c r="H82" s="131"/>
      <c r="I82" s="132"/>
      <c r="J82" s="131"/>
      <c r="K82" s="132"/>
      <c r="L82" s="131"/>
      <c r="M82" s="131"/>
      <c r="N82" s="131"/>
      <c r="O82" s="132"/>
      <c r="P82" s="132"/>
      <c r="Q82" s="132"/>
      <c r="R82" s="132"/>
      <c r="S82" s="132"/>
      <c r="T82" s="134"/>
      <c r="U82" s="137"/>
      <c r="V82" s="27"/>
      <c r="W82" s="28" t="str">
        <f>IFERROR(_xlfn.XLOOKUP(H82,Collection[Display],Collection[Line])&amp;_xlfn.XLOOKUP(I82,Sleeve[Display],Sleeve[Sleeve]),"")</f>
        <v/>
      </c>
    </row>
    <row r="83" spans="1:23" s="28" customFormat="1" ht="30" customHeight="1">
      <c r="A83" s="27"/>
      <c r="B83" s="135">
        <v>68</v>
      </c>
      <c r="C83" s="136"/>
      <c r="D83" s="130"/>
      <c r="E83" s="131"/>
      <c r="F83" s="131"/>
      <c r="G83" s="131"/>
      <c r="H83" s="131"/>
      <c r="I83" s="132"/>
      <c r="J83" s="131"/>
      <c r="K83" s="132"/>
      <c r="L83" s="131"/>
      <c r="M83" s="131"/>
      <c r="N83" s="131"/>
      <c r="O83" s="132"/>
      <c r="P83" s="132"/>
      <c r="Q83" s="132"/>
      <c r="R83" s="132"/>
      <c r="S83" s="132"/>
      <c r="T83" s="134"/>
      <c r="U83" s="137"/>
      <c r="V83" s="27"/>
      <c r="W83" s="28" t="str">
        <f>IFERROR(_xlfn.XLOOKUP(H83,Collection[Display],Collection[Line])&amp;_xlfn.XLOOKUP(I83,Sleeve[Display],Sleeve[Sleeve]),"")</f>
        <v/>
      </c>
    </row>
    <row r="84" spans="1:23" s="28" customFormat="1" ht="30" customHeight="1">
      <c r="A84" s="27"/>
      <c r="B84" s="135">
        <v>69</v>
      </c>
      <c r="C84" s="136"/>
      <c r="D84" s="130"/>
      <c r="E84" s="131"/>
      <c r="F84" s="131"/>
      <c r="G84" s="131"/>
      <c r="H84" s="131"/>
      <c r="I84" s="132"/>
      <c r="J84" s="131"/>
      <c r="K84" s="132"/>
      <c r="L84" s="131"/>
      <c r="M84" s="131"/>
      <c r="N84" s="131"/>
      <c r="O84" s="132"/>
      <c r="P84" s="132"/>
      <c r="Q84" s="132"/>
      <c r="R84" s="132"/>
      <c r="S84" s="132"/>
      <c r="T84" s="134"/>
      <c r="U84" s="137"/>
      <c r="V84" s="27"/>
      <c r="W84" s="28" t="str">
        <f>IFERROR(_xlfn.XLOOKUP(H84,Collection[Display],Collection[Line])&amp;_xlfn.XLOOKUP(I84,Sleeve[Display],Sleeve[Sleeve]),"")</f>
        <v/>
      </c>
    </row>
    <row r="85" spans="1:23" s="28" customFormat="1" ht="30" customHeight="1">
      <c r="A85" s="27"/>
      <c r="B85" s="135">
        <v>70</v>
      </c>
      <c r="C85" s="136"/>
      <c r="D85" s="130"/>
      <c r="E85" s="131"/>
      <c r="F85" s="131"/>
      <c r="G85" s="131"/>
      <c r="H85" s="131"/>
      <c r="I85" s="132"/>
      <c r="J85" s="131"/>
      <c r="K85" s="132"/>
      <c r="L85" s="131"/>
      <c r="M85" s="131"/>
      <c r="N85" s="131"/>
      <c r="O85" s="132"/>
      <c r="P85" s="132"/>
      <c r="Q85" s="132"/>
      <c r="R85" s="132"/>
      <c r="S85" s="132"/>
      <c r="T85" s="134"/>
      <c r="U85" s="137"/>
      <c r="V85" s="27"/>
      <c r="W85" s="28" t="str">
        <f>IFERROR(_xlfn.XLOOKUP(H85,Collection[Display],Collection[Line])&amp;_xlfn.XLOOKUP(I85,Sleeve[Display],Sleeve[Sleeve]),"")</f>
        <v/>
      </c>
    </row>
    <row r="86" spans="1:23" s="28" customFormat="1" ht="30" customHeight="1">
      <c r="A86" s="27"/>
      <c r="B86" s="135">
        <v>71</v>
      </c>
      <c r="C86" s="136"/>
      <c r="D86" s="130"/>
      <c r="E86" s="131"/>
      <c r="F86" s="131"/>
      <c r="G86" s="131"/>
      <c r="H86" s="131"/>
      <c r="I86" s="132"/>
      <c r="J86" s="131"/>
      <c r="K86" s="132"/>
      <c r="L86" s="131"/>
      <c r="M86" s="131"/>
      <c r="N86" s="131"/>
      <c r="O86" s="132"/>
      <c r="P86" s="132"/>
      <c r="Q86" s="132"/>
      <c r="R86" s="132"/>
      <c r="S86" s="132"/>
      <c r="T86" s="134"/>
      <c r="U86" s="137"/>
      <c r="V86" s="27"/>
      <c r="W86" s="28" t="str">
        <f>IFERROR(_xlfn.XLOOKUP(H86,Collection[Display],Collection[Line])&amp;_xlfn.XLOOKUP(I86,Sleeve[Display],Sleeve[Sleeve]),"")</f>
        <v/>
      </c>
    </row>
    <row r="87" spans="1:23" s="28" customFormat="1" ht="30" customHeight="1">
      <c r="A87" s="27"/>
      <c r="B87" s="135">
        <v>72</v>
      </c>
      <c r="C87" s="136"/>
      <c r="D87" s="130"/>
      <c r="E87" s="131"/>
      <c r="F87" s="131"/>
      <c r="G87" s="131"/>
      <c r="H87" s="131"/>
      <c r="I87" s="132"/>
      <c r="J87" s="131"/>
      <c r="K87" s="132"/>
      <c r="L87" s="131"/>
      <c r="M87" s="131"/>
      <c r="N87" s="131"/>
      <c r="O87" s="132"/>
      <c r="P87" s="132"/>
      <c r="Q87" s="132"/>
      <c r="R87" s="132"/>
      <c r="S87" s="132"/>
      <c r="T87" s="134"/>
      <c r="U87" s="137"/>
      <c r="V87" s="27"/>
      <c r="W87" s="28" t="str">
        <f>IFERROR(_xlfn.XLOOKUP(H87,Collection[Display],Collection[Line])&amp;_xlfn.XLOOKUP(I87,Sleeve[Display],Sleeve[Sleeve]),"")</f>
        <v/>
      </c>
    </row>
    <row r="88" spans="1:23" s="28" customFormat="1" ht="30" customHeight="1">
      <c r="A88" s="27"/>
      <c r="B88" s="135">
        <v>73</v>
      </c>
      <c r="C88" s="136"/>
      <c r="D88" s="130"/>
      <c r="E88" s="131"/>
      <c r="F88" s="131"/>
      <c r="G88" s="131"/>
      <c r="H88" s="131"/>
      <c r="I88" s="132"/>
      <c r="J88" s="131"/>
      <c r="K88" s="132"/>
      <c r="L88" s="131"/>
      <c r="M88" s="131"/>
      <c r="N88" s="131"/>
      <c r="O88" s="132"/>
      <c r="P88" s="132"/>
      <c r="Q88" s="132"/>
      <c r="R88" s="132"/>
      <c r="S88" s="132"/>
      <c r="T88" s="134"/>
      <c r="U88" s="137"/>
      <c r="V88" s="27"/>
      <c r="W88" s="28" t="str">
        <f>IFERROR(_xlfn.XLOOKUP(H88,Collection[Display],Collection[Line])&amp;_xlfn.XLOOKUP(I88,Sleeve[Display],Sleeve[Sleeve]),"")</f>
        <v/>
      </c>
    </row>
    <row r="89" spans="1:23" s="28" customFormat="1" ht="30" customHeight="1">
      <c r="A89" s="27"/>
      <c r="B89" s="135">
        <v>74</v>
      </c>
      <c r="C89" s="136"/>
      <c r="D89" s="130"/>
      <c r="E89" s="131"/>
      <c r="F89" s="131"/>
      <c r="G89" s="131"/>
      <c r="H89" s="131"/>
      <c r="I89" s="132"/>
      <c r="J89" s="131"/>
      <c r="K89" s="132"/>
      <c r="L89" s="131"/>
      <c r="M89" s="131"/>
      <c r="N89" s="131"/>
      <c r="O89" s="132"/>
      <c r="P89" s="132"/>
      <c r="Q89" s="132"/>
      <c r="R89" s="132"/>
      <c r="S89" s="132"/>
      <c r="T89" s="134"/>
      <c r="U89" s="137"/>
      <c r="V89" s="27"/>
      <c r="W89" s="28" t="str">
        <f>IFERROR(_xlfn.XLOOKUP(H89,Collection[Display],Collection[Line])&amp;_xlfn.XLOOKUP(I89,Sleeve[Display],Sleeve[Sleeve]),"")</f>
        <v/>
      </c>
    </row>
    <row r="90" spans="1:23" s="28" customFormat="1" ht="30" customHeight="1">
      <c r="A90" s="27"/>
      <c r="B90" s="135">
        <v>75</v>
      </c>
      <c r="C90" s="136"/>
      <c r="D90" s="130"/>
      <c r="E90" s="131"/>
      <c r="F90" s="131"/>
      <c r="G90" s="131"/>
      <c r="H90" s="131"/>
      <c r="I90" s="132"/>
      <c r="J90" s="131"/>
      <c r="K90" s="132"/>
      <c r="L90" s="131"/>
      <c r="M90" s="131"/>
      <c r="N90" s="131"/>
      <c r="O90" s="132"/>
      <c r="P90" s="132"/>
      <c r="Q90" s="132"/>
      <c r="R90" s="132"/>
      <c r="S90" s="132"/>
      <c r="T90" s="134"/>
      <c r="U90" s="137"/>
      <c r="V90" s="27"/>
      <c r="W90" s="28" t="str">
        <f>IFERROR(_xlfn.XLOOKUP(H90,Collection[Display],Collection[Line])&amp;_xlfn.XLOOKUP(I90,Sleeve[Display],Sleeve[Sleeve]),"")</f>
        <v/>
      </c>
    </row>
    <row r="91" spans="1:23" s="28" customFormat="1" ht="30" customHeight="1">
      <c r="A91" s="27"/>
      <c r="B91" s="135">
        <v>76</v>
      </c>
      <c r="C91" s="136"/>
      <c r="D91" s="130"/>
      <c r="E91" s="131"/>
      <c r="F91" s="131"/>
      <c r="G91" s="131"/>
      <c r="H91" s="131"/>
      <c r="I91" s="132"/>
      <c r="J91" s="131"/>
      <c r="K91" s="132"/>
      <c r="L91" s="131"/>
      <c r="M91" s="131"/>
      <c r="N91" s="131"/>
      <c r="O91" s="132"/>
      <c r="P91" s="132"/>
      <c r="Q91" s="132"/>
      <c r="R91" s="132"/>
      <c r="S91" s="132"/>
      <c r="T91" s="134"/>
      <c r="U91" s="137"/>
      <c r="V91" s="27"/>
      <c r="W91" s="28" t="str">
        <f>IFERROR(_xlfn.XLOOKUP(H91,Collection[Display],Collection[Line])&amp;_xlfn.XLOOKUP(I91,Sleeve[Display],Sleeve[Sleeve]),"")</f>
        <v/>
      </c>
    </row>
    <row r="92" spans="1:23" s="28" customFormat="1" ht="30" customHeight="1">
      <c r="A92" s="27"/>
      <c r="B92" s="135">
        <v>77</v>
      </c>
      <c r="C92" s="136"/>
      <c r="D92" s="130"/>
      <c r="E92" s="131"/>
      <c r="F92" s="131"/>
      <c r="G92" s="131"/>
      <c r="H92" s="131"/>
      <c r="I92" s="132"/>
      <c r="J92" s="131"/>
      <c r="K92" s="132"/>
      <c r="L92" s="131"/>
      <c r="M92" s="131"/>
      <c r="N92" s="131"/>
      <c r="O92" s="132"/>
      <c r="P92" s="132"/>
      <c r="Q92" s="132"/>
      <c r="R92" s="132"/>
      <c r="S92" s="132"/>
      <c r="T92" s="134"/>
      <c r="U92" s="137"/>
      <c r="V92" s="27"/>
      <c r="W92" s="28" t="str">
        <f>IFERROR(_xlfn.XLOOKUP(H92,Collection[Display],Collection[Line])&amp;_xlfn.XLOOKUP(I92,Sleeve[Display],Sleeve[Sleeve]),"")</f>
        <v/>
      </c>
    </row>
    <row r="93" spans="1:23" s="28" customFormat="1" ht="30" customHeight="1">
      <c r="A93" s="27"/>
      <c r="B93" s="135">
        <v>78</v>
      </c>
      <c r="C93" s="136"/>
      <c r="D93" s="130"/>
      <c r="E93" s="131"/>
      <c r="F93" s="131"/>
      <c r="G93" s="131"/>
      <c r="H93" s="131"/>
      <c r="I93" s="132"/>
      <c r="J93" s="131"/>
      <c r="K93" s="132"/>
      <c r="L93" s="131"/>
      <c r="M93" s="131"/>
      <c r="N93" s="131"/>
      <c r="O93" s="132"/>
      <c r="P93" s="132"/>
      <c r="Q93" s="132"/>
      <c r="R93" s="132"/>
      <c r="S93" s="132"/>
      <c r="T93" s="134"/>
      <c r="U93" s="137"/>
      <c r="V93" s="27"/>
      <c r="W93" s="28" t="str">
        <f>IFERROR(_xlfn.XLOOKUP(H93,Collection[Display],Collection[Line])&amp;_xlfn.XLOOKUP(I93,Sleeve[Display],Sleeve[Sleeve]),"")</f>
        <v/>
      </c>
    </row>
    <row r="94" spans="1:23" s="28" customFormat="1" ht="30" customHeight="1">
      <c r="A94" s="27"/>
      <c r="B94" s="135">
        <v>79</v>
      </c>
      <c r="C94" s="136"/>
      <c r="D94" s="130"/>
      <c r="E94" s="131"/>
      <c r="F94" s="131"/>
      <c r="G94" s="131"/>
      <c r="H94" s="131"/>
      <c r="I94" s="132"/>
      <c r="J94" s="131"/>
      <c r="K94" s="132"/>
      <c r="L94" s="131"/>
      <c r="M94" s="131"/>
      <c r="N94" s="131"/>
      <c r="O94" s="132"/>
      <c r="P94" s="132"/>
      <c r="Q94" s="132"/>
      <c r="R94" s="132"/>
      <c r="S94" s="132"/>
      <c r="T94" s="134"/>
      <c r="U94" s="137"/>
      <c r="V94" s="27"/>
      <c r="W94" s="28" t="str">
        <f>IFERROR(_xlfn.XLOOKUP(H94,Collection[Display],Collection[Line])&amp;_xlfn.XLOOKUP(I94,Sleeve[Display],Sleeve[Sleeve]),"")</f>
        <v/>
      </c>
    </row>
    <row r="95" spans="1:23" s="28" customFormat="1" ht="30" customHeight="1">
      <c r="A95" s="27"/>
      <c r="B95" s="135">
        <v>80</v>
      </c>
      <c r="C95" s="136"/>
      <c r="D95" s="130"/>
      <c r="E95" s="131"/>
      <c r="F95" s="131"/>
      <c r="G95" s="131"/>
      <c r="H95" s="131"/>
      <c r="I95" s="132"/>
      <c r="J95" s="131"/>
      <c r="K95" s="132"/>
      <c r="L95" s="131"/>
      <c r="M95" s="131"/>
      <c r="N95" s="131"/>
      <c r="O95" s="132"/>
      <c r="P95" s="132"/>
      <c r="Q95" s="132"/>
      <c r="R95" s="132"/>
      <c r="S95" s="132"/>
      <c r="T95" s="134"/>
      <c r="U95" s="137"/>
      <c r="V95" s="27"/>
      <c r="W95" s="28" t="str">
        <f>IFERROR(_xlfn.XLOOKUP(H95,Collection[Display],Collection[Line])&amp;_xlfn.XLOOKUP(I95,Sleeve[Display],Sleeve[Sleeve]),"")</f>
        <v/>
      </c>
    </row>
    <row r="96" spans="1:23" s="28" customFormat="1" ht="30" customHeight="1">
      <c r="A96" s="27"/>
      <c r="B96" s="135">
        <v>81</v>
      </c>
      <c r="C96" s="136"/>
      <c r="D96" s="130"/>
      <c r="E96" s="131"/>
      <c r="F96" s="131"/>
      <c r="G96" s="131"/>
      <c r="H96" s="131"/>
      <c r="I96" s="132"/>
      <c r="J96" s="131"/>
      <c r="K96" s="132"/>
      <c r="L96" s="131"/>
      <c r="M96" s="131"/>
      <c r="N96" s="131"/>
      <c r="O96" s="132"/>
      <c r="P96" s="132"/>
      <c r="Q96" s="132"/>
      <c r="R96" s="132"/>
      <c r="S96" s="132"/>
      <c r="T96" s="134"/>
      <c r="U96" s="137"/>
      <c r="V96" s="27"/>
      <c r="W96" s="28" t="str">
        <f>IFERROR(_xlfn.XLOOKUP(H96,Collection[Display],Collection[Line])&amp;_xlfn.XLOOKUP(I96,Sleeve[Display],Sleeve[Sleeve]),"")</f>
        <v/>
      </c>
    </row>
    <row r="97" spans="1:23" s="28" customFormat="1" ht="30" customHeight="1">
      <c r="A97" s="27"/>
      <c r="B97" s="135">
        <v>82</v>
      </c>
      <c r="C97" s="136"/>
      <c r="D97" s="130"/>
      <c r="E97" s="131"/>
      <c r="F97" s="131"/>
      <c r="G97" s="131"/>
      <c r="H97" s="131"/>
      <c r="I97" s="132"/>
      <c r="J97" s="131"/>
      <c r="K97" s="132"/>
      <c r="L97" s="131"/>
      <c r="M97" s="131"/>
      <c r="N97" s="131"/>
      <c r="O97" s="132"/>
      <c r="P97" s="132"/>
      <c r="Q97" s="132"/>
      <c r="R97" s="132"/>
      <c r="S97" s="132"/>
      <c r="T97" s="134"/>
      <c r="U97" s="137"/>
      <c r="V97" s="27"/>
      <c r="W97" s="28" t="str">
        <f>IFERROR(_xlfn.XLOOKUP(H97,Collection[Display],Collection[Line])&amp;_xlfn.XLOOKUP(I97,Sleeve[Display],Sleeve[Sleeve]),"")</f>
        <v/>
      </c>
    </row>
    <row r="98" spans="1:23" s="28" customFormat="1" ht="30" customHeight="1">
      <c r="A98" s="27"/>
      <c r="B98" s="135">
        <v>83</v>
      </c>
      <c r="C98" s="136"/>
      <c r="D98" s="130"/>
      <c r="E98" s="131"/>
      <c r="F98" s="131"/>
      <c r="G98" s="131"/>
      <c r="H98" s="131"/>
      <c r="I98" s="132"/>
      <c r="J98" s="131"/>
      <c r="K98" s="132"/>
      <c r="L98" s="131"/>
      <c r="M98" s="131"/>
      <c r="N98" s="131"/>
      <c r="O98" s="132"/>
      <c r="P98" s="132"/>
      <c r="Q98" s="132"/>
      <c r="R98" s="132"/>
      <c r="S98" s="132"/>
      <c r="T98" s="134"/>
      <c r="U98" s="137"/>
      <c r="V98" s="27"/>
      <c r="W98" s="28" t="str">
        <f>IFERROR(_xlfn.XLOOKUP(H98,Collection[Display],Collection[Line])&amp;_xlfn.XLOOKUP(I98,Sleeve[Display],Sleeve[Sleeve]),"")</f>
        <v/>
      </c>
    </row>
    <row r="99" spans="1:23" s="28" customFormat="1" ht="30" customHeight="1">
      <c r="A99" s="27"/>
      <c r="B99" s="135">
        <v>84</v>
      </c>
      <c r="C99" s="136"/>
      <c r="D99" s="130"/>
      <c r="E99" s="131"/>
      <c r="F99" s="131"/>
      <c r="G99" s="131"/>
      <c r="H99" s="131"/>
      <c r="I99" s="132"/>
      <c r="J99" s="131"/>
      <c r="K99" s="132"/>
      <c r="L99" s="131"/>
      <c r="M99" s="131"/>
      <c r="N99" s="131"/>
      <c r="O99" s="132"/>
      <c r="P99" s="132"/>
      <c r="Q99" s="132"/>
      <c r="R99" s="132"/>
      <c r="S99" s="132"/>
      <c r="T99" s="134"/>
      <c r="U99" s="137"/>
      <c r="V99" s="27"/>
      <c r="W99" s="28" t="str">
        <f>IFERROR(_xlfn.XLOOKUP(H99,Collection[Display],Collection[Line])&amp;_xlfn.XLOOKUP(I99,Sleeve[Display],Sleeve[Sleeve]),"")</f>
        <v/>
      </c>
    </row>
    <row r="100" spans="1:23" s="28" customFormat="1" ht="30" customHeight="1">
      <c r="A100" s="27"/>
      <c r="B100" s="135">
        <v>85</v>
      </c>
      <c r="C100" s="136"/>
      <c r="D100" s="130"/>
      <c r="E100" s="131"/>
      <c r="F100" s="131"/>
      <c r="G100" s="131"/>
      <c r="H100" s="131"/>
      <c r="I100" s="132"/>
      <c r="J100" s="131"/>
      <c r="K100" s="132"/>
      <c r="L100" s="131"/>
      <c r="M100" s="131"/>
      <c r="N100" s="131"/>
      <c r="O100" s="132"/>
      <c r="P100" s="132"/>
      <c r="Q100" s="132"/>
      <c r="R100" s="132"/>
      <c r="S100" s="132"/>
      <c r="T100" s="134"/>
      <c r="U100" s="137"/>
      <c r="V100" s="27"/>
      <c r="W100" s="28" t="str">
        <f>IFERROR(_xlfn.XLOOKUP(H100,Collection[Display],Collection[Line])&amp;_xlfn.XLOOKUP(I100,Sleeve[Display],Sleeve[Sleeve]),"")</f>
        <v/>
      </c>
    </row>
    <row r="101" spans="1:23" s="28" customFormat="1" ht="30" customHeight="1">
      <c r="A101" s="27"/>
      <c r="B101" s="135">
        <v>86</v>
      </c>
      <c r="C101" s="136"/>
      <c r="D101" s="130"/>
      <c r="E101" s="131"/>
      <c r="F101" s="131"/>
      <c r="G101" s="131"/>
      <c r="H101" s="131"/>
      <c r="I101" s="132"/>
      <c r="J101" s="131"/>
      <c r="K101" s="132"/>
      <c r="L101" s="131"/>
      <c r="M101" s="131"/>
      <c r="N101" s="131"/>
      <c r="O101" s="132"/>
      <c r="P101" s="132"/>
      <c r="Q101" s="132"/>
      <c r="R101" s="132"/>
      <c r="S101" s="132"/>
      <c r="T101" s="134"/>
      <c r="U101" s="137"/>
      <c r="V101" s="27"/>
      <c r="W101" s="28" t="str">
        <f>IFERROR(_xlfn.XLOOKUP(H101,Collection[Display],Collection[Line])&amp;_xlfn.XLOOKUP(I101,Sleeve[Display],Sleeve[Sleeve]),"")</f>
        <v/>
      </c>
    </row>
    <row r="102" spans="1:23" s="28" customFormat="1" ht="30" customHeight="1">
      <c r="A102" s="27"/>
      <c r="B102" s="135">
        <v>87</v>
      </c>
      <c r="C102" s="136"/>
      <c r="D102" s="130"/>
      <c r="E102" s="131"/>
      <c r="F102" s="131"/>
      <c r="G102" s="131"/>
      <c r="H102" s="131"/>
      <c r="I102" s="132"/>
      <c r="J102" s="131"/>
      <c r="K102" s="132"/>
      <c r="L102" s="131"/>
      <c r="M102" s="131"/>
      <c r="N102" s="131"/>
      <c r="O102" s="132"/>
      <c r="P102" s="132"/>
      <c r="Q102" s="132"/>
      <c r="R102" s="132"/>
      <c r="S102" s="132"/>
      <c r="T102" s="134"/>
      <c r="U102" s="137"/>
      <c r="V102" s="27"/>
      <c r="W102" s="28" t="str">
        <f>IFERROR(_xlfn.XLOOKUP(H102,Collection[Display],Collection[Line])&amp;_xlfn.XLOOKUP(I102,Sleeve[Display],Sleeve[Sleeve]),"")</f>
        <v/>
      </c>
    </row>
    <row r="103" spans="1:23" s="28" customFormat="1" ht="30" customHeight="1">
      <c r="A103" s="27"/>
      <c r="B103" s="135">
        <v>88</v>
      </c>
      <c r="C103" s="136"/>
      <c r="D103" s="138"/>
      <c r="E103" s="131"/>
      <c r="F103" s="131"/>
      <c r="G103" s="131"/>
      <c r="H103" s="131"/>
      <c r="I103" s="132"/>
      <c r="J103" s="131"/>
      <c r="K103" s="139"/>
      <c r="L103" s="131"/>
      <c r="M103" s="131"/>
      <c r="N103" s="131"/>
      <c r="O103" s="132"/>
      <c r="P103" s="132"/>
      <c r="Q103" s="132"/>
      <c r="R103" s="132"/>
      <c r="S103" s="132"/>
      <c r="T103" s="134"/>
      <c r="U103" s="137"/>
      <c r="V103" s="27"/>
      <c r="W103" s="28" t="str">
        <f>IFERROR(_xlfn.XLOOKUP(H103,Collection[Display],Collection[Line])&amp;_xlfn.XLOOKUP(I103,Sleeve[Display],Sleeve[Sleeve]),"")</f>
        <v/>
      </c>
    </row>
    <row r="104" spans="1:23" s="28" customFormat="1" ht="30" customHeight="1">
      <c r="A104" s="27"/>
      <c r="B104" s="135">
        <v>89</v>
      </c>
      <c r="C104" s="136"/>
      <c r="D104" s="138"/>
      <c r="E104" s="131"/>
      <c r="F104" s="131"/>
      <c r="G104" s="131"/>
      <c r="H104" s="131"/>
      <c r="I104" s="132"/>
      <c r="J104" s="131"/>
      <c r="K104" s="139"/>
      <c r="L104" s="131"/>
      <c r="M104" s="131"/>
      <c r="N104" s="131"/>
      <c r="O104" s="132"/>
      <c r="P104" s="132"/>
      <c r="Q104" s="132"/>
      <c r="R104" s="132"/>
      <c r="S104" s="132"/>
      <c r="T104" s="134"/>
      <c r="U104" s="137"/>
      <c r="V104" s="27"/>
      <c r="W104" s="28" t="str">
        <f>IFERROR(_xlfn.XLOOKUP(H104,Collection[Display],Collection[Line])&amp;_xlfn.XLOOKUP(I104,Sleeve[Display],Sleeve[Sleeve]),"")</f>
        <v/>
      </c>
    </row>
    <row r="105" spans="1:23" s="28" customFormat="1" ht="30" customHeight="1">
      <c r="A105" s="27"/>
      <c r="B105" s="135">
        <v>90</v>
      </c>
      <c r="C105" s="136"/>
      <c r="D105" s="138"/>
      <c r="E105" s="131"/>
      <c r="F105" s="131"/>
      <c r="G105" s="131"/>
      <c r="H105" s="131"/>
      <c r="I105" s="132"/>
      <c r="J105" s="131"/>
      <c r="K105" s="139"/>
      <c r="L105" s="131"/>
      <c r="M105" s="131"/>
      <c r="N105" s="131"/>
      <c r="O105" s="132"/>
      <c r="P105" s="132"/>
      <c r="Q105" s="132"/>
      <c r="R105" s="132"/>
      <c r="S105" s="132"/>
      <c r="T105" s="134"/>
      <c r="U105" s="137"/>
      <c r="V105" s="27"/>
      <c r="W105" s="28" t="str">
        <f>IFERROR(_xlfn.XLOOKUP(H105,Collection[Display],Collection[Line])&amp;_xlfn.XLOOKUP(I105,Sleeve[Display],Sleeve[Sleeve]),"")</f>
        <v/>
      </c>
    </row>
    <row r="106" spans="1:23" s="28" customFormat="1" ht="30" customHeight="1">
      <c r="A106" s="27"/>
      <c r="B106" s="135">
        <v>91</v>
      </c>
      <c r="C106" s="136"/>
      <c r="D106" s="138"/>
      <c r="E106" s="131"/>
      <c r="F106" s="131"/>
      <c r="G106" s="131"/>
      <c r="H106" s="131"/>
      <c r="I106" s="132"/>
      <c r="J106" s="131"/>
      <c r="K106" s="139"/>
      <c r="L106" s="131"/>
      <c r="M106" s="131"/>
      <c r="N106" s="131"/>
      <c r="O106" s="132"/>
      <c r="P106" s="132"/>
      <c r="Q106" s="132"/>
      <c r="R106" s="132"/>
      <c r="S106" s="132"/>
      <c r="T106" s="134"/>
      <c r="U106" s="137"/>
      <c r="V106" s="27"/>
      <c r="W106" s="28" t="str">
        <f>IFERROR(_xlfn.XLOOKUP(H106,Collection[Display],Collection[Line])&amp;_xlfn.XLOOKUP(I106,Sleeve[Display],Sleeve[Sleeve]),"")</f>
        <v/>
      </c>
    </row>
    <row r="107" spans="1:23" s="28" customFormat="1" ht="30" customHeight="1">
      <c r="A107" s="27"/>
      <c r="B107" s="135">
        <v>92</v>
      </c>
      <c r="C107" s="136"/>
      <c r="D107" s="138"/>
      <c r="E107" s="131"/>
      <c r="F107" s="131"/>
      <c r="G107" s="131"/>
      <c r="H107" s="131"/>
      <c r="I107" s="132"/>
      <c r="J107" s="131"/>
      <c r="K107" s="139"/>
      <c r="L107" s="131"/>
      <c r="M107" s="131"/>
      <c r="N107" s="131"/>
      <c r="O107" s="132"/>
      <c r="P107" s="132"/>
      <c r="Q107" s="132"/>
      <c r="R107" s="132"/>
      <c r="S107" s="132"/>
      <c r="T107" s="134"/>
      <c r="U107" s="137"/>
      <c r="V107" s="27"/>
      <c r="W107" s="28" t="str">
        <f>IFERROR(_xlfn.XLOOKUP(H107,Collection[Display],Collection[Line])&amp;_xlfn.XLOOKUP(I107,Sleeve[Display],Sleeve[Sleeve]),"")</f>
        <v/>
      </c>
    </row>
    <row r="108" spans="1:23" s="28" customFormat="1" ht="30" customHeight="1">
      <c r="A108" s="27"/>
      <c r="B108" s="135">
        <v>93</v>
      </c>
      <c r="C108" s="136"/>
      <c r="D108" s="138"/>
      <c r="E108" s="131"/>
      <c r="F108" s="131"/>
      <c r="G108" s="131"/>
      <c r="H108" s="131"/>
      <c r="I108" s="132"/>
      <c r="J108" s="131"/>
      <c r="K108" s="139"/>
      <c r="L108" s="131"/>
      <c r="M108" s="131"/>
      <c r="N108" s="131"/>
      <c r="O108" s="132"/>
      <c r="P108" s="132"/>
      <c r="Q108" s="132"/>
      <c r="R108" s="132"/>
      <c r="S108" s="132"/>
      <c r="T108" s="134"/>
      <c r="U108" s="137"/>
      <c r="V108" s="27"/>
      <c r="W108" s="28" t="str">
        <f>IFERROR(_xlfn.XLOOKUP(H108,Collection[Display],Collection[Line])&amp;_xlfn.XLOOKUP(I108,Sleeve[Display],Sleeve[Sleeve]),"")</f>
        <v/>
      </c>
    </row>
    <row r="109" spans="1:23" s="28" customFormat="1" ht="30" customHeight="1">
      <c r="A109" s="27"/>
      <c r="B109" s="135">
        <v>94</v>
      </c>
      <c r="C109" s="136"/>
      <c r="D109" s="138"/>
      <c r="E109" s="131"/>
      <c r="F109" s="131"/>
      <c r="G109" s="131"/>
      <c r="H109" s="131"/>
      <c r="I109" s="132"/>
      <c r="J109" s="131"/>
      <c r="K109" s="139"/>
      <c r="L109" s="131"/>
      <c r="M109" s="131"/>
      <c r="N109" s="131"/>
      <c r="O109" s="132"/>
      <c r="P109" s="132"/>
      <c r="Q109" s="132"/>
      <c r="R109" s="132"/>
      <c r="S109" s="132"/>
      <c r="T109" s="134"/>
      <c r="U109" s="137"/>
      <c r="V109" s="27"/>
      <c r="W109" s="28" t="str">
        <f>IFERROR(_xlfn.XLOOKUP(H109,Collection[Display],Collection[Line])&amp;_xlfn.XLOOKUP(I109,Sleeve[Display],Sleeve[Sleeve]),"")</f>
        <v/>
      </c>
    </row>
    <row r="110" spans="1:23" s="28" customFormat="1" ht="30" customHeight="1">
      <c r="A110" s="27"/>
      <c r="B110" s="135">
        <v>95</v>
      </c>
      <c r="C110" s="136"/>
      <c r="D110" s="138"/>
      <c r="E110" s="131"/>
      <c r="F110" s="131"/>
      <c r="G110" s="131"/>
      <c r="H110" s="131"/>
      <c r="I110" s="132"/>
      <c r="J110" s="131"/>
      <c r="K110" s="139"/>
      <c r="L110" s="131"/>
      <c r="M110" s="131"/>
      <c r="N110" s="131"/>
      <c r="O110" s="132"/>
      <c r="P110" s="132"/>
      <c r="Q110" s="132"/>
      <c r="R110" s="132"/>
      <c r="S110" s="132"/>
      <c r="T110" s="134"/>
      <c r="U110" s="137"/>
      <c r="V110" s="27"/>
      <c r="W110" s="28" t="str">
        <f>IFERROR(_xlfn.XLOOKUP(H110,Collection[Display],Collection[Line])&amp;_xlfn.XLOOKUP(I110,Sleeve[Display],Sleeve[Sleeve]),"")</f>
        <v/>
      </c>
    </row>
    <row r="111" spans="1:23" s="28" customFormat="1" ht="30" customHeight="1">
      <c r="A111" s="27"/>
      <c r="B111" s="135">
        <v>96</v>
      </c>
      <c r="C111" s="136"/>
      <c r="D111" s="138"/>
      <c r="E111" s="131"/>
      <c r="F111" s="131"/>
      <c r="G111" s="131"/>
      <c r="H111" s="131"/>
      <c r="I111" s="132"/>
      <c r="J111" s="131"/>
      <c r="K111" s="139"/>
      <c r="L111" s="131"/>
      <c r="M111" s="131"/>
      <c r="N111" s="131"/>
      <c r="O111" s="132"/>
      <c r="P111" s="132"/>
      <c r="Q111" s="132"/>
      <c r="R111" s="132"/>
      <c r="S111" s="132"/>
      <c r="T111" s="134"/>
      <c r="U111" s="137"/>
      <c r="V111" s="27"/>
      <c r="W111" s="28" t="str">
        <f>IFERROR(_xlfn.XLOOKUP(H111,Collection[Display],Collection[Line])&amp;_xlfn.XLOOKUP(I111,Sleeve[Display],Sleeve[Sleeve]),"")</f>
        <v/>
      </c>
    </row>
    <row r="112" spans="1:23" s="28" customFormat="1" ht="30" customHeight="1">
      <c r="A112" s="27"/>
      <c r="B112" s="135">
        <v>97</v>
      </c>
      <c r="C112" s="136"/>
      <c r="D112" s="138"/>
      <c r="E112" s="131"/>
      <c r="F112" s="131"/>
      <c r="G112" s="131"/>
      <c r="H112" s="131"/>
      <c r="I112" s="132"/>
      <c r="J112" s="131"/>
      <c r="K112" s="139"/>
      <c r="L112" s="131"/>
      <c r="M112" s="131"/>
      <c r="N112" s="131"/>
      <c r="O112" s="132"/>
      <c r="P112" s="132"/>
      <c r="Q112" s="132"/>
      <c r="R112" s="132"/>
      <c r="S112" s="132"/>
      <c r="T112" s="134"/>
      <c r="U112" s="137"/>
      <c r="V112" s="27"/>
      <c r="W112" s="28" t="str">
        <f>IFERROR(_xlfn.XLOOKUP(H112,Collection[Display],Collection[Line])&amp;_xlfn.XLOOKUP(I112,Sleeve[Display],Sleeve[Sleeve]),"")</f>
        <v/>
      </c>
    </row>
    <row r="113" spans="1:23" s="28" customFormat="1" ht="30" customHeight="1">
      <c r="A113" s="27"/>
      <c r="B113" s="135">
        <v>98</v>
      </c>
      <c r="C113" s="136"/>
      <c r="D113" s="138"/>
      <c r="E113" s="131"/>
      <c r="F113" s="131"/>
      <c r="G113" s="131"/>
      <c r="H113" s="131"/>
      <c r="I113" s="132"/>
      <c r="J113" s="131"/>
      <c r="K113" s="139"/>
      <c r="L113" s="131"/>
      <c r="M113" s="131"/>
      <c r="N113" s="131"/>
      <c r="O113" s="132"/>
      <c r="P113" s="132"/>
      <c r="Q113" s="132"/>
      <c r="R113" s="132"/>
      <c r="S113" s="132"/>
      <c r="T113" s="134"/>
      <c r="U113" s="137"/>
      <c r="V113" s="27"/>
      <c r="W113" s="28" t="str">
        <f>IFERROR(_xlfn.XLOOKUP(H113,Collection[Display],Collection[Line])&amp;_xlfn.XLOOKUP(I113,Sleeve[Display],Sleeve[Sleeve]),"")</f>
        <v/>
      </c>
    </row>
    <row r="114" spans="1:23" s="28" customFormat="1" ht="30" customHeight="1">
      <c r="A114" s="27"/>
      <c r="B114" s="135">
        <v>99</v>
      </c>
      <c r="C114" s="136"/>
      <c r="D114" s="138"/>
      <c r="E114" s="131"/>
      <c r="F114" s="131"/>
      <c r="G114" s="131"/>
      <c r="H114" s="131"/>
      <c r="I114" s="132"/>
      <c r="J114" s="131"/>
      <c r="K114" s="139"/>
      <c r="L114" s="131"/>
      <c r="M114" s="131"/>
      <c r="N114" s="131"/>
      <c r="O114" s="132"/>
      <c r="P114" s="132"/>
      <c r="Q114" s="132"/>
      <c r="R114" s="132"/>
      <c r="S114" s="132"/>
      <c r="T114" s="134"/>
      <c r="U114" s="137"/>
      <c r="V114" s="27"/>
      <c r="W114" s="28" t="str">
        <f>IFERROR(_xlfn.XLOOKUP(H114,Collection[Display],Collection[Line])&amp;_xlfn.XLOOKUP(I114,Sleeve[Display],Sleeve[Sleeve]),"")</f>
        <v/>
      </c>
    </row>
    <row r="115" spans="1:23" s="28" customFormat="1" ht="30" customHeight="1">
      <c r="A115" s="27"/>
      <c r="B115" s="135">
        <v>100</v>
      </c>
      <c r="C115" s="136"/>
      <c r="D115" s="138"/>
      <c r="E115" s="131"/>
      <c r="F115" s="131"/>
      <c r="G115" s="131"/>
      <c r="H115" s="131"/>
      <c r="I115" s="132"/>
      <c r="J115" s="131"/>
      <c r="K115" s="139"/>
      <c r="L115" s="131"/>
      <c r="M115" s="131"/>
      <c r="N115" s="131"/>
      <c r="O115" s="132"/>
      <c r="P115" s="132"/>
      <c r="Q115" s="132"/>
      <c r="R115" s="132"/>
      <c r="S115" s="132"/>
      <c r="T115" s="134"/>
      <c r="U115" s="137"/>
      <c r="V115" s="27"/>
      <c r="W115" s="28" t="str">
        <f>IFERROR(_xlfn.XLOOKUP(H115,Collection[Display],Collection[Line])&amp;_xlfn.XLOOKUP(I115,Sleeve[Display],Sleeve[Sleeve]),"")</f>
        <v/>
      </c>
    </row>
    <row r="116" spans="1:23" s="28" customFormat="1" ht="30" customHeight="1">
      <c r="A116" s="27"/>
      <c r="B116" s="135">
        <v>101</v>
      </c>
      <c r="C116" s="136"/>
      <c r="D116" s="138"/>
      <c r="E116" s="131"/>
      <c r="F116" s="131"/>
      <c r="G116" s="131"/>
      <c r="H116" s="131"/>
      <c r="I116" s="132"/>
      <c r="J116" s="131"/>
      <c r="K116" s="139"/>
      <c r="L116" s="131"/>
      <c r="M116" s="131"/>
      <c r="N116" s="131"/>
      <c r="O116" s="132"/>
      <c r="P116" s="132"/>
      <c r="Q116" s="132"/>
      <c r="R116" s="132"/>
      <c r="S116" s="132"/>
      <c r="T116" s="134"/>
      <c r="U116" s="137"/>
      <c r="V116" s="27"/>
      <c r="W116" s="28" t="str">
        <f>IFERROR(_xlfn.XLOOKUP(H116,Collection[Display],Collection[Line])&amp;_xlfn.XLOOKUP(I116,Sleeve[Display],Sleeve[Sleeve]),"")</f>
        <v/>
      </c>
    </row>
    <row r="117" spans="1:23" s="28" customFormat="1" ht="30" customHeight="1">
      <c r="A117" s="27"/>
      <c r="B117" s="135">
        <v>102</v>
      </c>
      <c r="C117" s="136"/>
      <c r="D117" s="138"/>
      <c r="E117" s="131"/>
      <c r="F117" s="131"/>
      <c r="G117" s="131"/>
      <c r="H117" s="131"/>
      <c r="I117" s="132"/>
      <c r="J117" s="131"/>
      <c r="K117" s="139"/>
      <c r="L117" s="131"/>
      <c r="M117" s="131"/>
      <c r="N117" s="131"/>
      <c r="O117" s="132"/>
      <c r="P117" s="132"/>
      <c r="Q117" s="132"/>
      <c r="R117" s="132"/>
      <c r="S117" s="132"/>
      <c r="T117" s="134"/>
      <c r="U117" s="137"/>
      <c r="V117" s="27"/>
      <c r="W117" s="28" t="str">
        <f>IFERROR(_xlfn.XLOOKUP(H117,Collection[Display],Collection[Line])&amp;_xlfn.XLOOKUP(I117,Sleeve[Display],Sleeve[Sleeve]),"")</f>
        <v/>
      </c>
    </row>
    <row r="118" spans="1:23" s="28" customFormat="1" ht="30" customHeight="1">
      <c r="A118" s="27"/>
      <c r="B118" s="135">
        <v>103</v>
      </c>
      <c r="C118" s="136"/>
      <c r="D118" s="138"/>
      <c r="E118" s="131"/>
      <c r="F118" s="131"/>
      <c r="G118" s="131"/>
      <c r="H118" s="131"/>
      <c r="I118" s="132"/>
      <c r="J118" s="131"/>
      <c r="K118" s="139"/>
      <c r="L118" s="131"/>
      <c r="M118" s="131"/>
      <c r="N118" s="131"/>
      <c r="O118" s="132"/>
      <c r="P118" s="132"/>
      <c r="Q118" s="132"/>
      <c r="R118" s="132"/>
      <c r="S118" s="132"/>
      <c r="T118" s="134"/>
      <c r="U118" s="137"/>
      <c r="V118" s="27"/>
      <c r="W118" s="28" t="str">
        <f>IFERROR(_xlfn.XLOOKUP(H118,Collection[Display],Collection[Line])&amp;_xlfn.XLOOKUP(I118,Sleeve[Display],Sleeve[Sleeve]),"")</f>
        <v/>
      </c>
    </row>
    <row r="119" spans="1:23" s="28" customFormat="1" ht="30" customHeight="1">
      <c r="A119" s="27"/>
      <c r="B119" s="135">
        <v>104</v>
      </c>
      <c r="C119" s="136"/>
      <c r="D119" s="138"/>
      <c r="E119" s="131"/>
      <c r="F119" s="131"/>
      <c r="G119" s="131"/>
      <c r="H119" s="131"/>
      <c r="I119" s="132"/>
      <c r="J119" s="131"/>
      <c r="K119" s="139"/>
      <c r="L119" s="131"/>
      <c r="M119" s="131"/>
      <c r="N119" s="131"/>
      <c r="O119" s="132"/>
      <c r="P119" s="132"/>
      <c r="Q119" s="132"/>
      <c r="R119" s="132"/>
      <c r="S119" s="132"/>
      <c r="T119" s="134"/>
      <c r="U119" s="137"/>
      <c r="V119" s="27"/>
      <c r="W119" s="28" t="str">
        <f>IFERROR(_xlfn.XLOOKUP(H119,Collection[Display],Collection[Line])&amp;_xlfn.XLOOKUP(I119,Sleeve[Display],Sleeve[Sleeve]),"")</f>
        <v/>
      </c>
    </row>
    <row r="120" spans="1:23" s="28" customFormat="1" ht="30" customHeight="1">
      <c r="A120" s="27"/>
      <c r="B120" s="135">
        <v>105</v>
      </c>
      <c r="C120" s="136"/>
      <c r="D120" s="138"/>
      <c r="E120" s="131"/>
      <c r="F120" s="131"/>
      <c r="G120" s="131"/>
      <c r="H120" s="131"/>
      <c r="I120" s="132"/>
      <c r="J120" s="131"/>
      <c r="K120" s="139"/>
      <c r="L120" s="131"/>
      <c r="M120" s="131"/>
      <c r="N120" s="131"/>
      <c r="O120" s="132"/>
      <c r="P120" s="132"/>
      <c r="Q120" s="132"/>
      <c r="R120" s="132"/>
      <c r="S120" s="132"/>
      <c r="T120" s="134"/>
      <c r="U120" s="137"/>
      <c r="V120" s="27"/>
      <c r="W120" s="28" t="str">
        <f>IFERROR(_xlfn.XLOOKUP(H120,Collection[Display],Collection[Line])&amp;_xlfn.XLOOKUP(I120,Sleeve[Display],Sleeve[Sleeve]),"")</f>
        <v/>
      </c>
    </row>
    <row r="121" spans="1:23" s="28" customFormat="1" ht="30" customHeight="1">
      <c r="A121" s="27"/>
      <c r="B121" s="135">
        <v>106</v>
      </c>
      <c r="C121" s="136"/>
      <c r="D121" s="138"/>
      <c r="E121" s="131"/>
      <c r="F121" s="131"/>
      <c r="G121" s="131"/>
      <c r="H121" s="131"/>
      <c r="I121" s="132"/>
      <c r="J121" s="131"/>
      <c r="K121" s="139"/>
      <c r="L121" s="131"/>
      <c r="M121" s="131"/>
      <c r="N121" s="131"/>
      <c r="O121" s="132"/>
      <c r="P121" s="132"/>
      <c r="Q121" s="132"/>
      <c r="R121" s="132"/>
      <c r="S121" s="132"/>
      <c r="T121" s="134"/>
      <c r="U121" s="137"/>
      <c r="V121" s="27"/>
      <c r="W121" s="28" t="str">
        <f>IFERROR(_xlfn.XLOOKUP(H121,Collection[Display],Collection[Line])&amp;_xlfn.XLOOKUP(I121,Sleeve[Display],Sleeve[Sleeve]),"")</f>
        <v/>
      </c>
    </row>
    <row r="122" spans="1:23" s="28" customFormat="1" ht="30" customHeight="1">
      <c r="A122" s="27"/>
      <c r="B122" s="135">
        <v>107</v>
      </c>
      <c r="C122" s="136"/>
      <c r="D122" s="138"/>
      <c r="E122" s="131"/>
      <c r="F122" s="131"/>
      <c r="G122" s="131"/>
      <c r="H122" s="131"/>
      <c r="I122" s="132"/>
      <c r="J122" s="131"/>
      <c r="K122" s="139"/>
      <c r="L122" s="131"/>
      <c r="M122" s="131"/>
      <c r="N122" s="131"/>
      <c r="O122" s="132"/>
      <c r="P122" s="132"/>
      <c r="Q122" s="132"/>
      <c r="R122" s="132"/>
      <c r="S122" s="132"/>
      <c r="T122" s="134"/>
      <c r="U122" s="137"/>
      <c r="V122" s="27"/>
      <c r="W122" s="28" t="str">
        <f>IFERROR(_xlfn.XLOOKUP(H122,Collection[Display],Collection[Line])&amp;_xlfn.XLOOKUP(I122,Sleeve[Display],Sleeve[Sleeve]),"")</f>
        <v/>
      </c>
    </row>
    <row r="123" spans="1:23" s="28" customFormat="1" ht="30" customHeight="1">
      <c r="A123" s="27"/>
      <c r="B123" s="135">
        <v>108</v>
      </c>
      <c r="C123" s="136"/>
      <c r="D123" s="138"/>
      <c r="E123" s="131"/>
      <c r="F123" s="131"/>
      <c r="G123" s="131"/>
      <c r="H123" s="131"/>
      <c r="I123" s="132"/>
      <c r="J123" s="131"/>
      <c r="K123" s="139"/>
      <c r="L123" s="131"/>
      <c r="M123" s="131"/>
      <c r="N123" s="131"/>
      <c r="O123" s="132"/>
      <c r="P123" s="132"/>
      <c r="Q123" s="132"/>
      <c r="R123" s="132"/>
      <c r="S123" s="132"/>
      <c r="T123" s="134"/>
      <c r="U123" s="137"/>
      <c r="V123" s="27"/>
      <c r="W123" s="28" t="str">
        <f>IFERROR(_xlfn.XLOOKUP(H123,Collection[Display],Collection[Line])&amp;_xlfn.XLOOKUP(I123,Sleeve[Display],Sleeve[Sleeve]),"")</f>
        <v/>
      </c>
    </row>
    <row r="124" spans="1:23" s="28" customFormat="1" ht="30" customHeight="1">
      <c r="A124" s="27"/>
      <c r="B124" s="135">
        <v>109</v>
      </c>
      <c r="C124" s="136"/>
      <c r="D124" s="138"/>
      <c r="E124" s="131"/>
      <c r="F124" s="131"/>
      <c r="G124" s="131"/>
      <c r="H124" s="131"/>
      <c r="I124" s="132"/>
      <c r="J124" s="131"/>
      <c r="K124" s="139"/>
      <c r="L124" s="131"/>
      <c r="M124" s="131"/>
      <c r="N124" s="131"/>
      <c r="O124" s="132"/>
      <c r="P124" s="132"/>
      <c r="Q124" s="132"/>
      <c r="R124" s="132"/>
      <c r="S124" s="132"/>
      <c r="T124" s="134"/>
      <c r="U124" s="137"/>
      <c r="V124" s="27"/>
      <c r="W124" s="28" t="str">
        <f>IFERROR(_xlfn.XLOOKUP(H124,Collection[Display],Collection[Line])&amp;_xlfn.XLOOKUP(I124,Sleeve[Display],Sleeve[Sleeve]),"")</f>
        <v/>
      </c>
    </row>
    <row r="125" spans="1:23" s="28" customFormat="1" ht="30" customHeight="1">
      <c r="A125" s="27"/>
      <c r="B125" s="135">
        <v>110</v>
      </c>
      <c r="C125" s="136"/>
      <c r="D125" s="138"/>
      <c r="E125" s="131"/>
      <c r="F125" s="131"/>
      <c r="G125" s="131"/>
      <c r="H125" s="131"/>
      <c r="I125" s="132"/>
      <c r="J125" s="131"/>
      <c r="K125" s="139"/>
      <c r="L125" s="131"/>
      <c r="M125" s="131"/>
      <c r="N125" s="131"/>
      <c r="O125" s="132"/>
      <c r="P125" s="132"/>
      <c r="Q125" s="132"/>
      <c r="R125" s="132"/>
      <c r="S125" s="132"/>
      <c r="T125" s="134"/>
      <c r="U125" s="137"/>
      <c r="V125" s="27"/>
      <c r="W125" s="28" t="str">
        <f>IFERROR(_xlfn.XLOOKUP(H125,Collection[Display],Collection[Line])&amp;_xlfn.XLOOKUP(I125,Sleeve[Display],Sleeve[Sleeve]),"")</f>
        <v/>
      </c>
    </row>
    <row r="126" spans="1:23" s="28" customFormat="1" ht="30" customHeight="1">
      <c r="A126" s="27"/>
      <c r="B126" s="135">
        <v>111</v>
      </c>
      <c r="C126" s="136"/>
      <c r="D126" s="138"/>
      <c r="E126" s="131"/>
      <c r="F126" s="131"/>
      <c r="G126" s="131"/>
      <c r="H126" s="131"/>
      <c r="I126" s="132"/>
      <c r="J126" s="131"/>
      <c r="K126" s="139"/>
      <c r="L126" s="131"/>
      <c r="M126" s="131"/>
      <c r="N126" s="131"/>
      <c r="O126" s="132"/>
      <c r="P126" s="132"/>
      <c r="Q126" s="132"/>
      <c r="R126" s="132"/>
      <c r="S126" s="132"/>
      <c r="T126" s="134"/>
      <c r="U126" s="137"/>
      <c r="V126" s="27"/>
      <c r="W126" s="28" t="str">
        <f>IFERROR(_xlfn.XLOOKUP(H126,Collection[Display],Collection[Line])&amp;_xlfn.XLOOKUP(I126,Sleeve[Display],Sleeve[Sleeve]),"")</f>
        <v/>
      </c>
    </row>
    <row r="127" spans="1:23" s="28" customFormat="1" ht="30" customHeight="1">
      <c r="A127" s="27"/>
      <c r="B127" s="135">
        <v>112</v>
      </c>
      <c r="C127" s="136"/>
      <c r="D127" s="138"/>
      <c r="E127" s="131"/>
      <c r="F127" s="131"/>
      <c r="G127" s="131"/>
      <c r="H127" s="131"/>
      <c r="I127" s="132"/>
      <c r="J127" s="131"/>
      <c r="K127" s="139"/>
      <c r="L127" s="131"/>
      <c r="M127" s="131"/>
      <c r="N127" s="131"/>
      <c r="O127" s="132"/>
      <c r="P127" s="132"/>
      <c r="Q127" s="132"/>
      <c r="R127" s="132"/>
      <c r="S127" s="132"/>
      <c r="T127" s="134"/>
      <c r="U127" s="137"/>
      <c r="V127" s="27"/>
      <c r="W127" s="28" t="str">
        <f>IFERROR(_xlfn.XLOOKUP(H127,Collection[Display],Collection[Line])&amp;_xlfn.XLOOKUP(I127,Sleeve[Display],Sleeve[Sleeve]),"")</f>
        <v/>
      </c>
    </row>
    <row r="128" spans="1:23" s="28" customFormat="1" ht="30" customHeight="1">
      <c r="A128" s="27"/>
      <c r="B128" s="135">
        <v>113</v>
      </c>
      <c r="C128" s="136"/>
      <c r="D128" s="138"/>
      <c r="E128" s="131"/>
      <c r="F128" s="131"/>
      <c r="G128" s="131"/>
      <c r="H128" s="131"/>
      <c r="I128" s="132"/>
      <c r="J128" s="131"/>
      <c r="K128" s="139"/>
      <c r="L128" s="131"/>
      <c r="M128" s="131"/>
      <c r="N128" s="131"/>
      <c r="O128" s="132"/>
      <c r="P128" s="132"/>
      <c r="Q128" s="132"/>
      <c r="R128" s="132"/>
      <c r="S128" s="132"/>
      <c r="T128" s="134"/>
      <c r="U128" s="137"/>
      <c r="V128" s="27"/>
      <c r="W128" s="28" t="str">
        <f>IFERROR(_xlfn.XLOOKUP(H128,Collection[Display],Collection[Line])&amp;_xlfn.XLOOKUP(I128,Sleeve[Display],Sleeve[Sleeve]),"")</f>
        <v/>
      </c>
    </row>
    <row r="129" spans="1:23" s="28" customFormat="1" ht="30" customHeight="1">
      <c r="A129" s="27"/>
      <c r="B129" s="135">
        <v>114</v>
      </c>
      <c r="C129" s="136"/>
      <c r="D129" s="138"/>
      <c r="E129" s="131"/>
      <c r="F129" s="131"/>
      <c r="G129" s="131"/>
      <c r="H129" s="131"/>
      <c r="I129" s="132"/>
      <c r="J129" s="131"/>
      <c r="K129" s="139"/>
      <c r="L129" s="131"/>
      <c r="M129" s="131"/>
      <c r="N129" s="131"/>
      <c r="O129" s="132"/>
      <c r="P129" s="132"/>
      <c r="Q129" s="132"/>
      <c r="R129" s="132"/>
      <c r="S129" s="132"/>
      <c r="T129" s="134"/>
      <c r="U129" s="137"/>
      <c r="V129" s="27"/>
      <c r="W129" s="28" t="str">
        <f>IFERROR(_xlfn.XLOOKUP(H129,Collection[Display],Collection[Line])&amp;_xlfn.XLOOKUP(I129,Sleeve[Display],Sleeve[Sleeve]),"")</f>
        <v/>
      </c>
    </row>
    <row r="130" spans="1:23" s="28" customFormat="1" ht="30" customHeight="1">
      <c r="A130" s="27"/>
      <c r="B130" s="135">
        <v>115</v>
      </c>
      <c r="C130" s="136"/>
      <c r="D130" s="138"/>
      <c r="E130" s="131"/>
      <c r="F130" s="131"/>
      <c r="G130" s="131"/>
      <c r="H130" s="131"/>
      <c r="I130" s="132"/>
      <c r="J130" s="131"/>
      <c r="K130" s="139"/>
      <c r="L130" s="131"/>
      <c r="M130" s="131"/>
      <c r="N130" s="131"/>
      <c r="O130" s="132"/>
      <c r="P130" s="132"/>
      <c r="Q130" s="132"/>
      <c r="R130" s="132"/>
      <c r="S130" s="132"/>
      <c r="T130" s="134"/>
      <c r="U130" s="137"/>
      <c r="V130" s="27"/>
      <c r="W130" s="28" t="str">
        <f>IFERROR(_xlfn.XLOOKUP(H130,Collection[Display],Collection[Line])&amp;_xlfn.XLOOKUP(I130,Sleeve[Display],Sleeve[Sleeve]),"")</f>
        <v/>
      </c>
    </row>
    <row r="131" spans="1:23" s="28" customFormat="1" ht="30" customHeight="1">
      <c r="A131" s="27"/>
      <c r="B131" s="135">
        <v>116</v>
      </c>
      <c r="C131" s="136"/>
      <c r="D131" s="138"/>
      <c r="E131" s="131"/>
      <c r="F131" s="131"/>
      <c r="G131" s="131"/>
      <c r="H131" s="131"/>
      <c r="I131" s="132"/>
      <c r="J131" s="131"/>
      <c r="K131" s="139"/>
      <c r="L131" s="131"/>
      <c r="M131" s="131"/>
      <c r="N131" s="131"/>
      <c r="O131" s="132"/>
      <c r="P131" s="132"/>
      <c r="Q131" s="132"/>
      <c r="R131" s="132"/>
      <c r="S131" s="132"/>
      <c r="T131" s="134"/>
      <c r="U131" s="137"/>
      <c r="V131" s="27"/>
      <c r="W131" s="28" t="str">
        <f>IFERROR(_xlfn.XLOOKUP(H131,Collection[Display],Collection[Line])&amp;_xlfn.XLOOKUP(I131,Sleeve[Display],Sleeve[Sleeve]),"")</f>
        <v/>
      </c>
    </row>
    <row r="132" spans="1:23" s="28" customFormat="1" ht="30" customHeight="1">
      <c r="A132" s="27"/>
      <c r="B132" s="135">
        <v>117</v>
      </c>
      <c r="C132" s="136"/>
      <c r="D132" s="138"/>
      <c r="E132" s="131"/>
      <c r="F132" s="131"/>
      <c r="G132" s="131"/>
      <c r="H132" s="131"/>
      <c r="I132" s="132"/>
      <c r="J132" s="131"/>
      <c r="K132" s="139"/>
      <c r="L132" s="131"/>
      <c r="M132" s="131"/>
      <c r="N132" s="131"/>
      <c r="O132" s="132"/>
      <c r="P132" s="132"/>
      <c r="Q132" s="132"/>
      <c r="R132" s="132"/>
      <c r="S132" s="132"/>
      <c r="T132" s="134"/>
      <c r="U132" s="137"/>
      <c r="V132" s="27"/>
      <c r="W132" s="28" t="str">
        <f>IFERROR(_xlfn.XLOOKUP(H132,Collection[Display],Collection[Line])&amp;_xlfn.XLOOKUP(I132,Sleeve[Display],Sleeve[Sleeve]),"")</f>
        <v/>
      </c>
    </row>
    <row r="133" spans="1:23" s="28" customFormat="1" ht="30" customHeight="1">
      <c r="A133" s="27"/>
      <c r="B133" s="135">
        <v>118</v>
      </c>
      <c r="C133" s="136"/>
      <c r="D133" s="138"/>
      <c r="E133" s="131"/>
      <c r="F133" s="131"/>
      <c r="G133" s="131"/>
      <c r="H133" s="131"/>
      <c r="I133" s="132"/>
      <c r="J133" s="131"/>
      <c r="K133" s="139"/>
      <c r="L133" s="131"/>
      <c r="M133" s="131"/>
      <c r="N133" s="131"/>
      <c r="O133" s="132"/>
      <c r="P133" s="132"/>
      <c r="Q133" s="132"/>
      <c r="R133" s="132"/>
      <c r="S133" s="132"/>
      <c r="T133" s="134"/>
      <c r="U133" s="137"/>
      <c r="V133" s="27"/>
      <c r="W133" s="28" t="str">
        <f>IFERROR(_xlfn.XLOOKUP(H133,Collection[Display],Collection[Line])&amp;_xlfn.XLOOKUP(I133,Sleeve[Display],Sleeve[Sleeve]),"")</f>
        <v/>
      </c>
    </row>
    <row r="134" spans="1:23" s="28" customFormat="1" ht="30" customHeight="1">
      <c r="A134" s="27"/>
      <c r="B134" s="135">
        <v>119</v>
      </c>
      <c r="C134" s="136"/>
      <c r="D134" s="138"/>
      <c r="E134" s="131"/>
      <c r="F134" s="131"/>
      <c r="G134" s="131"/>
      <c r="H134" s="131"/>
      <c r="I134" s="132"/>
      <c r="J134" s="131"/>
      <c r="K134" s="139"/>
      <c r="L134" s="131"/>
      <c r="M134" s="131"/>
      <c r="N134" s="131"/>
      <c r="O134" s="132"/>
      <c r="P134" s="132"/>
      <c r="Q134" s="132"/>
      <c r="R134" s="132"/>
      <c r="S134" s="132"/>
      <c r="T134" s="134"/>
      <c r="U134" s="137"/>
      <c r="V134" s="27"/>
      <c r="W134" s="28" t="str">
        <f>IFERROR(_xlfn.XLOOKUP(H134,Collection[Display],Collection[Line])&amp;_xlfn.XLOOKUP(I134,Sleeve[Display],Sleeve[Sleeve]),"")</f>
        <v/>
      </c>
    </row>
    <row r="135" spans="1:23" s="28" customFormat="1" ht="30" customHeight="1">
      <c r="A135" s="27"/>
      <c r="B135" s="135">
        <v>120</v>
      </c>
      <c r="C135" s="136"/>
      <c r="D135" s="138"/>
      <c r="E135" s="131"/>
      <c r="F135" s="131"/>
      <c r="G135" s="131"/>
      <c r="H135" s="131"/>
      <c r="I135" s="132"/>
      <c r="J135" s="131"/>
      <c r="K135" s="139"/>
      <c r="L135" s="131"/>
      <c r="M135" s="131"/>
      <c r="N135" s="131"/>
      <c r="O135" s="132"/>
      <c r="P135" s="132"/>
      <c r="Q135" s="132"/>
      <c r="R135" s="132"/>
      <c r="S135" s="132"/>
      <c r="T135" s="134"/>
      <c r="U135" s="137"/>
      <c r="V135" s="27"/>
      <c r="W135" s="28" t="str">
        <f>IFERROR(_xlfn.XLOOKUP(H135,Collection[Display],Collection[Line])&amp;_xlfn.XLOOKUP(I135,Sleeve[Display],Sleeve[Sleeve]),"")</f>
        <v/>
      </c>
    </row>
    <row r="136" spans="1:23" s="28" customFormat="1" ht="30" customHeight="1">
      <c r="A136" s="27"/>
      <c r="B136" s="135">
        <v>121</v>
      </c>
      <c r="C136" s="136"/>
      <c r="D136" s="138"/>
      <c r="E136" s="131"/>
      <c r="F136" s="131"/>
      <c r="G136" s="131"/>
      <c r="H136" s="131"/>
      <c r="I136" s="132"/>
      <c r="J136" s="131"/>
      <c r="K136" s="139"/>
      <c r="L136" s="131"/>
      <c r="M136" s="131"/>
      <c r="N136" s="131"/>
      <c r="O136" s="132"/>
      <c r="P136" s="132"/>
      <c r="Q136" s="132"/>
      <c r="R136" s="132"/>
      <c r="S136" s="132"/>
      <c r="T136" s="134"/>
      <c r="U136" s="137"/>
      <c r="V136" s="27"/>
      <c r="W136" s="28" t="str">
        <f>IFERROR(_xlfn.XLOOKUP(H136,Collection[Display],Collection[Line])&amp;_xlfn.XLOOKUP(I136,Sleeve[Display],Sleeve[Sleeve]),"")</f>
        <v/>
      </c>
    </row>
    <row r="137" spans="1:23" s="28" customFormat="1" ht="30" customHeight="1">
      <c r="A137" s="27"/>
      <c r="B137" s="135">
        <v>122</v>
      </c>
      <c r="C137" s="136"/>
      <c r="D137" s="138"/>
      <c r="E137" s="131"/>
      <c r="F137" s="131"/>
      <c r="G137" s="131"/>
      <c r="H137" s="131"/>
      <c r="I137" s="132"/>
      <c r="J137" s="131"/>
      <c r="K137" s="139"/>
      <c r="L137" s="131"/>
      <c r="M137" s="131"/>
      <c r="N137" s="131"/>
      <c r="O137" s="132"/>
      <c r="P137" s="132"/>
      <c r="Q137" s="132"/>
      <c r="R137" s="132"/>
      <c r="S137" s="132"/>
      <c r="T137" s="134"/>
      <c r="U137" s="137"/>
      <c r="V137" s="27"/>
      <c r="W137" s="28" t="str">
        <f>IFERROR(_xlfn.XLOOKUP(H137,Collection[Display],Collection[Line])&amp;_xlfn.XLOOKUP(I137,Sleeve[Display],Sleeve[Sleeve]),"")</f>
        <v/>
      </c>
    </row>
    <row r="138" spans="1:23" s="28" customFormat="1" ht="30" customHeight="1">
      <c r="A138" s="27"/>
      <c r="B138" s="135">
        <v>123</v>
      </c>
      <c r="C138" s="136"/>
      <c r="D138" s="138"/>
      <c r="E138" s="131"/>
      <c r="F138" s="131"/>
      <c r="G138" s="131"/>
      <c r="H138" s="131"/>
      <c r="I138" s="132"/>
      <c r="J138" s="131"/>
      <c r="K138" s="139"/>
      <c r="L138" s="131"/>
      <c r="M138" s="131"/>
      <c r="N138" s="131"/>
      <c r="O138" s="132"/>
      <c r="P138" s="132"/>
      <c r="Q138" s="132"/>
      <c r="R138" s="132"/>
      <c r="S138" s="132"/>
      <c r="T138" s="134"/>
      <c r="U138" s="137"/>
      <c r="V138" s="27"/>
      <c r="W138" s="28" t="str">
        <f>IFERROR(_xlfn.XLOOKUP(H138,Collection[Display],Collection[Line])&amp;_xlfn.XLOOKUP(I138,Sleeve[Display],Sleeve[Sleeve]),"")</f>
        <v/>
      </c>
    </row>
    <row r="139" spans="1:23" s="28" customFormat="1" ht="30" customHeight="1">
      <c r="A139" s="27"/>
      <c r="B139" s="135">
        <v>124</v>
      </c>
      <c r="C139" s="136"/>
      <c r="D139" s="138"/>
      <c r="E139" s="131"/>
      <c r="F139" s="131"/>
      <c r="G139" s="131"/>
      <c r="H139" s="131"/>
      <c r="I139" s="132"/>
      <c r="J139" s="131"/>
      <c r="K139" s="139"/>
      <c r="L139" s="131"/>
      <c r="M139" s="131"/>
      <c r="N139" s="131"/>
      <c r="O139" s="132"/>
      <c r="P139" s="132"/>
      <c r="Q139" s="132"/>
      <c r="R139" s="132"/>
      <c r="S139" s="132"/>
      <c r="T139" s="134"/>
      <c r="U139" s="137"/>
      <c r="V139" s="27"/>
      <c r="W139" s="28" t="str">
        <f>IFERROR(_xlfn.XLOOKUP(H139,Collection[Display],Collection[Line])&amp;_xlfn.XLOOKUP(I139,Sleeve[Display],Sleeve[Sleeve]),"")</f>
        <v/>
      </c>
    </row>
    <row r="140" spans="1:23" s="28" customFormat="1" ht="30" customHeight="1">
      <c r="A140" s="27"/>
      <c r="B140" s="135">
        <v>125</v>
      </c>
      <c r="C140" s="136"/>
      <c r="D140" s="138"/>
      <c r="E140" s="131"/>
      <c r="F140" s="131"/>
      <c r="G140" s="131"/>
      <c r="H140" s="131"/>
      <c r="I140" s="132"/>
      <c r="J140" s="131"/>
      <c r="K140" s="139"/>
      <c r="L140" s="131"/>
      <c r="M140" s="131"/>
      <c r="N140" s="131"/>
      <c r="O140" s="132"/>
      <c r="P140" s="132"/>
      <c r="Q140" s="132"/>
      <c r="R140" s="132"/>
      <c r="S140" s="132"/>
      <c r="T140" s="134"/>
      <c r="U140" s="137"/>
      <c r="V140" s="27"/>
      <c r="W140" s="28" t="str">
        <f>IFERROR(_xlfn.XLOOKUP(H140,Collection[Display],Collection[Line])&amp;_xlfn.XLOOKUP(I140,Sleeve[Display],Sleeve[Sleeve]),"")</f>
        <v/>
      </c>
    </row>
    <row r="141" spans="1:23" s="28" customFormat="1" ht="30" customHeight="1">
      <c r="A141" s="27"/>
      <c r="B141" s="135">
        <v>126</v>
      </c>
      <c r="C141" s="136"/>
      <c r="D141" s="138"/>
      <c r="E141" s="131"/>
      <c r="F141" s="131"/>
      <c r="G141" s="131"/>
      <c r="H141" s="131"/>
      <c r="I141" s="132"/>
      <c r="J141" s="131"/>
      <c r="K141" s="139"/>
      <c r="L141" s="131"/>
      <c r="M141" s="131"/>
      <c r="N141" s="131"/>
      <c r="O141" s="132"/>
      <c r="P141" s="132"/>
      <c r="Q141" s="132"/>
      <c r="R141" s="132"/>
      <c r="S141" s="132"/>
      <c r="T141" s="134"/>
      <c r="U141" s="137"/>
      <c r="V141" s="27"/>
      <c r="W141" s="28" t="str">
        <f>IFERROR(_xlfn.XLOOKUP(H141,Collection[Display],Collection[Line])&amp;_xlfn.XLOOKUP(I141,Sleeve[Display],Sleeve[Sleeve]),"")</f>
        <v/>
      </c>
    </row>
    <row r="142" spans="1:23" s="28" customFormat="1" ht="30" customHeight="1">
      <c r="A142" s="27"/>
      <c r="B142" s="135">
        <v>127</v>
      </c>
      <c r="C142" s="136"/>
      <c r="D142" s="138"/>
      <c r="E142" s="131"/>
      <c r="F142" s="131"/>
      <c r="G142" s="131"/>
      <c r="H142" s="131"/>
      <c r="I142" s="132"/>
      <c r="J142" s="131"/>
      <c r="K142" s="139"/>
      <c r="L142" s="131"/>
      <c r="M142" s="131"/>
      <c r="N142" s="131"/>
      <c r="O142" s="132"/>
      <c r="P142" s="132"/>
      <c r="Q142" s="132"/>
      <c r="R142" s="132"/>
      <c r="S142" s="132"/>
      <c r="T142" s="134"/>
      <c r="U142" s="137"/>
      <c r="V142" s="27"/>
      <c r="W142" s="28" t="str">
        <f>IFERROR(_xlfn.XLOOKUP(H142,Collection[Display],Collection[Line])&amp;_xlfn.XLOOKUP(I142,Sleeve[Display],Sleeve[Sleeve]),"")</f>
        <v/>
      </c>
    </row>
    <row r="143" spans="1:23" s="28" customFormat="1" ht="30" customHeight="1">
      <c r="A143" s="27"/>
      <c r="B143" s="135">
        <v>128</v>
      </c>
      <c r="C143" s="136"/>
      <c r="D143" s="138"/>
      <c r="E143" s="131"/>
      <c r="F143" s="131"/>
      <c r="G143" s="131"/>
      <c r="H143" s="131"/>
      <c r="I143" s="132"/>
      <c r="J143" s="131"/>
      <c r="K143" s="139"/>
      <c r="L143" s="131"/>
      <c r="M143" s="131"/>
      <c r="N143" s="131"/>
      <c r="O143" s="132"/>
      <c r="P143" s="132"/>
      <c r="Q143" s="132"/>
      <c r="R143" s="132"/>
      <c r="S143" s="132"/>
      <c r="T143" s="134"/>
      <c r="U143" s="137"/>
      <c r="V143" s="27"/>
      <c r="W143" s="28" t="str">
        <f>IFERROR(_xlfn.XLOOKUP(H143,Collection[Display],Collection[Line])&amp;_xlfn.XLOOKUP(I143,Sleeve[Display],Sleeve[Sleeve]),"")</f>
        <v/>
      </c>
    </row>
    <row r="144" spans="1:23" s="28" customFormat="1" ht="30" customHeight="1">
      <c r="A144" s="27"/>
      <c r="B144" s="135">
        <v>129</v>
      </c>
      <c r="C144" s="136"/>
      <c r="D144" s="138"/>
      <c r="E144" s="131"/>
      <c r="F144" s="131"/>
      <c r="G144" s="131"/>
      <c r="H144" s="131"/>
      <c r="I144" s="132"/>
      <c r="J144" s="131"/>
      <c r="K144" s="139"/>
      <c r="L144" s="131"/>
      <c r="M144" s="131"/>
      <c r="N144" s="131"/>
      <c r="O144" s="132"/>
      <c r="P144" s="132"/>
      <c r="Q144" s="132"/>
      <c r="R144" s="132"/>
      <c r="S144" s="132"/>
      <c r="T144" s="134"/>
      <c r="U144" s="137"/>
      <c r="V144" s="27"/>
      <c r="W144" s="28" t="str">
        <f>IFERROR(_xlfn.XLOOKUP(H144,Collection[Display],Collection[Line])&amp;_xlfn.XLOOKUP(I144,Sleeve[Display],Sleeve[Sleeve]),"")</f>
        <v/>
      </c>
    </row>
    <row r="145" spans="1:23" s="28" customFormat="1" ht="30" customHeight="1">
      <c r="A145" s="27"/>
      <c r="B145" s="135">
        <v>130</v>
      </c>
      <c r="C145" s="136"/>
      <c r="D145" s="138"/>
      <c r="E145" s="131"/>
      <c r="F145" s="131"/>
      <c r="G145" s="131"/>
      <c r="H145" s="131"/>
      <c r="I145" s="132"/>
      <c r="J145" s="131"/>
      <c r="K145" s="139"/>
      <c r="L145" s="131"/>
      <c r="M145" s="131"/>
      <c r="N145" s="131"/>
      <c r="O145" s="132"/>
      <c r="P145" s="132"/>
      <c r="Q145" s="132"/>
      <c r="R145" s="132"/>
      <c r="S145" s="132"/>
      <c r="T145" s="134"/>
      <c r="U145" s="137"/>
      <c r="V145" s="27"/>
      <c r="W145" s="28" t="str">
        <f>IFERROR(_xlfn.XLOOKUP(H145,Collection[Display],Collection[Line])&amp;_xlfn.XLOOKUP(I145,Sleeve[Display],Sleeve[Sleeve]),"")</f>
        <v/>
      </c>
    </row>
    <row r="146" spans="1:23" s="28" customFormat="1" ht="30" customHeight="1">
      <c r="A146" s="27"/>
      <c r="B146" s="135">
        <v>131</v>
      </c>
      <c r="C146" s="136"/>
      <c r="D146" s="138"/>
      <c r="E146" s="131"/>
      <c r="F146" s="131"/>
      <c r="G146" s="131"/>
      <c r="H146" s="131"/>
      <c r="I146" s="132"/>
      <c r="J146" s="131"/>
      <c r="K146" s="139"/>
      <c r="L146" s="131"/>
      <c r="M146" s="131"/>
      <c r="N146" s="131"/>
      <c r="O146" s="132"/>
      <c r="P146" s="132"/>
      <c r="Q146" s="132"/>
      <c r="R146" s="132"/>
      <c r="S146" s="132"/>
      <c r="T146" s="134"/>
      <c r="U146" s="137"/>
      <c r="V146" s="27"/>
      <c r="W146" s="28" t="str">
        <f>IFERROR(_xlfn.XLOOKUP(H146,Collection[Display],Collection[Line])&amp;_xlfn.XLOOKUP(I146,Sleeve[Display],Sleeve[Sleeve]),"")</f>
        <v/>
      </c>
    </row>
    <row r="147" spans="1:23" s="28" customFormat="1" ht="30" customHeight="1">
      <c r="A147" s="27"/>
      <c r="B147" s="135">
        <v>132</v>
      </c>
      <c r="C147" s="136"/>
      <c r="D147" s="138"/>
      <c r="E147" s="131"/>
      <c r="F147" s="131"/>
      <c r="G147" s="131"/>
      <c r="H147" s="131"/>
      <c r="I147" s="132"/>
      <c r="J147" s="131"/>
      <c r="K147" s="139"/>
      <c r="L147" s="131"/>
      <c r="M147" s="131"/>
      <c r="N147" s="131"/>
      <c r="O147" s="132"/>
      <c r="P147" s="132"/>
      <c r="Q147" s="132"/>
      <c r="R147" s="132"/>
      <c r="S147" s="132"/>
      <c r="T147" s="134"/>
      <c r="U147" s="137"/>
      <c r="V147" s="27"/>
      <c r="W147" s="28" t="str">
        <f>IFERROR(_xlfn.XLOOKUP(H147,Collection[Display],Collection[Line])&amp;_xlfn.XLOOKUP(I147,Sleeve[Display],Sleeve[Sleeve]),"")</f>
        <v/>
      </c>
    </row>
    <row r="148" spans="1:23" s="28" customFormat="1" ht="30" customHeight="1">
      <c r="A148" s="27"/>
      <c r="B148" s="135">
        <v>133</v>
      </c>
      <c r="C148" s="136"/>
      <c r="D148" s="138"/>
      <c r="E148" s="131"/>
      <c r="F148" s="131"/>
      <c r="G148" s="131"/>
      <c r="H148" s="131"/>
      <c r="I148" s="132"/>
      <c r="J148" s="131"/>
      <c r="K148" s="139"/>
      <c r="L148" s="131"/>
      <c r="M148" s="131"/>
      <c r="N148" s="131"/>
      <c r="O148" s="132"/>
      <c r="P148" s="132"/>
      <c r="Q148" s="132"/>
      <c r="R148" s="132"/>
      <c r="S148" s="132"/>
      <c r="T148" s="134"/>
      <c r="U148" s="137"/>
      <c r="V148" s="27"/>
      <c r="W148" s="28" t="str">
        <f>IFERROR(_xlfn.XLOOKUP(H148,Collection[Display],Collection[Line])&amp;_xlfn.XLOOKUP(I148,Sleeve[Display],Sleeve[Sleeve]),"")</f>
        <v/>
      </c>
    </row>
    <row r="149" spans="1:23" s="28" customFormat="1" ht="30" customHeight="1">
      <c r="A149" s="27"/>
      <c r="B149" s="135">
        <v>134</v>
      </c>
      <c r="C149" s="136"/>
      <c r="D149" s="138"/>
      <c r="E149" s="131"/>
      <c r="F149" s="131"/>
      <c r="G149" s="131"/>
      <c r="H149" s="131"/>
      <c r="I149" s="132"/>
      <c r="J149" s="131"/>
      <c r="K149" s="139"/>
      <c r="L149" s="131"/>
      <c r="M149" s="131"/>
      <c r="N149" s="131"/>
      <c r="O149" s="132"/>
      <c r="P149" s="132"/>
      <c r="Q149" s="132"/>
      <c r="R149" s="132"/>
      <c r="S149" s="132"/>
      <c r="T149" s="134"/>
      <c r="U149" s="137"/>
      <c r="V149" s="27"/>
      <c r="W149" s="28" t="str">
        <f>IFERROR(_xlfn.XLOOKUP(H149,Collection[Display],Collection[Line])&amp;_xlfn.XLOOKUP(I149,Sleeve[Display],Sleeve[Sleeve]),"")</f>
        <v/>
      </c>
    </row>
    <row r="150" spans="1:23" s="28" customFormat="1" ht="30" customHeight="1">
      <c r="A150" s="27"/>
      <c r="B150" s="135">
        <v>135</v>
      </c>
      <c r="C150" s="136"/>
      <c r="D150" s="138"/>
      <c r="E150" s="131"/>
      <c r="F150" s="131"/>
      <c r="G150" s="131"/>
      <c r="H150" s="131"/>
      <c r="I150" s="132"/>
      <c r="J150" s="131"/>
      <c r="K150" s="139"/>
      <c r="L150" s="131"/>
      <c r="M150" s="131"/>
      <c r="N150" s="131"/>
      <c r="O150" s="132"/>
      <c r="P150" s="132"/>
      <c r="Q150" s="132"/>
      <c r="R150" s="132"/>
      <c r="S150" s="132"/>
      <c r="T150" s="134"/>
      <c r="U150" s="137"/>
      <c r="V150" s="27"/>
      <c r="W150" s="28" t="str">
        <f>IFERROR(_xlfn.XLOOKUP(H150,Collection[Display],Collection[Line])&amp;_xlfn.XLOOKUP(I150,Sleeve[Display],Sleeve[Sleeve]),"")</f>
        <v/>
      </c>
    </row>
    <row r="151" spans="1:23" s="28" customFormat="1" ht="30" customHeight="1">
      <c r="A151" s="27"/>
      <c r="B151" s="135">
        <v>136</v>
      </c>
      <c r="C151" s="136"/>
      <c r="D151" s="138"/>
      <c r="E151" s="131"/>
      <c r="F151" s="131"/>
      <c r="G151" s="131"/>
      <c r="H151" s="131"/>
      <c r="I151" s="132"/>
      <c r="J151" s="131"/>
      <c r="K151" s="139"/>
      <c r="L151" s="131"/>
      <c r="M151" s="131"/>
      <c r="N151" s="131"/>
      <c r="O151" s="132"/>
      <c r="P151" s="132"/>
      <c r="Q151" s="132"/>
      <c r="R151" s="132"/>
      <c r="S151" s="132"/>
      <c r="T151" s="134"/>
      <c r="U151" s="137"/>
      <c r="V151" s="27"/>
      <c r="W151" s="28" t="str">
        <f>IFERROR(_xlfn.XLOOKUP(H151,Collection[Display],Collection[Line])&amp;_xlfn.XLOOKUP(I151,Sleeve[Display],Sleeve[Sleeve]),"")</f>
        <v/>
      </c>
    </row>
    <row r="152" spans="1:23" s="28" customFormat="1" ht="30" customHeight="1">
      <c r="A152" s="27"/>
      <c r="B152" s="135">
        <v>137</v>
      </c>
      <c r="C152" s="136"/>
      <c r="D152" s="138"/>
      <c r="E152" s="131"/>
      <c r="F152" s="131"/>
      <c r="G152" s="131"/>
      <c r="H152" s="131"/>
      <c r="I152" s="132"/>
      <c r="J152" s="131"/>
      <c r="K152" s="139"/>
      <c r="L152" s="131"/>
      <c r="M152" s="131"/>
      <c r="N152" s="131"/>
      <c r="O152" s="132"/>
      <c r="P152" s="132"/>
      <c r="Q152" s="132"/>
      <c r="R152" s="132"/>
      <c r="S152" s="132"/>
      <c r="T152" s="134"/>
      <c r="U152" s="137"/>
      <c r="V152" s="27"/>
      <c r="W152" s="28" t="str">
        <f>IFERROR(_xlfn.XLOOKUP(H152,Collection[Display],Collection[Line])&amp;_xlfn.XLOOKUP(I152,Sleeve[Display],Sleeve[Sleeve]),"")</f>
        <v/>
      </c>
    </row>
    <row r="153" spans="1:23" s="28" customFormat="1" ht="30" customHeight="1">
      <c r="A153" s="27"/>
      <c r="B153" s="135">
        <v>138</v>
      </c>
      <c r="C153" s="136"/>
      <c r="D153" s="138"/>
      <c r="E153" s="131"/>
      <c r="F153" s="131"/>
      <c r="G153" s="131"/>
      <c r="H153" s="131"/>
      <c r="I153" s="132"/>
      <c r="J153" s="131"/>
      <c r="K153" s="139"/>
      <c r="L153" s="131"/>
      <c r="M153" s="131"/>
      <c r="N153" s="131"/>
      <c r="O153" s="132"/>
      <c r="P153" s="132"/>
      <c r="Q153" s="132"/>
      <c r="R153" s="132"/>
      <c r="S153" s="132"/>
      <c r="T153" s="134"/>
      <c r="U153" s="137"/>
      <c r="V153" s="27"/>
      <c r="W153" s="28" t="str">
        <f>IFERROR(_xlfn.XLOOKUP(H153,Collection[Display],Collection[Line])&amp;_xlfn.XLOOKUP(I153,Sleeve[Display],Sleeve[Sleeve]),"")</f>
        <v/>
      </c>
    </row>
    <row r="154" spans="1:23" s="28" customFormat="1" ht="30" customHeight="1">
      <c r="A154" s="27"/>
      <c r="B154" s="135">
        <v>139</v>
      </c>
      <c r="C154" s="136"/>
      <c r="D154" s="138"/>
      <c r="E154" s="131"/>
      <c r="F154" s="131"/>
      <c r="G154" s="131"/>
      <c r="H154" s="131"/>
      <c r="I154" s="132"/>
      <c r="J154" s="131"/>
      <c r="K154" s="139"/>
      <c r="L154" s="131"/>
      <c r="M154" s="131"/>
      <c r="N154" s="131"/>
      <c r="O154" s="132"/>
      <c r="P154" s="132"/>
      <c r="Q154" s="132"/>
      <c r="R154" s="132"/>
      <c r="S154" s="132"/>
      <c r="T154" s="134"/>
      <c r="U154" s="137"/>
      <c r="V154" s="27"/>
      <c r="W154" s="28" t="str">
        <f>IFERROR(_xlfn.XLOOKUP(H154,Collection[Display],Collection[Line])&amp;_xlfn.XLOOKUP(I154,Sleeve[Display],Sleeve[Sleeve]),"")</f>
        <v/>
      </c>
    </row>
    <row r="155" spans="1:23" s="28" customFormat="1" ht="30" customHeight="1">
      <c r="A155" s="27"/>
      <c r="B155" s="135">
        <v>140</v>
      </c>
      <c r="C155" s="136"/>
      <c r="D155" s="138"/>
      <c r="E155" s="131"/>
      <c r="F155" s="131"/>
      <c r="G155" s="131"/>
      <c r="H155" s="131"/>
      <c r="I155" s="132"/>
      <c r="J155" s="131"/>
      <c r="K155" s="139"/>
      <c r="L155" s="131"/>
      <c r="M155" s="131"/>
      <c r="N155" s="131"/>
      <c r="O155" s="132"/>
      <c r="P155" s="132"/>
      <c r="Q155" s="132"/>
      <c r="R155" s="132"/>
      <c r="S155" s="132"/>
      <c r="T155" s="134"/>
      <c r="U155" s="137"/>
      <c r="V155" s="27"/>
      <c r="W155" s="28" t="str">
        <f>IFERROR(_xlfn.XLOOKUP(H155,Collection[Display],Collection[Line])&amp;_xlfn.XLOOKUP(I155,Sleeve[Display],Sleeve[Sleeve]),"")</f>
        <v/>
      </c>
    </row>
    <row r="156" spans="1:23" s="28" customFormat="1" ht="30" customHeight="1">
      <c r="A156" s="27"/>
      <c r="B156" s="135">
        <v>141</v>
      </c>
      <c r="C156" s="136"/>
      <c r="D156" s="138"/>
      <c r="E156" s="131"/>
      <c r="F156" s="131"/>
      <c r="G156" s="131"/>
      <c r="H156" s="131"/>
      <c r="I156" s="132"/>
      <c r="J156" s="131"/>
      <c r="K156" s="139"/>
      <c r="L156" s="131"/>
      <c r="M156" s="131"/>
      <c r="N156" s="131"/>
      <c r="O156" s="132"/>
      <c r="P156" s="132"/>
      <c r="Q156" s="132"/>
      <c r="R156" s="132"/>
      <c r="S156" s="132"/>
      <c r="T156" s="134"/>
      <c r="U156" s="137"/>
      <c r="V156" s="27"/>
      <c r="W156" s="28" t="str">
        <f>IFERROR(_xlfn.XLOOKUP(H156,Collection[Display],Collection[Line])&amp;_xlfn.XLOOKUP(I156,Sleeve[Display],Sleeve[Sleeve]),"")</f>
        <v/>
      </c>
    </row>
    <row r="157" spans="1:23" s="28" customFormat="1" ht="30" customHeight="1">
      <c r="A157" s="27"/>
      <c r="B157" s="135">
        <v>142</v>
      </c>
      <c r="C157" s="136"/>
      <c r="D157" s="138"/>
      <c r="E157" s="131"/>
      <c r="F157" s="131"/>
      <c r="G157" s="131"/>
      <c r="H157" s="131"/>
      <c r="I157" s="132"/>
      <c r="J157" s="131"/>
      <c r="K157" s="139"/>
      <c r="L157" s="131"/>
      <c r="M157" s="131"/>
      <c r="N157" s="131"/>
      <c r="O157" s="132"/>
      <c r="P157" s="132"/>
      <c r="Q157" s="132"/>
      <c r="R157" s="132"/>
      <c r="S157" s="132"/>
      <c r="T157" s="134"/>
      <c r="U157" s="137"/>
      <c r="V157" s="27"/>
      <c r="W157" s="28" t="str">
        <f>IFERROR(_xlfn.XLOOKUP(H157,Collection[Display],Collection[Line])&amp;_xlfn.XLOOKUP(I157,Sleeve[Display],Sleeve[Sleeve]),"")</f>
        <v/>
      </c>
    </row>
    <row r="158" spans="1:23" s="28" customFormat="1" ht="30" customHeight="1">
      <c r="A158" s="27"/>
      <c r="B158" s="135">
        <v>143</v>
      </c>
      <c r="C158" s="136"/>
      <c r="D158" s="138"/>
      <c r="E158" s="131"/>
      <c r="F158" s="131"/>
      <c r="G158" s="131"/>
      <c r="H158" s="131"/>
      <c r="I158" s="132"/>
      <c r="J158" s="131"/>
      <c r="K158" s="139"/>
      <c r="L158" s="131"/>
      <c r="M158" s="131"/>
      <c r="N158" s="131"/>
      <c r="O158" s="132"/>
      <c r="P158" s="132"/>
      <c r="Q158" s="132"/>
      <c r="R158" s="132"/>
      <c r="S158" s="132"/>
      <c r="T158" s="134"/>
      <c r="U158" s="137"/>
      <c r="V158" s="27"/>
      <c r="W158" s="28" t="str">
        <f>IFERROR(_xlfn.XLOOKUP(H158,Collection[Display],Collection[Line])&amp;_xlfn.XLOOKUP(I158,Sleeve[Display],Sleeve[Sleeve]),"")</f>
        <v/>
      </c>
    </row>
    <row r="159" spans="1:23" s="28" customFormat="1" ht="30" customHeight="1">
      <c r="A159" s="27"/>
      <c r="B159" s="135">
        <v>144</v>
      </c>
      <c r="C159" s="136"/>
      <c r="D159" s="138"/>
      <c r="E159" s="131"/>
      <c r="F159" s="131"/>
      <c r="G159" s="131"/>
      <c r="H159" s="131"/>
      <c r="I159" s="132"/>
      <c r="J159" s="131"/>
      <c r="K159" s="139"/>
      <c r="L159" s="131"/>
      <c r="M159" s="131"/>
      <c r="N159" s="131"/>
      <c r="O159" s="132"/>
      <c r="P159" s="132"/>
      <c r="Q159" s="132"/>
      <c r="R159" s="132"/>
      <c r="S159" s="132"/>
      <c r="T159" s="134"/>
      <c r="U159" s="137"/>
      <c r="V159" s="27"/>
      <c r="W159" s="28" t="str">
        <f>IFERROR(_xlfn.XLOOKUP(H159,Collection[Display],Collection[Line])&amp;_xlfn.XLOOKUP(I159,Sleeve[Display],Sleeve[Sleeve]),"")</f>
        <v/>
      </c>
    </row>
    <row r="160" spans="1:23" s="28" customFormat="1" ht="30" customHeight="1">
      <c r="A160" s="27"/>
      <c r="B160" s="135">
        <v>145</v>
      </c>
      <c r="C160" s="136"/>
      <c r="D160" s="138"/>
      <c r="E160" s="131"/>
      <c r="F160" s="131"/>
      <c r="G160" s="131"/>
      <c r="H160" s="131"/>
      <c r="I160" s="132"/>
      <c r="J160" s="131"/>
      <c r="K160" s="139"/>
      <c r="L160" s="131"/>
      <c r="M160" s="131"/>
      <c r="N160" s="131"/>
      <c r="O160" s="132"/>
      <c r="P160" s="132"/>
      <c r="Q160" s="132"/>
      <c r="R160" s="132"/>
      <c r="S160" s="132"/>
      <c r="T160" s="134"/>
      <c r="U160" s="137"/>
      <c r="V160" s="27"/>
      <c r="W160" s="28" t="str">
        <f>IFERROR(_xlfn.XLOOKUP(H160,Collection[Display],Collection[Line])&amp;_xlfn.XLOOKUP(I160,Sleeve[Display],Sleeve[Sleeve]),"")</f>
        <v/>
      </c>
    </row>
    <row r="161" spans="1:23" s="28" customFormat="1" ht="30" customHeight="1">
      <c r="A161" s="27"/>
      <c r="B161" s="135">
        <v>146</v>
      </c>
      <c r="C161" s="136"/>
      <c r="D161" s="138"/>
      <c r="E161" s="131"/>
      <c r="F161" s="131"/>
      <c r="G161" s="131"/>
      <c r="H161" s="131"/>
      <c r="I161" s="132"/>
      <c r="J161" s="131"/>
      <c r="K161" s="139"/>
      <c r="L161" s="131"/>
      <c r="M161" s="131"/>
      <c r="N161" s="131"/>
      <c r="O161" s="132"/>
      <c r="P161" s="132"/>
      <c r="Q161" s="132"/>
      <c r="R161" s="132"/>
      <c r="S161" s="132"/>
      <c r="T161" s="134"/>
      <c r="U161" s="137"/>
      <c r="V161" s="27"/>
      <c r="W161" s="28" t="str">
        <f>IFERROR(_xlfn.XLOOKUP(H161,Collection[Display],Collection[Line])&amp;_xlfn.XLOOKUP(I161,Sleeve[Display],Sleeve[Sleeve]),"")</f>
        <v/>
      </c>
    </row>
    <row r="162" spans="1:23" s="28" customFormat="1" ht="30" customHeight="1">
      <c r="A162" s="27"/>
      <c r="B162" s="135">
        <v>147</v>
      </c>
      <c r="C162" s="136"/>
      <c r="D162" s="138"/>
      <c r="E162" s="131"/>
      <c r="F162" s="131"/>
      <c r="G162" s="131"/>
      <c r="H162" s="131"/>
      <c r="I162" s="132"/>
      <c r="J162" s="131"/>
      <c r="K162" s="139"/>
      <c r="L162" s="131"/>
      <c r="M162" s="131"/>
      <c r="N162" s="131"/>
      <c r="O162" s="132"/>
      <c r="P162" s="132"/>
      <c r="Q162" s="132"/>
      <c r="R162" s="132"/>
      <c r="S162" s="132"/>
      <c r="T162" s="134"/>
      <c r="U162" s="137"/>
      <c r="V162" s="27"/>
      <c r="W162" s="28" t="str">
        <f>IFERROR(_xlfn.XLOOKUP(H162,Collection[Display],Collection[Line])&amp;_xlfn.XLOOKUP(I162,Sleeve[Display],Sleeve[Sleeve]),"")</f>
        <v/>
      </c>
    </row>
    <row r="163" spans="1:23" s="28" customFormat="1" ht="30" customHeight="1">
      <c r="A163" s="27"/>
      <c r="B163" s="135">
        <v>148</v>
      </c>
      <c r="C163" s="136"/>
      <c r="D163" s="138"/>
      <c r="E163" s="131"/>
      <c r="F163" s="131"/>
      <c r="G163" s="131"/>
      <c r="H163" s="131"/>
      <c r="I163" s="132"/>
      <c r="J163" s="131"/>
      <c r="K163" s="139"/>
      <c r="L163" s="131"/>
      <c r="M163" s="131"/>
      <c r="N163" s="131"/>
      <c r="O163" s="132"/>
      <c r="P163" s="132"/>
      <c r="Q163" s="132"/>
      <c r="R163" s="132"/>
      <c r="S163" s="132"/>
      <c r="T163" s="134"/>
      <c r="U163" s="137"/>
      <c r="V163" s="27"/>
      <c r="W163" s="28" t="str">
        <f>IFERROR(_xlfn.XLOOKUP(H163,Collection[Display],Collection[Line])&amp;_xlfn.XLOOKUP(I163,Sleeve[Display],Sleeve[Sleeve]),"")</f>
        <v/>
      </c>
    </row>
    <row r="164" spans="1:23" s="28" customFormat="1" ht="30" customHeight="1">
      <c r="A164" s="27"/>
      <c r="B164" s="135">
        <v>149</v>
      </c>
      <c r="C164" s="136"/>
      <c r="D164" s="138"/>
      <c r="E164" s="131"/>
      <c r="F164" s="131"/>
      <c r="G164" s="131"/>
      <c r="H164" s="131"/>
      <c r="I164" s="132"/>
      <c r="J164" s="131"/>
      <c r="K164" s="139"/>
      <c r="L164" s="131"/>
      <c r="M164" s="131"/>
      <c r="N164" s="131"/>
      <c r="O164" s="132"/>
      <c r="P164" s="132"/>
      <c r="Q164" s="132"/>
      <c r="R164" s="132"/>
      <c r="S164" s="132"/>
      <c r="T164" s="134"/>
      <c r="U164" s="137"/>
      <c r="V164" s="27"/>
      <c r="W164" s="28" t="str">
        <f>IFERROR(_xlfn.XLOOKUP(H164,Collection[Display],Collection[Line])&amp;_xlfn.XLOOKUP(I164,Sleeve[Display],Sleeve[Sleeve]),"")</f>
        <v/>
      </c>
    </row>
    <row r="165" spans="1:23" s="28" customFormat="1" ht="30" customHeight="1">
      <c r="A165" s="27"/>
      <c r="B165" s="135">
        <v>150</v>
      </c>
      <c r="C165" s="136"/>
      <c r="D165" s="138"/>
      <c r="E165" s="131"/>
      <c r="F165" s="131"/>
      <c r="G165" s="131"/>
      <c r="H165" s="131"/>
      <c r="I165" s="132"/>
      <c r="J165" s="131"/>
      <c r="K165" s="139"/>
      <c r="L165" s="131"/>
      <c r="M165" s="131"/>
      <c r="N165" s="131"/>
      <c r="O165" s="132"/>
      <c r="P165" s="132"/>
      <c r="Q165" s="132"/>
      <c r="R165" s="132"/>
      <c r="S165" s="132"/>
      <c r="T165" s="134"/>
      <c r="U165" s="137"/>
      <c r="V165" s="27"/>
      <c r="W165" s="28" t="str">
        <f>IFERROR(_xlfn.XLOOKUP(H165,Collection[Display],Collection[Line])&amp;_xlfn.XLOOKUP(I165,Sleeve[Display],Sleeve[Sleeve]),"")</f>
        <v/>
      </c>
    </row>
    <row r="166" spans="1:23" s="28" customFormat="1" ht="30" customHeight="1">
      <c r="A166" s="27"/>
      <c r="B166" s="135">
        <v>151</v>
      </c>
      <c r="C166" s="136"/>
      <c r="D166" s="138"/>
      <c r="E166" s="131"/>
      <c r="F166" s="131"/>
      <c r="G166" s="131"/>
      <c r="H166" s="131"/>
      <c r="I166" s="132"/>
      <c r="J166" s="131"/>
      <c r="K166" s="139"/>
      <c r="L166" s="131"/>
      <c r="M166" s="131"/>
      <c r="N166" s="131"/>
      <c r="O166" s="132"/>
      <c r="P166" s="132"/>
      <c r="Q166" s="132"/>
      <c r="R166" s="132"/>
      <c r="S166" s="132"/>
      <c r="T166" s="134"/>
      <c r="U166" s="137"/>
      <c r="V166" s="27"/>
      <c r="W166" s="28" t="str">
        <f>IFERROR(_xlfn.XLOOKUP(H166,Collection[Display],Collection[Line])&amp;_xlfn.XLOOKUP(I166,Sleeve[Display],Sleeve[Sleeve]),"")</f>
        <v/>
      </c>
    </row>
    <row r="167" spans="1:23" s="28" customFormat="1" ht="30" customHeight="1">
      <c r="A167" s="27"/>
      <c r="B167" s="135">
        <v>152</v>
      </c>
      <c r="C167" s="136"/>
      <c r="D167" s="138"/>
      <c r="E167" s="131"/>
      <c r="F167" s="131"/>
      <c r="G167" s="131"/>
      <c r="H167" s="131"/>
      <c r="I167" s="132"/>
      <c r="J167" s="131"/>
      <c r="K167" s="139"/>
      <c r="L167" s="131"/>
      <c r="M167" s="131"/>
      <c r="N167" s="131"/>
      <c r="O167" s="132"/>
      <c r="P167" s="132"/>
      <c r="Q167" s="132"/>
      <c r="R167" s="132"/>
      <c r="S167" s="132"/>
      <c r="T167" s="134"/>
      <c r="U167" s="137"/>
      <c r="V167" s="27"/>
      <c r="W167" s="28" t="str">
        <f>IFERROR(_xlfn.XLOOKUP(H167,Collection[Display],Collection[Line])&amp;_xlfn.XLOOKUP(I167,Sleeve[Display],Sleeve[Sleeve]),"")</f>
        <v/>
      </c>
    </row>
    <row r="168" spans="1:23" s="28" customFormat="1" ht="30" customHeight="1">
      <c r="A168" s="27"/>
      <c r="B168" s="135">
        <v>153</v>
      </c>
      <c r="C168" s="136"/>
      <c r="D168" s="138"/>
      <c r="E168" s="131"/>
      <c r="F168" s="131"/>
      <c r="G168" s="131"/>
      <c r="H168" s="131"/>
      <c r="I168" s="132"/>
      <c r="J168" s="131"/>
      <c r="K168" s="139"/>
      <c r="L168" s="131"/>
      <c r="M168" s="131"/>
      <c r="N168" s="131"/>
      <c r="O168" s="132"/>
      <c r="P168" s="132"/>
      <c r="Q168" s="132"/>
      <c r="R168" s="132"/>
      <c r="S168" s="132"/>
      <c r="T168" s="134"/>
      <c r="U168" s="137"/>
      <c r="V168" s="27"/>
      <c r="W168" s="28" t="str">
        <f>IFERROR(_xlfn.XLOOKUP(H168,Collection[Display],Collection[Line])&amp;_xlfn.XLOOKUP(I168,Sleeve[Display],Sleeve[Sleeve]),"")</f>
        <v/>
      </c>
    </row>
    <row r="169" spans="1:23" s="28" customFormat="1" ht="30" customHeight="1">
      <c r="A169" s="27"/>
      <c r="B169" s="135">
        <v>154</v>
      </c>
      <c r="C169" s="136"/>
      <c r="D169" s="138"/>
      <c r="E169" s="131"/>
      <c r="F169" s="131"/>
      <c r="G169" s="131"/>
      <c r="H169" s="131"/>
      <c r="I169" s="132"/>
      <c r="J169" s="131"/>
      <c r="K169" s="139"/>
      <c r="L169" s="131"/>
      <c r="M169" s="131"/>
      <c r="N169" s="131"/>
      <c r="O169" s="132"/>
      <c r="P169" s="132"/>
      <c r="Q169" s="132"/>
      <c r="R169" s="132"/>
      <c r="S169" s="132"/>
      <c r="T169" s="134"/>
      <c r="U169" s="137"/>
      <c r="V169" s="27"/>
      <c r="W169" s="28" t="str">
        <f>IFERROR(_xlfn.XLOOKUP(H169,Collection[Display],Collection[Line])&amp;_xlfn.XLOOKUP(I169,Sleeve[Display],Sleeve[Sleeve]),"")</f>
        <v/>
      </c>
    </row>
    <row r="170" spans="1:23" s="28" customFormat="1" ht="30" customHeight="1">
      <c r="A170" s="27"/>
      <c r="B170" s="135">
        <v>155</v>
      </c>
      <c r="C170" s="136"/>
      <c r="D170" s="138"/>
      <c r="E170" s="131"/>
      <c r="F170" s="131"/>
      <c r="G170" s="131"/>
      <c r="H170" s="131"/>
      <c r="I170" s="132"/>
      <c r="J170" s="131"/>
      <c r="K170" s="139"/>
      <c r="L170" s="131"/>
      <c r="M170" s="131"/>
      <c r="N170" s="131"/>
      <c r="O170" s="132"/>
      <c r="P170" s="132"/>
      <c r="Q170" s="132"/>
      <c r="R170" s="132"/>
      <c r="S170" s="132"/>
      <c r="T170" s="134"/>
      <c r="U170" s="137"/>
      <c r="V170" s="27"/>
      <c r="W170" s="28" t="str">
        <f>IFERROR(_xlfn.XLOOKUP(H170,Collection[Display],Collection[Line])&amp;_xlfn.XLOOKUP(I170,Sleeve[Display],Sleeve[Sleeve]),"")</f>
        <v/>
      </c>
    </row>
    <row r="171" spans="1:23" s="28" customFormat="1" ht="30" customHeight="1">
      <c r="A171" s="27"/>
      <c r="B171" s="135">
        <v>156</v>
      </c>
      <c r="C171" s="136"/>
      <c r="D171" s="138"/>
      <c r="E171" s="131"/>
      <c r="F171" s="131"/>
      <c r="G171" s="131"/>
      <c r="H171" s="131"/>
      <c r="I171" s="132"/>
      <c r="J171" s="131"/>
      <c r="K171" s="139"/>
      <c r="L171" s="131"/>
      <c r="M171" s="131"/>
      <c r="N171" s="131"/>
      <c r="O171" s="132"/>
      <c r="P171" s="132"/>
      <c r="Q171" s="132"/>
      <c r="R171" s="132"/>
      <c r="S171" s="132"/>
      <c r="T171" s="134"/>
      <c r="U171" s="137"/>
      <c r="V171" s="27"/>
      <c r="W171" s="28" t="str">
        <f>IFERROR(_xlfn.XLOOKUP(H171,Collection[Display],Collection[Line])&amp;_xlfn.XLOOKUP(I171,Sleeve[Display],Sleeve[Sleeve]),"")</f>
        <v/>
      </c>
    </row>
    <row r="172" spans="1:23" s="28" customFormat="1" ht="30" customHeight="1">
      <c r="A172" s="27"/>
      <c r="B172" s="135">
        <v>157</v>
      </c>
      <c r="C172" s="136"/>
      <c r="D172" s="138"/>
      <c r="E172" s="131"/>
      <c r="F172" s="131"/>
      <c r="G172" s="131"/>
      <c r="H172" s="131"/>
      <c r="I172" s="132"/>
      <c r="J172" s="131"/>
      <c r="K172" s="139"/>
      <c r="L172" s="131"/>
      <c r="M172" s="131"/>
      <c r="N172" s="131"/>
      <c r="O172" s="132"/>
      <c r="P172" s="132"/>
      <c r="Q172" s="132"/>
      <c r="R172" s="132"/>
      <c r="S172" s="132"/>
      <c r="T172" s="134"/>
      <c r="U172" s="137"/>
      <c r="V172" s="27"/>
      <c r="W172" s="28" t="str">
        <f>IFERROR(_xlfn.XLOOKUP(H172,Collection[Display],Collection[Line])&amp;_xlfn.XLOOKUP(I172,Sleeve[Display],Sleeve[Sleeve]),"")</f>
        <v/>
      </c>
    </row>
    <row r="173" spans="1:23" s="28" customFormat="1" ht="30" customHeight="1">
      <c r="A173" s="27"/>
      <c r="B173" s="135">
        <v>158</v>
      </c>
      <c r="C173" s="136"/>
      <c r="D173" s="138"/>
      <c r="E173" s="131"/>
      <c r="F173" s="131"/>
      <c r="G173" s="131"/>
      <c r="H173" s="131"/>
      <c r="I173" s="132"/>
      <c r="J173" s="131"/>
      <c r="K173" s="139"/>
      <c r="L173" s="131"/>
      <c r="M173" s="131"/>
      <c r="N173" s="131"/>
      <c r="O173" s="132"/>
      <c r="P173" s="132"/>
      <c r="Q173" s="132"/>
      <c r="R173" s="132"/>
      <c r="S173" s="132"/>
      <c r="T173" s="134"/>
      <c r="U173" s="137"/>
      <c r="V173" s="27"/>
      <c r="W173" s="28" t="str">
        <f>IFERROR(_xlfn.XLOOKUP(H173,Collection[Display],Collection[Line])&amp;_xlfn.XLOOKUP(I173,Sleeve[Display],Sleeve[Sleeve]),"")</f>
        <v/>
      </c>
    </row>
    <row r="174" spans="1:23" s="28" customFormat="1" ht="30" customHeight="1">
      <c r="A174" s="27"/>
      <c r="B174" s="135">
        <v>159</v>
      </c>
      <c r="C174" s="136"/>
      <c r="D174" s="138"/>
      <c r="E174" s="131"/>
      <c r="F174" s="131"/>
      <c r="G174" s="131"/>
      <c r="H174" s="131"/>
      <c r="I174" s="132"/>
      <c r="J174" s="131"/>
      <c r="K174" s="139"/>
      <c r="L174" s="131"/>
      <c r="M174" s="131"/>
      <c r="N174" s="131"/>
      <c r="O174" s="132"/>
      <c r="P174" s="132"/>
      <c r="Q174" s="132"/>
      <c r="R174" s="132"/>
      <c r="S174" s="132"/>
      <c r="T174" s="134"/>
      <c r="U174" s="137"/>
      <c r="V174" s="27"/>
      <c r="W174" s="28" t="str">
        <f>IFERROR(_xlfn.XLOOKUP(H174,Collection[Display],Collection[Line])&amp;_xlfn.XLOOKUP(I174,Sleeve[Display],Sleeve[Sleeve]),"")</f>
        <v/>
      </c>
    </row>
    <row r="175" spans="1:23" s="28" customFormat="1" ht="30" customHeight="1">
      <c r="A175" s="27"/>
      <c r="B175" s="135">
        <v>160</v>
      </c>
      <c r="C175" s="136"/>
      <c r="D175" s="138"/>
      <c r="E175" s="131"/>
      <c r="F175" s="131"/>
      <c r="G175" s="131"/>
      <c r="H175" s="131"/>
      <c r="I175" s="132"/>
      <c r="J175" s="131"/>
      <c r="K175" s="139"/>
      <c r="L175" s="131"/>
      <c r="M175" s="131"/>
      <c r="N175" s="131"/>
      <c r="O175" s="132"/>
      <c r="P175" s="132"/>
      <c r="Q175" s="132"/>
      <c r="R175" s="132"/>
      <c r="S175" s="132"/>
      <c r="T175" s="134"/>
      <c r="U175" s="137"/>
      <c r="V175" s="27"/>
      <c r="W175" s="28" t="str">
        <f>IFERROR(_xlfn.XLOOKUP(H175,Collection[Display],Collection[Line])&amp;_xlfn.XLOOKUP(I175,Sleeve[Display],Sleeve[Sleeve]),"")</f>
        <v/>
      </c>
    </row>
    <row r="176" spans="1:23" s="28" customFormat="1" ht="30" customHeight="1">
      <c r="A176" s="27"/>
      <c r="B176" s="135">
        <v>161</v>
      </c>
      <c r="C176" s="136"/>
      <c r="D176" s="138"/>
      <c r="E176" s="131"/>
      <c r="F176" s="131"/>
      <c r="G176" s="131"/>
      <c r="H176" s="131"/>
      <c r="I176" s="132"/>
      <c r="J176" s="131"/>
      <c r="K176" s="139"/>
      <c r="L176" s="131"/>
      <c r="M176" s="131"/>
      <c r="N176" s="131"/>
      <c r="O176" s="132"/>
      <c r="P176" s="132"/>
      <c r="Q176" s="132"/>
      <c r="R176" s="132"/>
      <c r="S176" s="132"/>
      <c r="T176" s="134"/>
      <c r="U176" s="137"/>
      <c r="V176" s="27"/>
      <c r="W176" s="28" t="str">
        <f>IFERROR(_xlfn.XLOOKUP(H176,Collection[Display],Collection[Line])&amp;_xlfn.XLOOKUP(I176,Sleeve[Display],Sleeve[Sleeve]),"")</f>
        <v/>
      </c>
    </row>
    <row r="177" spans="1:23" s="28" customFormat="1" ht="30" customHeight="1">
      <c r="A177" s="27"/>
      <c r="B177" s="135">
        <v>162</v>
      </c>
      <c r="C177" s="136"/>
      <c r="D177" s="138"/>
      <c r="E177" s="131"/>
      <c r="F177" s="131"/>
      <c r="G177" s="131"/>
      <c r="H177" s="131"/>
      <c r="I177" s="132"/>
      <c r="J177" s="131"/>
      <c r="K177" s="139"/>
      <c r="L177" s="131"/>
      <c r="M177" s="131"/>
      <c r="N177" s="131"/>
      <c r="O177" s="132"/>
      <c r="P177" s="132"/>
      <c r="Q177" s="132"/>
      <c r="R177" s="132"/>
      <c r="S177" s="132"/>
      <c r="T177" s="134"/>
      <c r="U177" s="137"/>
      <c r="V177" s="27"/>
      <c r="W177" s="28" t="str">
        <f>IFERROR(_xlfn.XLOOKUP(H177,Collection[Display],Collection[Line])&amp;_xlfn.XLOOKUP(I177,Sleeve[Display],Sleeve[Sleeve]),"")</f>
        <v/>
      </c>
    </row>
    <row r="178" spans="1:23" s="28" customFormat="1" ht="30" customHeight="1">
      <c r="A178" s="27"/>
      <c r="B178" s="135">
        <v>163</v>
      </c>
      <c r="C178" s="136"/>
      <c r="D178" s="138"/>
      <c r="E178" s="131"/>
      <c r="F178" s="131"/>
      <c r="G178" s="131"/>
      <c r="H178" s="131"/>
      <c r="I178" s="132"/>
      <c r="J178" s="131"/>
      <c r="K178" s="139"/>
      <c r="L178" s="131"/>
      <c r="M178" s="131"/>
      <c r="N178" s="131"/>
      <c r="O178" s="132"/>
      <c r="P178" s="132"/>
      <c r="Q178" s="132"/>
      <c r="R178" s="132"/>
      <c r="S178" s="132"/>
      <c r="T178" s="134"/>
      <c r="U178" s="137"/>
      <c r="V178" s="27"/>
      <c r="W178" s="28" t="str">
        <f>IFERROR(_xlfn.XLOOKUP(H178,Collection[Display],Collection[Line])&amp;_xlfn.XLOOKUP(I178,Sleeve[Display],Sleeve[Sleeve]),"")</f>
        <v/>
      </c>
    </row>
    <row r="179" spans="1:23" s="28" customFormat="1" ht="30" customHeight="1">
      <c r="A179" s="27"/>
      <c r="B179" s="135">
        <v>164</v>
      </c>
      <c r="C179" s="136"/>
      <c r="D179" s="138"/>
      <c r="E179" s="131"/>
      <c r="F179" s="131"/>
      <c r="G179" s="131"/>
      <c r="H179" s="131"/>
      <c r="I179" s="132"/>
      <c r="J179" s="131"/>
      <c r="K179" s="139"/>
      <c r="L179" s="131"/>
      <c r="M179" s="131"/>
      <c r="N179" s="131"/>
      <c r="O179" s="132"/>
      <c r="P179" s="132"/>
      <c r="Q179" s="132"/>
      <c r="R179" s="132"/>
      <c r="S179" s="132"/>
      <c r="T179" s="134"/>
      <c r="U179" s="137"/>
      <c r="V179" s="27"/>
      <c r="W179" s="28" t="str">
        <f>IFERROR(_xlfn.XLOOKUP(H179,Collection[Display],Collection[Line])&amp;_xlfn.XLOOKUP(I179,Sleeve[Display],Sleeve[Sleeve]),"")</f>
        <v/>
      </c>
    </row>
    <row r="180" spans="1:23" s="28" customFormat="1" ht="30" customHeight="1">
      <c r="A180" s="27"/>
      <c r="B180" s="135">
        <v>165</v>
      </c>
      <c r="C180" s="136"/>
      <c r="D180" s="138"/>
      <c r="E180" s="131"/>
      <c r="F180" s="131"/>
      <c r="G180" s="131"/>
      <c r="H180" s="131"/>
      <c r="I180" s="132"/>
      <c r="J180" s="131"/>
      <c r="K180" s="139"/>
      <c r="L180" s="131"/>
      <c r="M180" s="131"/>
      <c r="N180" s="131"/>
      <c r="O180" s="132"/>
      <c r="P180" s="132"/>
      <c r="Q180" s="132"/>
      <c r="R180" s="132"/>
      <c r="S180" s="132"/>
      <c r="T180" s="134"/>
      <c r="U180" s="137"/>
      <c r="V180" s="27"/>
      <c r="W180" s="28" t="str">
        <f>IFERROR(_xlfn.XLOOKUP(H180,Collection[Display],Collection[Line])&amp;_xlfn.XLOOKUP(I180,Sleeve[Display],Sleeve[Sleeve]),"")</f>
        <v/>
      </c>
    </row>
    <row r="181" spans="1:23" s="28" customFormat="1" ht="30" customHeight="1">
      <c r="A181" s="27"/>
      <c r="B181" s="135">
        <v>166</v>
      </c>
      <c r="C181" s="136"/>
      <c r="D181" s="138"/>
      <c r="E181" s="131"/>
      <c r="F181" s="131"/>
      <c r="G181" s="131"/>
      <c r="H181" s="131"/>
      <c r="I181" s="132"/>
      <c r="J181" s="131"/>
      <c r="K181" s="139"/>
      <c r="L181" s="131"/>
      <c r="M181" s="131"/>
      <c r="N181" s="131"/>
      <c r="O181" s="132"/>
      <c r="P181" s="132"/>
      <c r="Q181" s="132"/>
      <c r="R181" s="132"/>
      <c r="S181" s="132"/>
      <c r="T181" s="134"/>
      <c r="U181" s="137"/>
      <c r="V181" s="27"/>
      <c r="W181" s="28" t="str">
        <f>IFERROR(_xlfn.XLOOKUP(H181,Collection[Display],Collection[Line])&amp;_xlfn.XLOOKUP(I181,Sleeve[Display],Sleeve[Sleeve]),"")</f>
        <v/>
      </c>
    </row>
    <row r="182" spans="1:23" s="28" customFormat="1" ht="30" customHeight="1">
      <c r="A182" s="27"/>
      <c r="B182" s="135">
        <v>167</v>
      </c>
      <c r="C182" s="136"/>
      <c r="D182" s="138"/>
      <c r="E182" s="131"/>
      <c r="F182" s="131"/>
      <c r="G182" s="131"/>
      <c r="H182" s="131"/>
      <c r="I182" s="132"/>
      <c r="J182" s="131"/>
      <c r="K182" s="139"/>
      <c r="L182" s="131"/>
      <c r="M182" s="131"/>
      <c r="N182" s="131"/>
      <c r="O182" s="132"/>
      <c r="P182" s="132"/>
      <c r="Q182" s="132"/>
      <c r="R182" s="132"/>
      <c r="S182" s="132"/>
      <c r="T182" s="134"/>
      <c r="U182" s="137"/>
      <c r="V182" s="27"/>
      <c r="W182" s="28" t="str">
        <f>IFERROR(_xlfn.XLOOKUP(H182,Collection[Display],Collection[Line])&amp;_xlfn.XLOOKUP(I182,Sleeve[Display],Sleeve[Sleeve]),"")</f>
        <v/>
      </c>
    </row>
    <row r="183" spans="1:23" s="28" customFormat="1" ht="30" customHeight="1">
      <c r="A183" s="27"/>
      <c r="B183" s="135">
        <v>168</v>
      </c>
      <c r="C183" s="136"/>
      <c r="D183" s="138"/>
      <c r="E183" s="131"/>
      <c r="F183" s="131"/>
      <c r="G183" s="131"/>
      <c r="H183" s="131"/>
      <c r="I183" s="132"/>
      <c r="J183" s="131"/>
      <c r="K183" s="139"/>
      <c r="L183" s="131"/>
      <c r="M183" s="131"/>
      <c r="N183" s="131"/>
      <c r="O183" s="132"/>
      <c r="P183" s="132"/>
      <c r="Q183" s="132"/>
      <c r="R183" s="132"/>
      <c r="S183" s="132"/>
      <c r="T183" s="134"/>
      <c r="U183" s="137"/>
      <c r="V183" s="27"/>
      <c r="W183" s="28" t="str">
        <f>IFERROR(_xlfn.XLOOKUP(H183,Collection[Display],Collection[Line])&amp;_xlfn.XLOOKUP(I183,Sleeve[Display],Sleeve[Sleeve]),"")</f>
        <v/>
      </c>
    </row>
    <row r="184" spans="1:23" s="28" customFormat="1" ht="30" customHeight="1">
      <c r="A184" s="27"/>
      <c r="B184" s="135">
        <v>169</v>
      </c>
      <c r="C184" s="136"/>
      <c r="D184" s="138"/>
      <c r="E184" s="131"/>
      <c r="F184" s="131"/>
      <c r="G184" s="131"/>
      <c r="H184" s="131"/>
      <c r="I184" s="132"/>
      <c r="J184" s="131"/>
      <c r="K184" s="139"/>
      <c r="L184" s="131"/>
      <c r="M184" s="131"/>
      <c r="N184" s="131"/>
      <c r="O184" s="132"/>
      <c r="P184" s="132"/>
      <c r="Q184" s="132"/>
      <c r="R184" s="132"/>
      <c r="S184" s="132"/>
      <c r="T184" s="134"/>
      <c r="U184" s="137"/>
      <c r="V184" s="27"/>
      <c r="W184" s="28" t="str">
        <f>IFERROR(_xlfn.XLOOKUP(H184,Collection[Display],Collection[Line])&amp;_xlfn.XLOOKUP(I184,Sleeve[Display],Sleeve[Sleeve]),"")</f>
        <v/>
      </c>
    </row>
    <row r="185" spans="1:23" s="28" customFormat="1" ht="30" customHeight="1">
      <c r="A185" s="27"/>
      <c r="B185" s="135">
        <v>170</v>
      </c>
      <c r="C185" s="136"/>
      <c r="D185" s="138"/>
      <c r="E185" s="131"/>
      <c r="F185" s="131"/>
      <c r="G185" s="131"/>
      <c r="H185" s="131"/>
      <c r="I185" s="132"/>
      <c r="J185" s="131"/>
      <c r="K185" s="139"/>
      <c r="L185" s="131"/>
      <c r="M185" s="131"/>
      <c r="N185" s="131"/>
      <c r="O185" s="132"/>
      <c r="P185" s="132"/>
      <c r="Q185" s="132"/>
      <c r="R185" s="132"/>
      <c r="S185" s="132"/>
      <c r="T185" s="134"/>
      <c r="U185" s="137"/>
      <c r="V185" s="27"/>
      <c r="W185" s="28" t="str">
        <f>IFERROR(_xlfn.XLOOKUP(H185,Collection[Display],Collection[Line])&amp;_xlfn.XLOOKUP(I185,Sleeve[Display],Sleeve[Sleeve]),"")</f>
        <v/>
      </c>
    </row>
    <row r="186" spans="1:23" s="28" customFormat="1" ht="30" customHeight="1">
      <c r="A186" s="27"/>
      <c r="B186" s="135">
        <v>171</v>
      </c>
      <c r="C186" s="136"/>
      <c r="D186" s="138"/>
      <c r="E186" s="131"/>
      <c r="F186" s="131"/>
      <c r="G186" s="131"/>
      <c r="H186" s="131"/>
      <c r="I186" s="132"/>
      <c r="J186" s="131"/>
      <c r="K186" s="139"/>
      <c r="L186" s="131"/>
      <c r="M186" s="131"/>
      <c r="N186" s="131"/>
      <c r="O186" s="132"/>
      <c r="P186" s="132"/>
      <c r="Q186" s="132"/>
      <c r="R186" s="132"/>
      <c r="S186" s="132"/>
      <c r="T186" s="134"/>
      <c r="U186" s="137"/>
      <c r="V186" s="27"/>
      <c r="W186" s="28" t="str">
        <f>IFERROR(_xlfn.XLOOKUP(H186,Collection[Display],Collection[Line])&amp;_xlfn.XLOOKUP(I186,Sleeve[Display],Sleeve[Sleeve]),"")</f>
        <v/>
      </c>
    </row>
    <row r="187" spans="1:23" s="28" customFormat="1" ht="30" customHeight="1">
      <c r="A187" s="27"/>
      <c r="B187" s="135">
        <v>172</v>
      </c>
      <c r="C187" s="136"/>
      <c r="D187" s="138"/>
      <c r="E187" s="131"/>
      <c r="F187" s="131"/>
      <c r="G187" s="131"/>
      <c r="H187" s="131"/>
      <c r="I187" s="132"/>
      <c r="J187" s="131"/>
      <c r="K187" s="139"/>
      <c r="L187" s="131"/>
      <c r="M187" s="131"/>
      <c r="N187" s="131"/>
      <c r="O187" s="132"/>
      <c r="P187" s="132"/>
      <c r="Q187" s="132"/>
      <c r="R187" s="132"/>
      <c r="S187" s="132"/>
      <c r="T187" s="134"/>
      <c r="U187" s="137"/>
      <c r="V187" s="27"/>
      <c r="W187" s="28" t="str">
        <f>IFERROR(_xlfn.XLOOKUP(H187,Collection[Display],Collection[Line])&amp;_xlfn.XLOOKUP(I187,Sleeve[Display],Sleeve[Sleeve]),"")</f>
        <v/>
      </c>
    </row>
    <row r="188" spans="1:23" s="28" customFormat="1" ht="30" customHeight="1">
      <c r="A188" s="27"/>
      <c r="B188" s="135">
        <v>173</v>
      </c>
      <c r="C188" s="136"/>
      <c r="D188" s="138"/>
      <c r="E188" s="131"/>
      <c r="F188" s="131"/>
      <c r="G188" s="131"/>
      <c r="H188" s="131"/>
      <c r="I188" s="132"/>
      <c r="J188" s="131"/>
      <c r="K188" s="139"/>
      <c r="L188" s="131"/>
      <c r="M188" s="131"/>
      <c r="N188" s="131"/>
      <c r="O188" s="132"/>
      <c r="P188" s="132"/>
      <c r="Q188" s="132"/>
      <c r="R188" s="132"/>
      <c r="S188" s="132"/>
      <c r="T188" s="134"/>
      <c r="U188" s="137"/>
      <c r="V188" s="27"/>
      <c r="W188" s="28" t="str">
        <f>IFERROR(_xlfn.XLOOKUP(H188,Collection[Display],Collection[Line])&amp;_xlfn.XLOOKUP(I188,Sleeve[Display],Sleeve[Sleeve]),"")</f>
        <v/>
      </c>
    </row>
    <row r="189" spans="1:23" s="28" customFormat="1" ht="30" customHeight="1">
      <c r="A189" s="27"/>
      <c r="B189" s="135">
        <v>174</v>
      </c>
      <c r="C189" s="136"/>
      <c r="D189" s="138"/>
      <c r="E189" s="131"/>
      <c r="F189" s="131"/>
      <c r="G189" s="131"/>
      <c r="H189" s="131"/>
      <c r="I189" s="132"/>
      <c r="J189" s="131"/>
      <c r="K189" s="139"/>
      <c r="L189" s="131"/>
      <c r="M189" s="131"/>
      <c r="N189" s="131"/>
      <c r="O189" s="132"/>
      <c r="P189" s="132"/>
      <c r="Q189" s="132"/>
      <c r="R189" s="132"/>
      <c r="S189" s="132"/>
      <c r="T189" s="134"/>
      <c r="U189" s="137"/>
      <c r="V189" s="27"/>
      <c r="W189" s="28" t="str">
        <f>IFERROR(_xlfn.XLOOKUP(H189,Collection[Display],Collection[Line])&amp;_xlfn.XLOOKUP(I189,Sleeve[Display],Sleeve[Sleeve]),"")</f>
        <v/>
      </c>
    </row>
    <row r="190" spans="1:23" s="28" customFormat="1" ht="30" customHeight="1">
      <c r="A190" s="27"/>
      <c r="B190" s="135">
        <v>175</v>
      </c>
      <c r="C190" s="136"/>
      <c r="D190" s="138"/>
      <c r="E190" s="131"/>
      <c r="F190" s="131"/>
      <c r="G190" s="131"/>
      <c r="H190" s="131"/>
      <c r="I190" s="132"/>
      <c r="J190" s="131"/>
      <c r="K190" s="139"/>
      <c r="L190" s="131"/>
      <c r="M190" s="131"/>
      <c r="N190" s="131"/>
      <c r="O190" s="132"/>
      <c r="P190" s="132"/>
      <c r="Q190" s="132"/>
      <c r="R190" s="132"/>
      <c r="S190" s="132"/>
      <c r="T190" s="134"/>
      <c r="U190" s="137"/>
      <c r="V190" s="27"/>
      <c r="W190" s="28" t="str">
        <f>IFERROR(_xlfn.XLOOKUP(H190,Collection[Display],Collection[Line])&amp;_xlfn.XLOOKUP(I190,Sleeve[Display],Sleeve[Sleeve]),"")</f>
        <v/>
      </c>
    </row>
    <row r="191" spans="1:23" s="28" customFormat="1" ht="30" customHeight="1">
      <c r="A191" s="27"/>
      <c r="B191" s="135">
        <v>176</v>
      </c>
      <c r="C191" s="136"/>
      <c r="D191" s="138"/>
      <c r="E191" s="131"/>
      <c r="F191" s="131"/>
      <c r="G191" s="131"/>
      <c r="H191" s="131"/>
      <c r="I191" s="132"/>
      <c r="J191" s="131"/>
      <c r="K191" s="139"/>
      <c r="L191" s="131"/>
      <c r="M191" s="131"/>
      <c r="N191" s="131"/>
      <c r="O191" s="132"/>
      <c r="P191" s="132"/>
      <c r="Q191" s="132"/>
      <c r="R191" s="132"/>
      <c r="S191" s="132"/>
      <c r="T191" s="134"/>
      <c r="U191" s="137"/>
      <c r="V191" s="27"/>
      <c r="W191" s="28" t="str">
        <f>IFERROR(_xlfn.XLOOKUP(H191,Collection[Display],Collection[Line])&amp;_xlfn.XLOOKUP(I191,Sleeve[Display],Sleeve[Sleeve]),"")</f>
        <v/>
      </c>
    </row>
    <row r="192" spans="1:23" s="28" customFormat="1" ht="30" customHeight="1">
      <c r="A192" s="27"/>
      <c r="B192" s="135">
        <v>177</v>
      </c>
      <c r="C192" s="136"/>
      <c r="D192" s="138"/>
      <c r="E192" s="131"/>
      <c r="F192" s="131"/>
      <c r="G192" s="131"/>
      <c r="H192" s="131"/>
      <c r="I192" s="132"/>
      <c r="J192" s="131"/>
      <c r="K192" s="139"/>
      <c r="L192" s="131"/>
      <c r="M192" s="131"/>
      <c r="N192" s="131"/>
      <c r="O192" s="132"/>
      <c r="P192" s="132"/>
      <c r="Q192" s="132"/>
      <c r="R192" s="132"/>
      <c r="S192" s="132"/>
      <c r="T192" s="134"/>
      <c r="U192" s="137"/>
      <c r="V192" s="27"/>
      <c r="W192" s="28" t="str">
        <f>IFERROR(_xlfn.XLOOKUP(H192,Collection[Display],Collection[Line])&amp;_xlfn.XLOOKUP(I192,Sleeve[Display],Sleeve[Sleeve]),"")</f>
        <v/>
      </c>
    </row>
    <row r="193" spans="1:23" s="28" customFormat="1" ht="30" customHeight="1">
      <c r="A193" s="27"/>
      <c r="B193" s="135">
        <v>178</v>
      </c>
      <c r="C193" s="136"/>
      <c r="D193" s="138"/>
      <c r="E193" s="131"/>
      <c r="F193" s="131"/>
      <c r="G193" s="131"/>
      <c r="H193" s="131"/>
      <c r="I193" s="132"/>
      <c r="J193" s="131"/>
      <c r="K193" s="139"/>
      <c r="L193" s="131"/>
      <c r="M193" s="131"/>
      <c r="N193" s="131"/>
      <c r="O193" s="132"/>
      <c r="P193" s="132"/>
      <c r="Q193" s="132"/>
      <c r="R193" s="132"/>
      <c r="S193" s="132"/>
      <c r="T193" s="134"/>
      <c r="U193" s="137"/>
      <c r="V193" s="27"/>
      <c r="W193" s="28" t="str">
        <f>IFERROR(_xlfn.XLOOKUP(H193,Collection[Display],Collection[Line])&amp;_xlfn.XLOOKUP(I193,Sleeve[Display],Sleeve[Sleeve]),"")</f>
        <v/>
      </c>
    </row>
    <row r="194" spans="1:23" s="28" customFormat="1" ht="30" customHeight="1">
      <c r="A194" s="27"/>
      <c r="B194" s="135">
        <v>179</v>
      </c>
      <c r="C194" s="136"/>
      <c r="D194" s="138"/>
      <c r="E194" s="131"/>
      <c r="F194" s="131"/>
      <c r="G194" s="131"/>
      <c r="H194" s="131"/>
      <c r="I194" s="132"/>
      <c r="J194" s="131"/>
      <c r="K194" s="139"/>
      <c r="L194" s="131"/>
      <c r="M194" s="131"/>
      <c r="N194" s="131"/>
      <c r="O194" s="132"/>
      <c r="P194" s="132"/>
      <c r="Q194" s="132"/>
      <c r="R194" s="132"/>
      <c r="S194" s="132"/>
      <c r="T194" s="134"/>
      <c r="U194" s="137"/>
      <c r="V194" s="27"/>
      <c r="W194" s="28" t="str">
        <f>IFERROR(_xlfn.XLOOKUP(H194,Collection[Display],Collection[Line])&amp;_xlfn.XLOOKUP(I194,Sleeve[Display],Sleeve[Sleeve]),"")</f>
        <v/>
      </c>
    </row>
    <row r="195" spans="1:23" s="28" customFormat="1" ht="30" customHeight="1">
      <c r="A195" s="27"/>
      <c r="B195" s="135">
        <v>180</v>
      </c>
      <c r="C195" s="136"/>
      <c r="D195" s="138"/>
      <c r="E195" s="131"/>
      <c r="F195" s="131"/>
      <c r="G195" s="131"/>
      <c r="H195" s="131"/>
      <c r="I195" s="132"/>
      <c r="J195" s="131"/>
      <c r="K195" s="139"/>
      <c r="L195" s="131"/>
      <c r="M195" s="131"/>
      <c r="N195" s="131"/>
      <c r="O195" s="132"/>
      <c r="P195" s="132"/>
      <c r="Q195" s="132"/>
      <c r="R195" s="132"/>
      <c r="S195" s="132"/>
      <c r="T195" s="134"/>
      <c r="U195" s="137"/>
      <c r="V195" s="27"/>
      <c r="W195" s="28" t="str">
        <f>IFERROR(_xlfn.XLOOKUP(H195,Collection[Display],Collection[Line])&amp;_xlfn.XLOOKUP(I195,Sleeve[Display],Sleeve[Sleeve]),"")</f>
        <v/>
      </c>
    </row>
    <row r="196" spans="1:23" s="28" customFormat="1" ht="30" customHeight="1">
      <c r="A196" s="27"/>
      <c r="B196" s="135">
        <v>181</v>
      </c>
      <c r="C196" s="136"/>
      <c r="D196" s="138"/>
      <c r="E196" s="131"/>
      <c r="F196" s="131"/>
      <c r="G196" s="131"/>
      <c r="H196" s="131"/>
      <c r="I196" s="132"/>
      <c r="J196" s="131"/>
      <c r="K196" s="139"/>
      <c r="L196" s="131"/>
      <c r="M196" s="131"/>
      <c r="N196" s="131"/>
      <c r="O196" s="132"/>
      <c r="P196" s="132"/>
      <c r="Q196" s="132"/>
      <c r="R196" s="132"/>
      <c r="S196" s="132"/>
      <c r="T196" s="134"/>
      <c r="U196" s="137"/>
      <c r="V196" s="27"/>
      <c r="W196" s="28" t="str">
        <f>IFERROR(_xlfn.XLOOKUP(H196,Collection[Display],Collection[Line])&amp;_xlfn.XLOOKUP(I196,Sleeve[Display],Sleeve[Sleeve]),"")</f>
        <v/>
      </c>
    </row>
    <row r="197" spans="1:23" s="28" customFormat="1" ht="30" customHeight="1">
      <c r="A197" s="27"/>
      <c r="B197" s="135">
        <v>182</v>
      </c>
      <c r="C197" s="136"/>
      <c r="D197" s="138"/>
      <c r="E197" s="131"/>
      <c r="F197" s="131"/>
      <c r="G197" s="131"/>
      <c r="H197" s="131"/>
      <c r="I197" s="132"/>
      <c r="J197" s="131"/>
      <c r="K197" s="139"/>
      <c r="L197" s="131"/>
      <c r="M197" s="131"/>
      <c r="N197" s="131"/>
      <c r="O197" s="132"/>
      <c r="P197" s="132"/>
      <c r="Q197" s="132"/>
      <c r="R197" s="132"/>
      <c r="S197" s="132"/>
      <c r="T197" s="134"/>
      <c r="U197" s="137"/>
      <c r="V197" s="27"/>
      <c r="W197" s="28" t="str">
        <f>IFERROR(_xlfn.XLOOKUP(H197,Collection[Display],Collection[Line])&amp;_xlfn.XLOOKUP(I197,Sleeve[Display],Sleeve[Sleeve]),"")</f>
        <v/>
      </c>
    </row>
    <row r="198" spans="1:23" s="28" customFormat="1" ht="30" customHeight="1">
      <c r="A198" s="27"/>
      <c r="B198" s="135">
        <v>183</v>
      </c>
      <c r="C198" s="136"/>
      <c r="D198" s="138"/>
      <c r="E198" s="131"/>
      <c r="F198" s="131"/>
      <c r="G198" s="131"/>
      <c r="H198" s="131"/>
      <c r="I198" s="132"/>
      <c r="J198" s="131"/>
      <c r="K198" s="139"/>
      <c r="L198" s="131"/>
      <c r="M198" s="131"/>
      <c r="N198" s="131"/>
      <c r="O198" s="132"/>
      <c r="P198" s="132"/>
      <c r="Q198" s="132"/>
      <c r="R198" s="132"/>
      <c r="S198" s="132"/>
      <c r="T198" s="134"/>
      <c r="U198" s="137"/>
      <c r="V198" s="27"/>
      <c r="W198" s="28" t="str">
        <f>IFERROR(_xlfn.XLOOKUP(H198,Collection[Display],Collection[Line])&amp;_xlfn.XLOOKUP(I198,Sleeve[Display],Sleeve[Sleeve]),"")</f>
        <v/>
      </c>
    </row>
    <row r="199" spans="1:23" s="28" customFormat="1" ht="30" customHeight="1">
      <c r="A199" s="27"/>
      <c r="B199" s="135">
        <v>184</v>
      </c>
      <c r="C199" s="136"/>
      <c r="D199" s="138"/>
      <c r="E199" s="131"/>
      <c r="F199" s="131"/>
      <c r="G199" s="131"/>
      <c r="H199" s="131"/>
      <c r="I199" s="132"/>
      <c r="J199" s="131"/>
      <c r="K199" s="139"/>
      <c r="L199" s="131"/>
      <c r="M199" s="131"/>
      <c r="N199" s="131"/>
      <c r="O199" s="132"/>
      <c r="P199" s="132"/>
      <c r="Q199" s="132"/>
      <c r="R199" s="132"/>
      <c r="S199" s="132"/>
      <c r="T199" s="134"/>
      <c r="U199" s="137"/>
      <c r="V199" s="27"/>
      <c r="W199" s="28" t="str">
        <f>IFERROR(_xlfn.XLOOKUP(H199,Collection[Display],Collection[Line])&amp;_xlfn.XLOOKUP(I199,Sleeve[Display],Sleeve[Sleeve]),"")</f>
        <v/>
      </c>
    </row>
    <row r="200" spans="1:23" s="28" customFormat="1" ht="30" customHeight="1">
      <c r="A200" s="27"/>
      <c r="B200" s="135">
        <v>185</v>
      </c>
      <c r="C200" s="136"/>
      <c r="D200" s="138"/>
      <c r="E200" s="131"/>
      <c r="F200" s="131"/>
      <c r="G200" s="131"/>
      <c r="H200" s="131"/>
      <c r="I200" s="132"/>
      <c r="J200" s="131"/>
      <c r="K200" s="139"/>
      <c r="L200" s="131"/>
      <c r="M200" s="131"/>
      <c r="N200" s="131"/>
      <c r="O200" s="132"/>
      <c r="P200" s="132"/>
      <c r="Q200" s="132"/>
      <c r="R200" s="132"/>
      <c r="S200" s="132"/>
      <c r="T200" s="134"/>
      <c r="U200" s="137"/>
      <c r="V200" s="27"/>
      <c r="W200" s="28" t="str">
        <f>IFERROR(_xlfn.XLOOKUP(H200,Collection[Display],Collection[Line])&amp;_xlfn.XLOOKUP(I200,Sleeve[Display],Sleeve[Sleeve]),"")</f>
        <v/>
      </c>
    </row>
    <row r="201" spans="1:23" s="28" customFormat="1" ht="30" customHeight="1">
      <c r="A201" s="27"/>
      <c r="B201" s="135">
        <v>186</v>
      </c>
      <c r="C201" s="136"/>
      <c r="D201" s="138"/>
      <c r="E201" s="131"/>
      <c r="F201" s="131"/>
      <c r="G201" s="131"/>
      <c r="H201" s="131"/>
      <c r="I201" s="132"/>
      <c r="J201" s="131"/>
      <c r="K201" s="139"/>
      <c r="L201" s="131"/>
      <c r="M201" s="131"/>
      <c r="N201" s="131"/>
      <c r="O201" s="132"/>
      <c r="P201" s="132"/>
      <c r="Q201" s="132"/>
      <c r="R201" s="132"/>
      <c r="S201" s="132"/>
      <c r="T201" s="134"/>
      <c r="U201" s="137"/>
      <c r="V201" s="27"/>
      <c r="W201" s="28" t="str">
        <f>IFERROR(_xlfn.XLOOKUP(H201,Collection[Display],Collection[Line])&amp;_xlfn.XLOOKUP(I201,Sleeve[Display],Sleeve[Sleeve]),"")</f>
        <v/>
      </c>
    </row>
    <row r="202" spans="1:23" s="28" customFormat="1" ht="30" customHeight="1">
      <c r="A202" s="27"/>
      <c r="B202" s="135">
        <v>187</v>
      </c>
      <c r="C202" s="136"/>
      <c r="D202" s="138"/>
      <c r="E202" s="131"/>
      <c r="F202" s="131"/>
      <c r="G202" s="131"/>
      <c r="H202" s="131"/>
      <c r="I202" s="132"/>
      <c r="J202" s="131"/>
      <c r="K202" s="139"/>
      <c r="L202" s="131"/>
      <c r="M202" s="131"/>
      <c r="N202" s="131"/>
      <c r="O202" s="132"/>
      <c r="P202" s="132"/>
      <c r="Q202" s="132"/>
      <c r="R202" s="132"/>
      <c r="S202" s="132"/>
      <c r="T202" s="134"/>
      <c r="U202" s="137"/>
      <c r="V202" s="27"/>
      <c r="W202" s="28" t="str">
        <f>IFERROR(_xlfn.XLOOKUP(H202,Collection[Display],Collection[Line])&amp;_xlfn.XLOOKUP(I202,Sleeve[Display],Sleeve[Sleeve]),"")</f>
        <v/>
      </c>
    </row>
    <row r="203" spans="1:23" s="28" customFormat="1" ht="30" customHeight="1">
      <c r="A203" s="27"/>
      <c r="B203" s="135">
        <v>188</v>
      </c>
      <c r="C203" s="136"/>
      <c r="D203" s="138"/>
      <c r="E203" s="131"/>
      <c r="F203" s="131"/>
      <c r="G203" s="131"/>
      <c r="H203" s="131"/>
      <c r="I203" s="132"/>
      <c r="J203" s="131"/>
      <c r="K203" s="139"/>
      <c r="L203" s="131"/>
      <c r="M203" s="131"/>
      <c r="N203" s="131"/>
      <c r="O203" s="132"/>
      <c r="P203" s="132"/>
      <c r="Q203" s="132"/>
      <c r="R203" s="132"/>
      <c r="S203" s="132"/>
      <c r="T203" s="134"/>
      <c r="U203" s="137"/>
      <c r="V203" s="27"/>
      <c r="W203" s="28" t="str">
        <f>IFERROR(_xlfn.XLOOKUP(H203,Collection[Display],Collection[Line])&amp;_xlfn.XLOOKUP(I203,Sleeve[Display],Sleeve[Sleeve]),"")</f>
        <v/>
      </c>
    </row>
    <row r="204" spans="1:23" s="28" customFormat="1" ht="30" customHeight="1">
      <c r="A204" s="27"/>
      <c r="B204" s="135">
        <v>189</v>
      </c>
      <c r="C204" s="136"/>
      <c r="D204" s="138"/>
      <c r="E204" s="131"/>
      <c r="F204" s="131"/>
      <c r="G204" s="131"/>
      <c r="H204" s="131"/>
      <c r="I204" s="132"/>
      <c r="J204" s="131"/>
      <c r="K204" s="139"/>
      <c r="L204" s="131"/>
      <c r="M204" s="131"/>
      <c r="N204" s="131"/>
      <c r="O204" s="132"/>
      <c r="P204" s="132"/>
      <c r="Q204" s="132"/>
      <c r="R204" s="132"/>
      <c r="S204" s="132"/>
      <c r="T204" s="134"/>
      <c r="U204" s="137"/>
      <c r="V204" s="27"/>
      <c r="W204" s="28" t="str">
        <f>IFERROR(_xlfn.XLOOKUP(H204,Collection[Display],Collection[Line])&amp;_xlfn.XLOOKUP(I204,Sleeve[Display],Sleeve[Sleeve]),"")</f>
        <v/>
      </c>
    </row>
    <row r="205" spans="1:23" s="28" customFormat="1" ht="30" customHeight="1">
      <c r="A205" s="27"/>
      <c r="B205" s="135">
        <v>190</v>
      </c>
      <c r="C205" s="136"/>
      <c r="D205" s="138"/>
      <c r="E205" s="131"/>
      <c r="F205" s="131"/>
      <c r="G205" s="131"/>
      <c r="H205" s="131"/>
      <c r="I205" s="132"/>
      <c r="J205" s="131"/>
      <c r="K205" s="139"/>
      <c r="L205" s="131"/>
      <c r="M205" s="131"/>
      <c r="N205" s="131"/>
      <c r="O205" s="132"/>
      <c r="P205" s="132"/>
      <c r="Q205" s="132"/>
      <c r="R205" s="132"/>
      <c r="S205" s="132"/>
      <c r="T205" s="134"/>
      <c r="U205" s="137"/>
      <c r="V205" s="27"/>
      <c r="W205" s="28" t="str">
        <f>IFERROR(_xlfn.XLOOKUP(H205,Collection[Display],Collection[Line])&amp;_xlfn.XLOOKUP(I205,Sleeve[Display],Sleeve[Sleeve]),"")</f>
        <v/>
      </c>
    </row>
    <row r="206" spans="1:23" s="28" customFormat="1" ht="30" customHeight="1">
      <c r="A206" s="27"/>
      <c r="B206" s="135">
        <v>191</v>
      </c>
      <c r="C206" s="136"/>
      <c r="D206" s="138"/>
      <c r="E206" s="131"/>
      <c r="F206" s="131"/>
      <c r="G206" s="131"/>
      <c r="H206" s="131"/>
      <c r="I206" s="132"/>
      <c r="J206" s="131"/>
      <c r="K206" s="139"/>
      <c r="L206" s="131"/>
      <c r="M206" s="131"/>
      <c r="N206" s="131"/>
      <c r="O206" s="132"/>
      <c r="P206" s="132"/>
      <c r="Q206" s="132"/>
      <c r="R206" s="132"/>
      <c r="S206" s="132"/>
      <c r="T206" s="134"/>
      <c r="U206" s="137"/>
      <c r="V206" s="27"/>
      <c r="W206" s="28" t="str">
        <f>IFERROR(_xlfn.XLOOKUP(H206,Collection[Display],Collection[Line])&amp;_xlfn.XLOOKUP(I206,Sleeve[Display],Sleeve[Sleeve]),"")</f>
        <v/>
      </c>
    </row>
    <row r="207" spans="1:23" s="28" customFormat="1" ht="30" customHeight="1">
      <c r="A207" s="27"/>
      <c r="B207" s="135">
        <v>192</v>
      </c>
      <c r="C207" s="136"/>
      <c r="D207" s="138"/>
      <c r="E207" s="131"/>
      <c r="F207" s="131"/>
      <c r="G207" s="131"/>
      <c r="H207" s="131"/>
      <c r="I207" s="132"/>
      <c r="J207" s="131"/>
      <c r="K207" s="139"/>
      <c r="L207" s="131"/>
      <c r="M207" s="131"/>
      <c r="N207" s="131"/>
      <c r="O207" s="132"/>
      <c r="P207" s="132"/>
      <c r="Q207" s="132"/>
      <c r="R207" s="132"/>
      <c r="S207" s="132"/>
      <c r="T207" s="134"/>
      <c r="U207" s="137"/>
      <c r="V207" s="27"/>
      <c r="W207" s="28" t="str">
        <f>IFERROR(_xlfn.XLOOKUP(H207,Collection[Display],Collection[Line])&amp;_xlfn.XLOOKUP(I207,Sleeve[Display],Sleeve[Sleeve]),"")</f>
        <v/>
      </c>
    </row>
    <row r="208" spans="1:23" s="28" customFormat="1" ht="30" customHeight="1">
      <c r="A208" s="27"/>
      <c r="B208" s="135">
        <v>193</v>
      </c>
      <c r="C208" s="136"/>
      <c r="D208" s="138"/>
      <c r="E208" s="131"/>
      <c r="F208" s="131"/>
      <c r="G208" s="131"/>
      <c r="H208" s="131"/>
      <c r="I208" s="132"/>
      <c r="J208" s="131"/>
      <c r="K208" s="139"/>
      <c r="L208" s="131"/>
      <c r="M208" s="131"/>
      <c r="N208" s="131"/>
      <c r="O208" s="132"/>
      <c r="P208" s="132"/>
      <c r="Q208" s="132"/>
      <c r="R208" s="132"/>
      <c r="S208" s="132"/>
      <c r="T208" s="134"/>
      <c r="U208" s="137"/>
      <c r="V208" s="27"/>
      <c r="W208" s="28" t="str">
        <f>IFERROR(_xlfn.XLOOKUP(H208,Collection[Display],Collection[Line])&amp;_xlfn.XLOOKUP(I208,Sleeve[Display],Sleeve[Sleeve]),"")</f>
        <v/>
      </c>
    </row>
    <row r="209" spans="1:23" s="28" customFormat="1" ht="30" customHeight="1">
      <c r="A209" s="27"/>
      <c r="B209" s="135">
        <v>194</v>
      </c>
      <c r="C209" s="136"/>
      <c r="D209" s="138"/>
      <c r="E209" s="131"/>
      <c r="F209" s="131"/>
      <c r="G209" s="131"/>
      <c r="H209" s="131"/>
      <c r="I209" s="132"/>
      <c r="J209" s="131"/>
      <c r="K209" s="139"/>
      <c r="L209" s="131"/>
      <c r="M209" s="131"/>
      <c r="N209" s="131"/>
      <c r="O209" s="132"/>
      <c r="P209" s="132"/>
      <c r="Q209" s="132"/>
      <c r="R209" s="132"/>
      <c r="S209" s="132"/>
      <c r="T209" s="134"/>
      <c r="U209" s="137"/>
      <c r="V209" s="27"/>
      <c r="W209" s="28" t="str">
        <f>IFERROR(_xlfn.XLOOKUP(H209,Collection[Display],Collection[Line])&amp;_xlfn.XLOOKUP(I209,Sleeve[Display],Sleeve[Sleeve]),"")</f>
        <v/>
      </c>
    </row>
    <row r="210" spans="1:23" s="28" customFormat="1" ht="30" customHeight="1">
      <c r="A210" s="27"/>
      <c r="B210" s="135">
        <v>195</v>
      </c>
      <c r="C210" s="136"/>
      <c r="D210" s="138"/>
      <c r="E210" s="131"/>
      <c r="F210" s="131"/>
      <c r="G210" s="131"/>
      <c r="H210" s="131"/>
      <c r="I210" s="132"/>
      <c r="J210" s="131"/>
      <c r="K210" s="139"/>
      <c r="L210" s="131"/>
      <c r="M210" s="131"/>
      <c r="N210" s="131"/>
      <c r="O210" s="132"/>
      <c r="P210" s="132"/>
      <c r="Q210" s="132"/>
      <c r="R210" s="132"/>
      <c r="S210" s="132"/>
      <c r="T210" s="134"/>
      <c r="U210" s="137"/>
      <c r="V210" s="27"/>
      <c r="W210" s="28" t="str">
        <f>IFERROR(_xlfn.XLOOKUP(H210,Collection[Display],Collection[Line])&amp;_xlfn.XLOOKUP(I210,Sleeve[Display],Sleeve[Sleeve]),"")</f>
        <v/>
      </c>
    </row>
    <row r="211" spans="1:23" s="28" customFormat="1" ht="30" customHeight="1">
      <c r="A211" s="27"/>
      <c r="B211" s="135">
        <v>196</v>
      </c>
      <c r="C211" s="136"/>
      <c r="D211" s="138"/>
      <c r="E211" s="131"/>
      <c r="F211" s="131"/>
      <c r="G211" s="131"/>
      <c r="H211" s="131"/>
      <c r="I211" s="132"/>
      <c r="J211" s="131"/>
      <c r="K211" s="139"/>
      <c r="L211" s="131"/>
      <c r="M211" s="131"/>
      <c r="N211" s="131"/>
      <c r="O211" s="132"/>
      <c r="P211" s="132"/>
      <c r="Q211" s="132"/>
      <c r="R211" s="132"/>
      <c r="S211" s="132"/>
      <c r="T211" s="134"/>
      <c r="U211" s="137"/>
      <c r="V211" s="27"/>
      <c r="W211" s="28" t="str">
        <f>IFERROR(_xlfn.XLOOKUP(H211,Collection[Display],Collection[Line])&amp;_xlfn.XLOOKUP(I211,Sleeve[Display],Sleeve[Sleeve]),"")</f>
        <v/>
      </c>
    </row>
    <row r="212" spans="1:23" s="28" customFormat="1" ht="30" customHeight="1">
      <c r="A212" s="27"/>
      <c r="B212" s="135">
        <v>197</v>
      </c>
      <c r="C212" s="136"/>
      <c r="D212" s="138"/>
      <c r="E212" s="131"/>
      <c r="F212" s="131"/>
      <c r="G212" s="131"/>
      <c r="H212" s="131"/>
      <c r="I212" s="132"/>
      <c r="J212" s="131"/>
      <c r="K212" s="139"/>
      <c r="L212" s="131"/>
      <c r="M212" s="131"/>
      <c r="N212" s="131"/>
      <c r="O212" s="132"/>
      <c r="P212" s="132"/>
      <c r="Q212" s="132"/>
      <c r="R212" s="132"/>
      <c r="S212" s="132"/>
      <c r="T212" s="134"/>
      <c r="U212" s="137"/>
      <c r="V212" s="27"/>
      <c r="W212" s="28" t="str">
        <f>IFERROR(_xlfn.XLOOKUP(H212,Collection[Display],Collection[Line])&amp;_xlfn.XLOOKUP(I212,Sleeve[Display],Sleeve[Sleeve]),"")</f>
        <v/>
      </c>
    </row>
    <row r="213" spans="1:23" s="28" customFormat="1" ht="30" customHeight="1">
      <c r="A213" s="27"/>
      <c r="B213" s="135">
        <v>198</v>
      </c>
      <c r="C213" s="136"/>
      <c r="D213" s="138"/>
      <c r="E213" s="131"/>
      <c r="F213" s="131"/>
      <c r="G213" s="131"/>
      <c r="H213" s="131"/>
      <c r="I213" s="132"/>
      <c r="J213" s="131"/>
      <c r="K213" s="139"/>
      <c r="L213" s="131"/>
      <c r="M213" s="131"/>
      <c r="N213" s="131"/>
      <c r="O213" s="132"/>
      <c r="P213" s="132"/>
      <c r="Q213" s="132"/>
      <c r="R213" s="132"/>
      <c r="S213" s="132"/>
      <c r="T213" s="134"/>
      <c r="U213" s="137"/>
      <c r="V213" s="27"/>
      <c r="W213" s="28" t="str">
        <f>IFERROR(_xlfn.XLOOKUP(H213,Collection[Display],Collection[Line])&amp;_xlfn.XLOOKUP(I213,Sleeve[Display],Sleeve[Sleeve]),"")</f>
        <v/>
      </c>
    </row>
    <row r="214" spans="1:23" s="28" customFormat="1" ht="30" customHeight="1">
      <c r="A214" s="27"/>
      <c r="B214" s="135">
        <v>199</v>
      </c>
      <c r="C214" s="136"/>
      <c r="D214" s="138"/>
      <c r="E214" s="131"/>
      <c r="F214" s="131"/>
      <c r="G214" s="131"/>
      <c r="H214" s="131"/>
      <c r="I214" s="132"/>
      <c r="J214" s="131"/>
      <c r="K214" s="139"/>
      <c r="L214" s="131"/>
      <c r="M214" s="131"/>
      <c r="N214" s="131"/>
      <c r="O214" s="132"/>
      <c r="P214" s="132"/>
      <c r="Q214" s="132"/>
      <c r="R214" s="132"/>
      <c r="S214" s="132"/>
      <c r="T214" s="134"/>
      <c r="U214" s="137"/>
      <c r="V214" s="27"/>
      <c r="W214" s="28" t="str">
        <f>IFERROR(_xlfn.XLOOKUP(H214,Collection[Display],Collection[Line])&amp;_xlfn.XLOOKUP(I214,Sleeve[Display],Sleeve[Sleeve]),"")</f>
        <v/>
      </c>
    </row>
    <row r="215" spans="1:23" s="28" customFormat="1" ht="30" customHeight="1">
      <c r="A215" s="27"/>
      <c r="B215" s="135">
        <v>200</v>
      </c>
      <c r="C215" s="136"/>
      <c r="D215" s="138"/>
      <c r="E215" s="131"/>
      <c r="F215" s="131"/>
      <c r="G215" s="131"/>
      <c r="H215" s="131"/>
      <c r="I215" s="132"/>
      <c r="J215" s="131"/>
      <c r="K215" s="139"/>
      <c r="L215" s="131"/>
      <c r="M215" s="131"/>
      <c r="N215" s="131"/>
      <c r="O215" s="132"/>
      <c r="P215" s="132"/>
      <c r="Q215" s="132"/>
      <c r="R215" s="132"/>
      <c r="S215" s="132"/>
      <c r="T215" s="134"/>
      <c r="U215" s="137"/>
      <c r="V215" s="27"/>
      <c r="W215" s="28" t="str">
        <f>IFERROR(_xlfn.XLOOKUP(H215,Collection[Display],Collection[Line])&amp;_xlfn.XLOOKUP(I215,Sleeve[Display],Sleeve[Sleeve]),"")</f>
        <v/>
      </c>
    </row>
    <row r="216" spans="1:23" s="28" customFormat="1" ht="30" customHeight="1">
      <c r="A216" s="27"/>
      <c r="B216" s="135">
        <v>201</v>
      </c>
      <c r="C216" s="136"/>
      <c r="D216" s="138"/>
      <c r="E216" s="131"/>
      <c r="F216" s="131"/>
      <c r="G216" s="131"/>
      <c r="H216" s="131"/>
      <c r="I216" s="132"/>
      <c r="J216" s="131"/>
      <c r="K216" s="139"/>
      <c r="L216" s="131"/>
      <c r="M216" s="131"/>
      <c r="N216" s="131"/>
      <c r="O216" s="132"/>
      <c r="P216" s="132"/>
      <c r="Q216" s="132"/>
      <c r="R216" s="132"/>
      <c r="S216" s="132"/>
      <c r="T216" s="134"/>
      <c r="U216" s="137"/>
      <c r="V216" s="27"/>
      <c r="W216" s="28" t="str">
        <f>IFERROR(_xlfn.XLOOKUP(H216,Collection[Display],Collection[Line])&amp;_xlfn.XLOOKUP(I216,Sleeve[Display],Sleeve[Sleeve]),"")</f>
        <v/>
      </c>
    </row>
    <row r="217" spans="1:23" s="28" customFormat="1" ht="30" customHeight="1">
      <c r="A217" s="27"/>
      <c r="B217" s="135">
        <v>202</v>
      </c>
      <c r="C217" s="136"/>
      <c r="D217" s="138"/>
      <c r="E217" s="131"/>
      <c r="F217" s="131"/>
      <c r="G217" s="131"/>
      <c r="H217" s="131"/>
      <c r="I217" s="132"/>
      <c r="J217" s="131"/>
      <c r="K217" s="139"/>
      <c r="L217" s="131"/>
      <c r="M217" s="131"/>
      <c r="N217" s="131"/>
      <c r="O217" s="132"/>
      <c r="P217" s="132"/>
      <c r="Q217" s="132"/>
      <c r="R217" s="132"/>
      <c r="S217" s="132"/>
      <c r="T217" s="134"/>
      <c r="U217" s="137"/>
      <c r="V217" s="27"/>
      <c r="W217" s="28" t="str">
        <f>IFERROR(_xlfn.XLOOKUP(H217,Collection[Display],Collection[Line])&amp;_xlfn.XLOOKUP(I217,Sleeve[Display],Sleeve[Sleeve]),"")</f>
        <v/>
      </c>
    </row>
    <row r="218" spans="1:23" s="28" customFormat="1" ht="30" customHeight="1">
      <c r="A218" s="27"/>
      <c r="B218" s="135">
        <v>203</v>
      </c>
      <c r="C218" s="136"/>
      <c r="D218" s="138"/>
      <c r="E218" s="131"/>
      <c r="F218" s="131"/>
      <c r="G218" s="131"/>
      <c r="H218" s="131"/>
      <c r="I218" s="132"/>
      <c r="J218" s="131"/>
      <c r="K218" s="139"/>
      <c r="L218" s="131"/>
      <c r="M218" s="131"/>
      <c r="N218" s="131"/>
      <c r="O218" s="132"/>
      <c r="P218" s="132"/>
      <c r="Q218" s="132"/>
      <c r="R218" s="132"/>
      <c r="S218" s="132"/>
      <c r="T218" s="134"/>
      <c r="U218" s="137"/>
      <c r="V218" s="27"/>
      <c r="W218" s="28" t="str">
        <f>IFERROR(_xlfn.XLOOKUP(H218,Collection[Display],Collection[Line])&amp;_xlfn.XLOOKUP(I218,Sleeve[Display],Sleeve[Sleeve]),"")</f>
        <v/>
      </c>
    </row>
    <row r="219" spans="1:23" s="28" customFormat="1" ht="30" customHeight="1">
      <c r="A219" s="27"/>
      <c r="B219" s="135">
        <v>204</v>
      </c>
      <c r="C219" s="136"/>
      <c r="D219" s="138"/>
      <c r="E219" s="131"/>
      <c r="F219" s="131"/>
      <c r="G219" s="131"/>
      <c r="H219" s="131"/>
      <c r="I219" s="132"/>
      <c r="J219" s="131"/>
      <c r="K219" s="139"/>
      <c r="L219" s="131"/>
      <c r="M219" s="131"/>
      <c r="N219" s="131"/>
      <c r="O219" s="132"/>
      <c r="P219" s="132"/>
      <c r="Q219" s="132"/>
      <c r="R219" s="132"/>
      <c r="S219" s="132"/>
      <c r="T219" s="134"/>
      <c r="U219" s="137"/>
      <c r="V219" s="27"/>
      <c r="W219" s="28" t="str">
        <f>IFERROR(_xlfn.XLOOKUP(H219,Collection[Display],Collection[Line])&amp;_xlfn.XLOOKUP(I219,Sleeve[Display],Sleeve[Sleeve]),"")</f>
        <v/>
      </c>
    </row>
    <row r="220" spans="1:23" s="28" customFormat="1" ht="30" customHeight="1">
      <c r="A220" s="27"/>
      <c r="B220" s="135">
        <v>205</v>
      </c>
      <c r="C220" s="136"/>
      <c r="D220" s="138"/>
      <c r="E220" s="131"/>
      <c r="F220" s="131"/>
      <c r="G220" s="131"/>
      <c r="H220" s="131"/>
      <c r="I220" s="132"/>
      <c r="J220" s="131"/>
      <c r="K220" s="139"/>
      <c r="L220" s="131"/>
      <c r="M220" s="131"/>
      <c r="N220" s="131"/>
      <c r="O220" s="132"/>
      <c r="P220" s="132"/>
      <c r="Q220" s="132"/>
      <c r="R220" s="132"/>
      <c r="S220" s="132"/>
      <c r="T220" s="134"/>
      <c r="U220" s="137"/>
      <c r="V220" s="27"/>
      <c r="W220" s="28" t="str">
        <f>IFERROR(_xlfn.XLOOKUP(H220,Collection[Display],Collection[Line])&amp;_xlfn.XLOOKUP(I220,Sleeve[Display],Sleeve[Sleeve]),"")</f>
        <v/>
      </c>
    </row>
    <row r="221" spans="1:23" s="28" customFormat="1" ht="30" customHeight="1">
      <c r="A221" s="27"/>
      <c r="B221" s="135">
        <v>206</v>
      </c>
      <c r="C221" s="136"/>
      <c r="D221" s="138"/>
      <c r="E221" s="131"/>
      <c r="F221" s="131"/>
      <c r="G221" s="131"/>
      <c r="H221" s="131"/>
      <c r="I221" s="132"/>
      <c r="J221" s="131"/>
      <c r="K221" s="139"/>
      <c r="L221" s="131"/>
      <c r="M221" s="131"/>
      <c r="N221" s="131"/>
      <c r="O221" s="132"/>
      <c r="P221" s="132"/>
      <c r="Q221" s="132"/>
      <c r="R221" s="132"/>
      <c r="S221" s="132"/>
      <c r="T221" s="134"/>
      <c r="U221" s="137"/>
      <c r="V221" s="27"/>
      <c r="W221" s="28" t="str">
        <f>IFERROR(_xlfn.XLOOKUP(H221,Collection[Display],Collection[Line])&amp;_xlfn.XLOOKUP(I221,Sleeve[Display],Sleeve[Sleeve]),"")</f>
        <v/>
      </c>
    </row>
    <row r="222" spans="1:23" s="28" customFormat="1" ht="30" customHeight="1">
      <c r="A222" s="27"/>
      <c r="B222" s="135">
        <v>207</v>
      </c>
      <c r="C222" s="136"/>
      <c r="D222" s="138"/>
      <c r="E222" s="131"/>
      <c r="F222" s="131"/>
      <c r="G222" s="131"/>
      <c r="H222" s="131"/>
      <c r="I222" s="132"/>
      <c r="J222" s="131"/>
      <c r="K222" s="139"/>
      <c r="L222" s="131"/>
      <c r="M222" s="131"/>
      <c r="N222" s="131"/>
      <c r="O222" s="132"/>
      <c r="P222" s="132"/>
      <c r="Q222" s="132"/>
      <c r="R222" s="132"/>
      <c r="S222" s="132"/>
      <c r="T222" s="134"/>
      <c r="U222" s="137"/>
      <c r="V222" s="27"/>
      <c r="W222" s="28" t="str">
        <f>IFERROR(_xlfn.XLOOKUP(H222,Collection[Display],Collection[Line])&amp;_xlfn.XLOOKUP(I222,Sleeve[Display],Sleeve[Sleeve]),"")</f>
        <v/>
      </c>
    </row>
    <row r="223" spans="1:23" s="28" customFormat="1" ht="30" customHeight="1">
      <c r="A223" s="27"/>
      <c r="B223" s="135">
        <v>208</v>
      </c>
      <c r="C223" s="136"/>
      <c r="D223" s="138"/>
      <c r="E223" s="131"/>
      <c r="F223" s="131"/>
      <c r="G223" s="131"/>
      <c r="H223" s="131"/>
      <c r="I223" s="132"/>
      <c r="J223" s="131"/>
      <c r="K223" s="139"/>
      <c r="L223" s="131"/>
      <c r="M223" s="131"/>
      <c r="N223" s="131"/>
      <c r="O223" s="132"/>
      <c r="P223" s="132"/>
      <c r="Q223" s="132"/>
      <c r="R223" s="132"/>
      <c r="S223" s="132"/>
      <c r="T223" s="134"/>
      <c r="U223" s="137"/>
      <c r="V223" s="27"/>
      <c r="W223" s="28" t="str">
        <f>IFERROR(_xlfn.XLOOKUP(H223,Collection[Display],Collection[Line])&amp;_xlfn.XLOOKUP(I223,Sleeve[Display],Sleeve[Sleeve]),"")</f>
        <v/>
      </c>
    </row>
    <row r="224" spans="1:23" s="28" customFormat="1" ht="30" customHeight="1">
      <c r="A224" s="27"/>
      <c r="B224" s="135">
        <v>209</v>
      </c>
      <c r="C224" s="136"/>
      <c r="D224" s="138"/>
      <c r="E224" s="131"/>
      <c r="F224" s="131"/>
      <c r="G224" s="131"/>
      <c r="H224" s="131"/>
      <c r="I224" s="132"/>
      <c r="J224" s="131"/>
      <c r="K224" s="139"/>
      <c r="L224" s="131"/>
      <c r="M224" s="131"/>
      <c r="N224" s="131"/>
      <c r="O224" s="132"/>
      <c r="P224" s="132"/>
      <c r="Q224" s="132"/>
      <c r="R224" s="132"/>
      <c r="S224" s="132"/>
      <c r="T224" s="134"/>
      <c r="U224" s="137"/>
      <c r="V224" s="27"/>
      <c r="W224" s="28" t="str">
        <f>IFERROR(_xlfn.XLOOKUP(H224,Collection[Display],Collection[Line])&amp;_xlfn.XLOOKUP(I224,Sleeve[Display],Sleeve[Sleeve]),"")</f>
        <v/>
      </c>
    </row>
    <row r="225" spans="1:23" s="28" customFormat="1" ht="30" customHeight="1">
      <c r="A225" s="27"/>
      <c r="B225" s="135">
        <v>210</v>
      </c>
      <c r="C225" s="136"/>
      <c r="D225" s="138"/>
      <c r="E225" s="131"/>
      <c r="F225" s="131"/>
      <c r="G225" s="131"/>
      <c r="H225" s="131"/>
      <c r="I225" s="132"/>
      <c r="J225" s="131"/>
      <c r="K225" s="139"/>
      <c r="L225" s="131"/>
      <c r="M225" s="131"/>
      <c r="N225" s="131"/>
      <c r="O225" s="132"/>
      <c r="P225" s="132"/>
      <c r="Q225" s="132"/>
      <c r="R225" s="132"/>
      <c r="S225" s="132"/>
      <c r="T225" s="134"/>
      <c r="U225" s="137"/>
      <c r="V225" s="27"/>
      <c r="W225" s="28" t="str">
        <f>IFERROR(_xlfn.XLOOKUP(H225,Collection[Display],Collection[Line])&amp;_xlfn.XLOOKUP(I225,Sleeve[Display],Sleeve[Sleeve]),"")</f>
        <v/>
      </c>
    </row>
    <row r="226" spans="1:23" s="28" customFormat="1" ht="30" customHeight="1">
      <c r="A226" s="27"/>
      <c r="B226" s="135">
        <v>211</v>
      </c>
      <c r="C226" s="136"/>
      <c r="D226" s="138"/>
      <c r="E226" s="131"/>
      <c r="F226" s="131"/>
      <c r="G226" s="131"/>
      <c r="H226" s="131"/>
      <c r="I226" s="132"/>
      <c r="J226" s="131"/>
      <c r="K226" s="139"/>
      <c r="L226" s="131"/>
      <c r="M226" s="131"/>
      <c r="N226" s="131"/>
      <c r="O226" s="132"/>
      <c r="P226" s="132"/>
      <c r="Q226" s="132"/>
      <c r="R226" s="132"/>
      <c r="S226" s="132"/>
      <c r="T226" s="134"/>
      <c r="U226" s="137"/>
      <c r="V226" s="27"/>
      <c r="W226" s="28" t="str">
        <f>IFERROR(_xlfn.XLOOKUP(H226,Collection[Display],Collection[Line])&amp;_xlfn.XLOOKUP(I226,Sleeve[Display],Sleeve[Sleeve]),"")</f>
        <v/>
      </c>
    </row>
    <row r="227" spans="1:23" s="28" customFormat="1" ht="30" customHeight="1">
      <c r="A227" s="27"/>
      <c r="B227" s="135">
        <v>212</v>
      </c>
      <c r="C227" s="136"/>
      <c r="D227" s="138"/>
      <c r="E227" s="131"/>
      <c r="F227" s="131"/>
      <c r="G227" s="131"/>
      <c r="H227" s="131"/>
      <c r="I227" s="132"/>
      <c r="J227" s="131"/>
      <c r="K227" s="139"/>
      <c r="L227" s="131"/>
      <c r="M227" s="131"/>
      <c r="N227" s="131"/>
      <c r="O227" s="132"/>
      <c r="P227" s="132"/>
      <c r="Q227" s="132"/>
      <c r="R227" s="132"/>
      <c r="S227" s="132"/>
      <c r="T227" s="134"/>
      <c r="U227" s="137"/>
      <c r="V227" s="27"/>
      <c r="W227" s="28" t="str">
        <f>IFERROR(_xlfn.XLOOKUP(H227,Collection[Display],Collection[Line])&amp;_xlfn.XLOOKUP(I227,Sleeve[Display],Sleeve[Sleeve]),"")</f>
        <v/>
      </c>
    </row>
    <row r="228" spans="1:23" s="28" customFormat="1" ht="30" customHeight="1">
      <c r="A228" s="27"/>
      <c r="B228" s="135">
        <v>213</v>
      </c>
      <c r="C228" s="136"/>
      <c r="D228" s="138"/>
      <c r="E228" s="131"/>
      <c r="F228" s="131"/>
      <c r="G228" s="131"/>
      <c r="H228" s="131"/>
      <c r="I228" s="132"/>
      <c r="J228" s="131"/>
      <c r="K228" s="139"/>
      <c r="L228" s="131"/>
      <c r="M228" s="131"/>
      <c r="N228" s="131"/>
      <c r="O228" s="132"/>
      <c r="P228" s="132"/>
      <c r="Q228" s="132"/>
      <c r="R228" s="132"/>
      <c r="S228" s="132"/>
      <c r="T228" s="134"/>
      <c r="U228" s="137"/>
      <c r="V228" s="27"/>
      <c r="W228" s="28" t="str">
        <f>IFERROR(_xlfn.XLOOKUP(H228,Collection[Display],Collection[Line])&amp;_xlfn.XLOOKUP(I228,Sleeve[Display],Sleeve[Sleeve]),"")</f>
        <v/>
      </c>
    </row>
    <row r="229" spans="1:23" s="28" customFormat="1" ht="30" customHeight="1">
      <c r="A229" s="27"/>
      <c r="B229" s="135">
        <v>214</v>
      </c>
      <c r="C229" s="136"/>
      <c r="D229" s="138"/>
      <c r="E229" s="131"/>
      <c r="F229" s="131"/>
      <c r="G229" s="131"/>
      <c r="H229" s="131"/>
      <c r="I229" s="132"/>
      <c r="J229" s="131"/>
      <c r="K229" s="139"/>
      <c r="L229" s="131"/>
      <c r="M229" s="131"/>
      <c r="N229" s="131"/>
      <c r="O229" s="132"/>
      <c r="P229" s="132"/>
      <c r="Q229" s="132"/>
      <c r="R229" s="132"/>
      <c r="S229" s="132"/>
      <c r="T229" s="134"/>
      <c r="U229" s="137"/>
      <c r="V229" s="27"/>
      <c r="W229" s="28" t="str">
        <f>IFERROR(_xlfn.XLOOKUP(H229,Collection[Display],Collection[Line])&amp;_xlfn.XLOOKUP(I229,Sleeve[Display],Sleeve[Sleeve]),"")</f>
        <v/>
      </c>
    </row>
    <row r="230" spans="1:23" s="28" customFormat="1" ht="30" customHeight="1">
      <c r="A230" s="27"/>
      <c r="B230" s="135">
        <v>215</v>
      </c>
      <c r="C230" s="136"/>
      <c r="D230" s="138"/>
      <c r="E230" s="131"/>
      <c r="F230" s="131"/>
      <c r="G230" s="131"/>
      <c r="H230" s="131"/>
      <c r="I230" s="132"/>
      <c r="J230" s="131"/>
      <c r="K230" s="139"/>
      <c r="L230" s="131"/>
      <c r="M230" s="131"/>
      <c r="N230" s="131"/>
      <c r="O230" s="132"/>
      <c r="P230" s="132"/>
      <c r="Q230" s="132"/>
      <c r="R230" s="132"/>
      <c r="S230" s="132"/>
      <c r="T230" s="134"/>
      <c r="U230" s="137"/>
      <c r="V230" s="27"/>
      <c r="W230" s="28" t="str">
        <f>IFERROR(_xlfn.XLOOKUP(H230,Collection[Display],Collection[Line])&amp;_xlfn.XLOOKUP(I230,Sleeve[Display],Sleeve[Sleeve]),"")</f>
        <v/>
      </c>
    </row>
    <row r="231" spans="1:23" s="28" customFormat="1" ht="30" customHeight="1">
      <c r="A231" s="27"/>
      <c r="B231" s="135">
        <v>216</v>
      </c>
      <c r="C231" s="136"/>
      <c r="D231" s="138"/>
      <c r="E231" s="131"/>
      <c r="F231" s="131"/>
      <c r="G231" s="131"/>
      <c r="H231" s="131"/>
      <c r="I231" s="132"/>
      <c r="J231" s="131"/>
      <c r="K231" s="139"/>
      <c r="L231" s="131"/>
      <c r="M231" s="131"/>
      <c r="N231" s="131"/>
      <c r="O231" s="132"/>
      <c r="P231" s="132"/>
      <c r="Q231" s="132"/>
      <c r="R231" s="132"/>
      <c r="S231" s="132"/>
      <c r="T231" s="134"/>
      <c r="U231" s="137"/>
      <c r="V231" s="27"/>
      <c r="W231" s="28" t="str">
        <f>IFERROR(_xlfn.XLOOKUP(H231,Collection[Display],Collection[Line])&amp;_xlfn.XLOOKUP(I231,Sleeve[Display],Sleeve[Sleeve]),"")</f>
        <v/>
      </c>
    </row>
    <row r="232" spans="1:23" s="28" customFormat="1" ht="30" customHeight="1">
      <c r="A232" s="27"/>
      <c r="B232" s="135">
        <v>217</v>
      </c>
      <c r="C232" s="136"/>
      <c r="D232" s="138"/>
      <c r="E232" s="131"/>
      <c r="F232" s="131"/>
      <c r="G232" s="131"/>
      <c r="H232" s="131"/>
      <c r="I232" s="132"/>
      <c r="J232" s="131"/>
      <c r="K232" s="139"/>
      <c r="L232" s="131"/>
      <c r="M232" s="131"/>
      <c r="N232" s="131"/>
      <c r="O232" s="132"/>
      <c r="P232" s="132"/>
      <c r="Q232" s="132"/>
      <c r="R232" s="132"/>
      <c r="S232" s="132"/>
      <c r="T232" s="134"/>
      <c r="U232" s="137"/>
      <c r="V232" s="27"/>
      <c r="W232" s="28" t="str">
        <f>IFERROR(_xlfn.XLOOKUP(H232,Collection[Display],Collection[Line])&amp;_xlfn.XLOOKUP(I232,Sleeve[Display],Sleeve[Sleeve]),"")</f>
        <v/>
      </c>
    </row>
    <row r="233" spans="1:23" s="28" customFormat="1" ht="30" customHeight="1">
      <c r="A233" s="27"/>
      <c r="B233" s="135">
        <v>218</v>
      </c>
      <c r="C233" s="136"/>
      <c r="D233" s="138"/>
      <c r="E233" s="131"/>
      <c r="F233" s="131"/>
      <c r="G233" s="131"/>
      <c r="H233" s="131"/>
      <c r="I233" s="132"/>
      <c r="J233" s="131"/>
      <c r="K233" s="139"/>
      <c r="L233" s="131"/>
      <c r="M233" s="131"/>
      <c r="N233" s="131"/>
      <c r="O233" s="132"/>
      <c r="P233" s="132"/>
      <c r="Q233" s="132"/>
      <c r="R233" s="132"/>
      <c r="S233" s="132"/>
      <c r="T233" s="134"/>
      <c r="U233" s="137"/>
      <c r="V233" s="27"/>
      <c r="W233" s="28" t="str">
        <f>IFERROR(_xlfn.XLOOKUP(H233,Collection[Display],Collection[Line])&amp;_xlfn.XLOOKUP(I233,Sleeve[Display],Sleeve[Sleeve]),"")</f>
        <v/>
      </c>
    </row>
    <row r="234" spans="1:23" s="28" customFormat="1" ht="30" customHeight="1">
      <c r="A234" s="27"/>
      <c r="B234" s="135">
        <v>219</v>
      </c>
      <c r="C234" s="136"/>
      <c r="D234" s="138"/>
      <c r="E234" s="131"/>
      <c r="F234" s="131"/>
      <c r="G234" s="131"/>
      <c r="H234" s="131"/>
      <c r="I234" s="132"/>
      <c r="J234" s="131"/>
      <c r="K234" s="139"/>
      <c r="L234" s="131"/>
      <c r="M234" s="131"/>
      <c r="N234" s="131"/>
      <c r="O234" s="132"/>
      <c r="P234" s="132"/>
      <c r="Q234" s="132"/>
      <c r="R234" s="132"/>
      <c r="S234" s="132"/>
      <c r="T234" s="134"/>
      <c r="U234" s="137"/>
      <c r="V234" s="27"/>
      <c r="W234" s="28" t="str">
        <f>IFERROR(_xlfn.XLOOKUP(H234,Collection[Display],Collection[Line])&amp;_xlfn.XLOOKUP(I234,Sleeve[Display],Sleeve[Sleeve]),"")</f>
        <v/>
      </c>
    </row>
    <row r="235" spans="1:23" s="28" customFormat="1" ht="30" customHeight="1">
      <c r="A235" s="27"/>
      <c r="B235" s="135">
        <v>220</v>
      </c>
      <c r="C235" s="136"/>
      <c r="D235" s="138"/>
      <c r="E235" s="131"/>
      <c r="F235" s="131"/>
      <c r="G235" s="131"/>
      <c r="H235" s="131"/>
      <c r="I235" s="132"/>
      <c r="J235" s="131"/>
      <c r="K235" s="139"/>
      <c r="L235" s="131"/>
      <c r="M235" s="131"/>
      <c r="N235" s="131"/>
      <c r="O235" s="132"/>
      <c r="P235" s="132"/>
      <c r="Q235" s="132"/>
      <c r="R235" s="132"/>
      <c r="S235" s="132"/>
      <c r="T235" s="134"/>
      <c r="U235" s="137"/>
      <c r="V235" s="27"/>
      <c r="W235" s="28" t="str">
        <f>IFERROR(_xlfn.XLOOKUP(H235,Collection[Display],Collection[Line])&amp;_xlfn.XLOOKUP(I235,Sleeve[Display],Sleeve[Sleeve]),"")</f>
        <v/>
      </c>
    </row>
    <row r="236" spans="1:23" s="28" customFormat="1" ht="30" customHeight="1">
      <c r="A236" s="27"/>
      <c r="B236" s="135">
        <v>221</v>
      </c>
      <c r="C236" s="136"/>
      <c r="D236" s="138"/>
      <c r="E236" s="131"/>
      <c r="F236" s="131"/>
      <c r="G236" s="131"/>
      <c r="H236" s="131"/>
      <c r="I236" s="132"/>
      <c r="J236" s="131"/>
      <c r="K236" s="139"/>
      <c r="L236" s="131"/>
      <c r="M236" s="131"/>
      <c r="N236" s="131"/>
      <c r="O236" s="132"/>
      <c r="P236" s="132"/>
      <c r="Q236" s="132"/>
      <c r="R236" s="132"/>
      <c r="S236" s="132"/>
      <c r="T236" s="134"/>
      <c r="U236" s="137"/>
      <c r="V236" s="27"/>
      <c r="W236" s="28" t="str">
        <f>IFERROR(_xlfn.XLOOKUP(H236,Collection[Display],Collection[Line])&amp;_xlfn.XLOOKUP(I236,Sleeve[Display],Sleeve[Sleeve]),"")</f>
        <v/>
      </c>
    </row>
    <row r="237" spans="1:23" s="28" customFormat="1" ht="30" customHeight="1">
      <c r="A237" s="27"/>
      <c r="B237" s="135">
        <v>222</v>
      </c>
      <c r="C237" s="136"/>
      <c r="D237" s="138"/>
      <c r="E237" s="131"/>
      <c r="F237" s="131"/>
      <c r="G237" s="131"/>
      <c r="H237" s="131"/>
      <c r="I237" s="132"/>
      <c r="J237" s="131"/>
      <c r="K237" s="139"/>
      <c r="L237" s="131"/>
      <c r="M237" s="131"/>
      <c r="N237" s="131"/>
      <c r="O237" s="132"/>
      <c r="P237" s="132"/>
      <c r="Q237" s="132"/>
      <c r="R237" s="132"/>
      <c r="S237" s="132"/>
      <c r="T237" s="134"/>
      <c r="U237" s="137"/>
      <c r="V237" s="27"/>
      <c r="W237" s="28" t="str">
        <f>IFERROR(_xlfn.XLOOKUP(H237,Collection[Display],Collection[Line])&amp;_xlfn.XLOOKUP(I237,Sleeve[Display],Sleeve[Sleeve]),"")</f>
        <v/>
      </c>
    </row>
    <row r="238" spans="1:23" s="28" customFormat="1" ht="30" customHeight="1">
      <c r="A238" s="27"/>
      <c r="B238" s="135">
        <v>223</v>
      </c>
      <c r="C238" s="136"/>
      <c r="D238" s="138"/>
      <c r="E238" s="131"/>
      <c r="F238" s="131"/>
      <c r="G238" s="131"/>
      <c r="H238" s="131"/>
      <c r="I238" s="132"/>
      <c r="J238" s="131"/>
      <c r="K238" s="139"/>
      <c r="L238" s="131"/>
      <c r="M238" s="131"/>
      <c r="N238" s="131"/>
      <c r="O238" s="132"/>
      <c r="P238" s="132"/>
      <c r="Q238" s="132"/>
      <c r="R238" s="132"/>
      <c r="S238" s="132"/>
      <c r="T238" s="134"/>
      <c r="U238" s="137"/>
      <c r="V238" s="27"/>
      <c r="W238" s="28" t="str">
        <f>IFERROR(_xlfn.XLOOKUP(H238,Collection[Display],Collection[Line])&amp;_xlfn.XLOOKUP(I238,Sleeve[Display],Sleeve[Sleeve]),"")</f>
        <v/>
      </c>
    </row>
    <row r="239" spans="1:23" s="28" customFormat="1" ht="30" customHeight="1">
      <c r="A239" s="27"/>
      <c r="B239" s="135">
        <v>224</v>
      </c>
      <c r="C239" s="136"/>
      <c r="D239" s="138"/>
      <c r="E239" s="131"/>
      <c r="F239" s="131"/>
      <c r="G239" s="131"/>
      <c r="H239" s="131"/>
      <c r="I239" s="132"/>
      <c r="J239" s="131"/>
      <c r="K239" s="139"/>
      <c r="L239" s="131"/>
      <c r="M239" s="131"/>
      <c r="N239" s="131"/>
      <c r="O239" s="132"/>
      <c r="P239" s="132"/>
      <c r="Q239" s="132"/>
      <c r="R239" s="132"/>
      <c r="S239" s="132"/>
      <c r="T239" s="134"/>
      <c r="U239" s="137"/>
      <c r="V239" s="27"/>
      <c r="W239" s="28" t="str">
        <f>IFERROR(_xlfn.XLOOKUP(H239,Collection[Display],Collection[Line])&amp;_xlfn.XLOOKUP(I239,Sleeve[Display],Sleeve[Sleeve]),"")</f>
        <v/>
      </c>
    </row>
    <row r="240" spans="1:23" s="28" customFormat="1" ht="30" customHeight="1">
      <c r="A240" s="27"/>
      <c r="B240" s="135">
        <v>225</v>
      </c>
      <c r="C240" s="136"/>
      <c r="D240" s="138"/>
      <c r="E240" s="131"/>
      <c r="F240" s="131"/>
      <c r="G240" s="131"/>
      <c r="H240" s="131"/>
      <c r="I240" s="132"/>
      <c r="J240" s="131"/>
      <c r="K240" s="139"/>
      <c r="L240" s="131"/>
      <c r="M240" s="131"/>
      <c r="N240" s="131"/>
      <c r="O240" s="132"/>
      <c r="P240" s="132"/>
      <c r="Q240" s="132"/>
      <c r="R240" s="132"/>
      <c r="S240" s="132"/>
      <c r="T240" s="134"/>
      <c r="U240" s="137"/>
      <c r="V240" s="27"/>
      <c r="W240" s="28" t="str">
        <f>IFERROR(_xlfn.XLOOKUP(H240,Collection[Display],Collection[Line])&amp;_xlfn.XLOOKUP(I240,Sleeve[Display],Sleeve[Sleeve]),"")</f>
        <v/>
      </c>
    </row>
    <row r="241" spans="1:23" s="28" customFormat="1" ht="30" customHeight="1">
      <c r="A241" s="27"/>
      <c r="B241" s="135">
        <v>226</v>
      </c>
      <c r="C241" s="136"/>
      <c r="D241" s="138"/>
      <c r="E241" s="131"/>
      <c r="F241" s="131"/>
      <c r="G241" s="131"/>
      <c r="H241" s="131"/>
      <c r="I241" s="132"/>
      <c r="J241" s="131"/>
      <c r="K241" s="139"/>
      <c r="L241" s="131"/>
      <c r="M241" s="131"/>
      <c r="N241" s="131"/>
      <c r="O241" s="132"/>
      <c r="P241" s="132"/>
      <c r="Q241" s="132"/>
      <c r="R241" s="132"/>
      <c r="S241" s="132"/>
      <c r="T241" s="134"/>
      <c r="U241" s="137"/>
      <c r="V241" s="27"/>
      <c r="W241" s="28" t="str">
        <f>IFERROR(_xlfn.XLOOKUP(H241,Collection[Display],Collection[Line])&amp;_xlfn.XLOOKUP(I241,Sleeve[Display],Sleeve[Sleeve]),"")</f>
        <v/>
      </c>
    </row>
    <row r="242" spans="1:23" s="28" customFormat="1" ht="30" customHeight="1">
      <c r="A242" s="27"/>
      <c r="B242" s="135">
        <v>227</v>
      </c>
      <c r="C242" s="136"/>
      <c r="D242" s="138"/>
      <c r="E242" s="131"/>
      <c r="F242" s="131"/>
      <c r="G242" s="131"/>
      <c r="H242" s="131"/>
      <c r="I242" s="132"/>
      <c r="J242" s="131"/>
      <c r="K242" s="139"/>
      <c r="L242" s="131"/>
      <c r="M242" s="131"/>
      <c r="N242" s="131"/>
      <c r="O242" s="132"/>
      <c r="P242" s="132"/>
      <c r="Q242" s="132"/>
      <c r="R242" s="132"/>
      <c r="S242" s="132"/>
      <c r="T242" s="134"/>
      <c r="U242" s="137"/>
      <c r="V242" s="27"/>
      <c r="W242" s="28" t="str">
        <f>IFERROR(_xlfn.XLOOKUP(H242,Collection[Display],Collection[Line])&amp;_xlfn.XLOOKUP(I242,Sleeve[Display],Sleeve[Sleeve]),"")</f>
        <v/>
      </c>
    </row>
    <row r="243" spans="1:23" s="28" customFormat="1" ht="30" customHeight="1">
      <c r="A243" s="27"/>
      <c r="B243" s="135">
        <v>228</v>
      </c>
      <c r="C243" s="136"/>
      <c r="D243" s="138"/>
      <c r="E243" s="131"/>
      <c r="F243" s="131"/>
      <c r="G243" s="131"/>
      <c r="H243" s="131"/>
      <c r="I243" s="132"/>
      <c r="J243" s="131"/>
      <c r="K243" s="139"/>
      <c r="L243" s="131"/>
      <c r="M243" s="131"/>
      <c r="N243" s="131"/>
      <c r="O243" s="132"/>
      <c r="P243" s="132"/>
      <c r="Q243" s="132"/>
      <c r="R243" s="132"/>
      <c r="S243" s="132"/>
      <c r="T243" s="134"/>
      <c r="U243" s="137"/>
      <c r="V243" s="27"/>
      <c r="W243" s="28" t="str">
        <f>IFERROR(_xlfn.XLOOKUP(H243,Collection[Display],Collection[Line])&amp;_xlfn.XLOOKUP(I243,Sleeve[Display],Sleeve[Sleeve]),"")</f>
        <v/>
      </c>
    </row>
    <row r="244" spans="1:23" s="28" customFormat="1" ht="30" customHeight="1">
      <c r="A244" s="27"/>
      <c r="B244" s="135">
        <v>229</v>
      </c>
      <c r="C244" s="136"/>
      <c r="D244" s="138"/>
      <c r="E244" s="131"/>
      <c r="F244" s="131"/>
      <c r="G244" s="131"/>
      <c r="H244" s="131"/>
      <c r="I244" s="132"/>
      <c r="J244" s="131"/>
      <c r="K244" s="139"/>
      <c r="L244" s="131"/>
      <c r="M244" s="131"/>
      <c r="N244" s="131"/>
      <c r="O244" s="132"/>
      <c r="P244" s="132"/>
      <c r="Q244" s="132"/>
      <c r="R244" s="132"/>
      <c r="S244" s="132"/>
      <c r="T244" s="134"/>
      <c r="U244" s="137"/>
      <c r="V244" s="27"/>
      <c r="W244" s="28" t="str">
        <f>IFERROR(_xlfn.XLOOKUP(H244,Collection[Display],Collection[Line])&amp;_xlfn.XLOOKUP(I244,Sleeve[Display],Sleeve[Sleeve]),"")</f>
        <v/>
      </c>
    </row>
    <row r="245" spans="1:23" s="28" customFormat="1" ht="30" customHeight="1">
      <c r="A245" s="27"/>
      <c r="B245" s="135">
        <v>230</v>
      </c>
      <c r="C245" s="136"/>
      <c r="D245" s="138"/>
      <c r="E245" s="131"/>
      <c r="F245" s="131"/>
      <c r="G245" s="131"/>
      <c r="H245" s="131"/>
      <c r="I245" s="132"/>
      <c r="J245" s="131"/>
      <c r="K245" s="139"/>
      <c r="L245" s="131"/>
      <c r="M245" s="131"/>
      <c r="N245" s="131"/>
      <c r="O245" s="132"/>
      <c r="P245" s="132"/>
      <c r="Q245" s="132"/>
      <c r="R245" s="132"/>
      <c r="S245" s="132"/>
      <c r="T245" s="134"/>
      <c r="U245" s="137"/>
      <c r="V245" s="27"/>
      <c r="W245" s="28" t="str">
        <f>IFERROR(_xlfn.XLOOKUP(H245,Collection[Display],Collection[Line])&amp;_xlfn.XLOOKUP(I245,Sleeve[Display],Sleeve[Sleeve]),"")</f>
        <v/>
      </c>
    </row>
    <row r="246" spans="1:23" s="28" customFormat="1" ht="30" customHeight="1">
      <c r="A246" s="27"/>
      <c r="B246" s="135">
        <v>231</v>
      </c>
      <c r="C246" s="136"/>
      <c r="D246" s="138"/>
      <c r="E246" s="131"/>
      <c r="F246" s="131"/>
      <c r="G246" s="131"/>
      <c r="H246" s="131"/>
      <c r="I246" s="132"/>
      <c r="J246" s="131"/>
      <c r="K246" s="139"/>
      <c r="L246" s="131"/>
      <c r="M246" s="131"/>
      <c r="N246" s="131"/>
      <c r="O246" s="132"/>
      <c r="P246" s="132"/>
      <c r="Q246" s="132"/>
      <c r="R246" s="132"/>
      <c r="S246" s="132"/>
      <c r="T246" s="134"/>
      <c r="U246" s="137"/>
      <c r="V246" s="27"/>
      <c r="W246" s="28" t="str">
        <f>IFERROR(_xlfn.XLOOKUP(H246,Collection[Display],Collection[Line])&amp;_xlfn.XLOOKUP(I246,Sleeve[Display],Sleeve[Sleeve]),"")</f>
        <v/>
      </c>
    </row>
    <row r="247" spans="1:23" s="28" customFormat="1" ht="30" customHeight="1">
      <c r="A247" s="27"/>
      <c r="B247" s="135">
        <v>232</v>
      </c>
      <c r="C247" s="136"/>
      <c r="D247" s="138"/>
      <c r="E247" s="131"/>
      <c r="F247" s="131"/>
      <c r="G247" s="131"/>
      <c r="H247" s="131"/>
      <c r="I247" s="132"/>
      <c r="J247" s="131"/>
      <c r="K247" s="139"/>
      <c r="L247" s="131"/>
      <c r="M247" s="131"/>
      <c r="N247" s="131"/>
      <c r="O247" s="132"/>
      <c r="P247" s="132"/>
      <c r="Q247" s="132"/>
      <c r="R247" s="132"/>
      <c r="S247" s="132"/>
      <c r="T247" s="134"/>
      <c r="U247" s="137"/>
      <c r="V247" s="27"/>
      <c r="W247" s="28" t="str">
        <f>IFERROR(_xlfn.XLOOKUP(H247,Collection[Display],Collection[Line])&amp;_xlfn.XLOOKUP(I247,Sleeve[Display],Sleeve[Sleeve]),"")</f>
        <v/>
      </c>
    </row>
    <row r="248" spans="1:23" s="28" customFormat="1" ht="30" customHeight="1">
      <c r="A248" s="27"/>
      <c r="B248" s="135">
        <v>233</v>
      </c>
      <c r="C248" s="136"/>
      <c r="D248" s="138"/>
      <c r="E248" s="131"/>
      <c r="F248" s="131"/>
      <c r="G248" s="131"/>
      <c r="H248" s="131"/>
      <c r="I248" s="132"/>
      <c r="J248" s="131"/>
      <c r="K248" s="139"/>
      <c r="L248" s="131"/>
      <c r="M248" s="131"/>
      <c r="N248" s="131"/>
      <c r="O248" s="132"/>
      <c r="P248" s="132"/>
      <c r="Q248" s="132"/>
      <c r="R248" s="132"/>
      <c r="S248" s="132"/>
      <c r="T248" s="134"/>
      <c r="U248" s="137"/>
      <c r="V248" s="27"/>
      <c r="W248" s="28" t="str">
        <f>IFERROR(_xlfn.XLOOKUP(H248,Collection[Display],Collection[Line])&amp;_xlfn.XLOOKUP(I248,Sleeve[Display],Sleeve[Sleeve]),"")</f>
        <v/>
      </c>
    </row>
    <row r="249" spans="1:23" s="28" customFormat="1" ht="30" customHeight="1">
      <c r="A249" s="27"/>
      <c r="B249" s="135">
        <v>234</v>
      </c>
      <c r="C249" s="136"/>
      <c r="D249" s="138"/>
      <c r="E249" s="131"/>
      <c r="F249" s="131"/>
      <c r="G249" s="131"/>
      <c r="H249" s="131"/>
      <c r="I249" s="132"/>
      <c r="J249" s="131"/>
      <c r="K249" s="139"/>
      <c r="L249" s="131"/>
      <c r="M249" s="131"/>
      <c r="N249" s="131"/>
      <c r="O249" s="132"/>
      <c r="P249" s="132"/>
      <c r="Q249" s="132"/>
      <c r="R249" s="132"/>
      <c r="S249" s="132"/>
      <c r="T249" s="134"/>
      <c r="U249" s="137"/>
      <c r="V249" s="27"/>
      <c r="W249" s="28" t="str">
        <f>IFERROR(_xlfn.XLOOKUP(H249,Collection[Display],Collection[Line])&amp;_xlfn.XLOOKUP(I249,Sleeve[Display],Sleeve[Sleeve]),"")</f>
        <v/>
      </c>
    </row>
    <row r="250" spans="1:23" s="28" customFormat="1" ht="30" customHeight="1">
      <c r="A250" s="27"/>
      <c r="B250" s="135">
        <v>235</v>
      </c>
      <c r="C250" s="136"/>
      <c r="D250" s="138"/>
      <c r="E250" s="131"/>
      <c r="F250" s="131"/>
      <c r="G250" s="131"/>
      <c r="H250" s="131"/>
      <c r="I250" s="132"/>
      <c r="J250" s="131"/>
      <c r="K250" s="139"/>
      <c r="L250" s="131"/>
      <c r="M250" s="131"/>
      <c r="N250" s="131"/>
      <c r="O250" s="132"/>
      <c r="P250" s="132"/>
      <c r="Q250" s="132"/>
      <c r="R250" s="132"/>
      <c r="S250" s="132"/>
      <c r="T250" s="134"/>
      <c r="U250" s="137"/>
      <c r="V250" s="27"/>
      <c r="W250" s="28" t="str">
        <f>IFERROR(_xlfn.XLOOKUP(H250,Collection[Display],Collection[Line])&amp;_xlfn.XLOOKUP(I250,Sleeve[Display],Sleeve[Sleeve]),"")</f>
        <v/>
      </c>
    </row>
    <row r="251" spans="1:23" s="28" customFormat="1" ht="30" customHeight="1">
      <c r="A251" s="27"/>
      <c r="B251" s="135">
        <v>236</v>
      </c>
      <c r="C251" s="136"/>
      <c r="D251" s="138"/>
      <c r="E251" s="131"/>
      <c r="F251" s="131"/>
      <c r="G251" s="131"/>
      <c r="H251" s="131"/>
      <c r="I251" s="132"/>
      <c r="J251" s="131"/>
      <c r="K251" s="139"/>
      <c r="L251" s="131"/>
      <c r="M251" s="131"/>
      <c r="N251" s="131"/>
      <c r="O251" s="132"/>
      <c r="P251" s="132"/>
      <c r="Q251" s="132"/>
      <c r="R251" s="132"/>
      <c r="S251" s="132"/>
      <c r="T251" s="134"/>
      <c r="U251" s="137"/>
      <c r="V251" s="27"/>
      <c r="W251" s="28" t="str">
        <f>IFERROR(_xlfn.XLOOKUP(H251,Collection[Display],Collection[Line])&amp;_xlfn.XLOOKUP(I251,Sleeve[Display],Sleeve[Sleeve]),"")</f>
        <v/>
      </c>
    </row>
    <row r="252" spans="1:23" s="28" customFormat="1" ht="30" customHeight="1">
      <c r="A252" s="27"/>
      <c r="B252" s="135">
        <v>237</v>
      </c>
      <c r="C252" s="136"/>
      <c r="D252" s="138"/>
      <c r="E252" s="131"/>
      <c r="F252" s="131"/>
      <c r="G252" s="131"/>
      <c r="H252" s="131"/>
      <c r="I252" s="132"/>
      <c r="J252" s="131"/>
      <c r="K252" s="139"/>
      <c r="L252" s="131"/>
      <c r="M252" s="131"/>
      <c r="N252" s="131"/>
      <c r="O252" s="132"/>
      <c r="P252" s="132"/>
      <c r="Q252" s="132"/>
      <c r="R252" s="132"/>
      <c r="S252" s="132"/>
      <c r="T252" s="134"/>
      <c r="U252" s="137"/>
      <c r="V252" s="27"/>
      <c r="W252" s="28" t="str">
        <f>IFERROR(_xlfn.XLOOKUP(H252,Collection[Display],Collection[Line])&amp;_xlfn.XLOOKUP(I252,Sleeve[Display],Sleeve[Sleeve]),"")</f>
        <v/>
      </c>
    </row>
    <row r="253" spans="1:23" s="28" customFormat="1" ht="30" customHeight="1">
      <c r="A253" s="27"/>
      <c r="B253" s="135">
        <v>238</v>
      </c>
      <c r="C253" s="136"/>
      <c r="D253" s="138"/>
      <c r="E253" s="131"/>
      <c r="F253" s="131"/>
      <c r="G253" s="131"/>
      <c r="H253" s="131"/>
      <c r="I253" s="132"/>
      <c r="J253" s="131"/>
      <c r="K253" s="139"/>
      <c r="L253" s="131"/>
      <c r="M253" s="131"/>
      <c r="N253" s="131"/>
      <c r="O253" s="132"/>
      <c r="P253" s="132"/>
      <c r="Q253" s="132"/>
      <c r="R253" s="132"/>
      <c r="S253" s="132"/>
      <c r="T253" s="134"/>
      <c r="U253" s="137"/>
      <c r="V253" s="27"/>
      <c r="W253" s="28" t="str">
        <f>IFERROR(_xlfn.XLOOKUP(H253,Collection[Display],Collection[Line])&amp;_xlfn.XLOOKUP(I253,Sleeve[Display],Sleeve[Sleeve]),"")</f>
        <v/>
      </c>
    </row>
    <row r="254" spans="1:23" s="28" customFormat="1" ht="30" customHeight="1">
      <c r="A254" s="27"/>
      <c r="B254" s="135">
        <v>239</v>
      </c>
      <c r="C254" s="136"/>
      <c r="D254" s="138"/>
      <c r="E254" s="131"/>
      <c r="F254" s="131"/>
      <c r="G254" s="131"/>
      <c r="H254" s="131"/>
      <c r="I254" s="132"/>
      <c r="J254" s="131"/>
      <c r="K254" s="139"/>
      <c r="L254" s="131"/>
      <c r="M254" s="131"/>
      <c r="N254" s="131"/>
      <c r="O254" s="132"/>
      <c r="P254" s="132"/>
      <c r="Q254" s="132"/>
      <c r="R254" s="132"/>
      <c r="S254" s="132"/>
      <c r="T254" s="134"/>
      <c r="U254" s="137"/>
      <c r="V254" s="27"/>
      <c r="W254" s="28" t="str">
        <f>IFERROR(_xlfn.XLOOKUP(H254,Collection[Display],Collection[Line])&amp;_xlfn.XLOOKUP(I254,Sleeve[Display],Sleeve[Sleeve]),"")</f>
        <v/>
      </c>
    </row>
    <row r="255" spans="1:23" s="28" customFormat="1" ht="30" customHeight="1">
      <c r="A255" s="27"/>
      <c r="B255" s="135">
        <v>240</v>
      </c>
      <c r="C255" s="136"/>
      <c r="D255" s="138"/>
      <c r="E255" s="131"/>
      <c r="F255" s="131"/>
      <c r="G255" s="131"/>
      <c r="H255" s="131"/>
      <c r="I255" s="132"/>
      <c r="J255" s="131"/>
      <c r="K255" s="139"/>
      <c r="L255" s="131"/>
      <c r="M255" s="131"/>
      <c r="N255" s="131"/>
      <c r="O255" s="132"/>
      <c r="P255" s="132"/>
      <c r="Q255" s="132"/>
      <c r="R255" s="132"/>
      <c r="S255" s="132"/>
      <c r="T255" s="134"/>
      <c r="U255" s="137"/>
      <c r="V255" s="27"/>
      <c r="W255" s="28" t="str">
        <f>IFERROR(_xlfn.XLOOKUP(H255,Collection[Display],Collection[Line])&amp;_xlfn.XLOOKUP(I255,Sleeve[Display],Sleeve[Sleeve]),"")</f>
        <v/>
      </c>
    </row>
    <row r="256" spans="1:23" s="28" customFormat="1" ht="30" customHeight="1">
      <c r="A256" s="27"/>
      <c r="B256" s="135">
        <v>241</v>
      </c>
      <c r="C256" s="136"/>
      <c r="D256" s="138"/>
      <c r="E256" s="131"/>
      <c r="F256" s="131"/>
      <c r="G256" s="131"/>
      <c r="H256" s="131"/>
      <c r="I256" s="132"/>
      <c r="J256" s="131"/>
      <c r="K256" s="139"/>
      <c r="L256" s="131"/>
      <c r="M256" s="131"/>
      <c r="N256" s="131"/>
      <c r="O256" s="132"/>
      <c r="P256" s="132"/>
      <c r="Q256" s="132"/>
      <c r="R256" s="132"/>
      <c r="S256" s="132"/>
      <c r="T256" s="134"/>
      <c r="U256" s="137"/>
      <c r="V256" s="27"/>
      <c r="W256" s="28" t="str">
        <f>IFERROR(_xlfn.XLOOKUP(H256,Collection[Display],Collection[Line])&amp;_xlfn.XLOOKUP(I256,Sleeve[Display],Sleeve[Sleeve]),"")</f>
        <v/>
      </c>
    </row>
    <row r="257" spans="1:23" s="28" customFormat="1" ht="30" customHeight="1">
      <c r="A257" s="27"/>
      <c r="B257" s="135">
        <v>242</v>
      </c>
      <c r="C257" s="136"/>
      <c r="D257" s="138"/>
      <c r="E257" s="131"/>
      <c r="F257" s="131"/>
      <c r="G257" s="131"/>
      <c r="H257" s="131"/>
      <c r="I257" s="132"/>
      <c r="J257" s="131"/>
      <c r="K257" s="139"/>
      <c r="L257" s="131"/>
      <c r="M257" s="131"/>
      <c r="N257" s="131"/>
      <c r="O257" s="132"/>
      <c r="P257" s="132"/>
      <c r="Q257" s="132"/>
      <c r="R257" s="132"/>
      <c r="S257" s="132"/>
      <c r="T257" s="134"/>
      <c r="U257" s="137"/>
      <c r="V257" s="27"/>
      <c r="W257" s="28" t="str">
        <f>IFERROR(_xlfn.XLOOKUP(H257,Collection[Display],Collection[Line])&amp;_xlfn.XLOOKUP(I257,Sleeve[Display],Sleeve[Sleeve]),"")</f>
        <v/>
      </c>
    </row>
    <row r="258" spans="1:23" s="28" customFormat="1" ht="30" customHeight="1">
      <c r="A258" s="27"/>
      <c r="B258" s="135">
        <v>243</v>
      </c>
      <c r="C258" s="136"/>
      <c r="D258" s="138"/>
      <c r="E258" s="131"/>
      <c r="F258" s="131"/>
      <c r="G258" s="131"/>
      <c r="H258" s="131"/>
      <c r="I258" s="132"/>
      <c r="J258" s="131"/>
      <c r="K258" s="139"/>
      <c r="L258" s="131"/>
      <c r="M258" s="131"/>
      <c r="N258" s="131"/>
      <c r="O258" s="132"/>
      <c r="P258" s="132"/>
      <c r="Q258" s="132"/>
      <c r="R258" s="132"/>
      <c r="S258" s="132"/>
      <c r="T258" s="134"/>
      <c r="U258" s="137"/>
      <c r="V258" s="27"/>
      <c r="W258" s="28" t="str">
        <f>IFERROR(_xlfn.XLOOKUP(H258,Collection[Display],Collection[Line])&amp;_xlfn.XLOOKUP(I258,Sleeve[Display],Sleeve[Sleeve]),"")</f>
        <v/>
      </c>
    </row>
    <row r="259" spans="1:23" s="28" customFormat="1" ht="30" customHeight="1">
      <c r="A259" s="27"/>
      <c r="B259" s="135">
        <v>244</v>
      </c>
      <c r="C259" s="136"/>
      <c r="D259" s="138"/>
      <c r="E259" s="131"/>
      <c r="F259" s="131"/>
      <c r="G259" s="131"/>
      <c r="H259" s="131"/>
      <c r="I259" s="132"/>
      <c r="J259" s="131"/>
      <c r="K259" s="139"/>
      <c r="L259" s="131"/>
      <c r="M259" s="131"/>
      <c r="N259" s="131"/>
      <c r="O259" s="132"/>
      <c r="P259" s="132"/>
      <c r="Q259" s="132"/>
      <c r="R259" s="132"/>
      <c r="S259" s="132"/>
      <c r="T259" s="134"/>
      <c r="U259" s="137"/>
      <c r="V259" s="27"/>
      <c r="W259" s="28" t="str">
        <f>IFERROR(_xlfn.XLOOKUP(H259,Collection[Display],Collection[Line])&amp;_xlfn.XLOOKUP(I259,Sleeve[Display],Sleeve[Sleeve]),"")</f>
        <v/>
      </c>
    </row>
    <row r="260" spans="1:23" s="28" customFormat="1" ht="30" customHeight="1">
      <c r="A260" s="27"/>
      <c r="B260" s="135">
        <v>245</v>
      </c>
      <c r="C260" s="136"/>
      <c r="D260" s="138"/>
      <c r="E260" s="131"/>
      <c r="F260" s="131"/>
      <c r="G260" s="131"/>
      <c r="H260" s="131"/>
      <c r="I260" s="132"/>
      <c r="J260" s="131"/>
      <c r="K260" s="139"/>
      <c r="L260" s="131"/>
      <c r="M260" s="131"/>
      <c r="N260" s="131"/>
      <c r="O260" s="132"/>
      <c r="P260" s="132"/>
      <c r="Q260" s="132"/>
      <c r="R260" s="132"/>
      <c r="S260" s="132"/>
      <c r="T260" s="134"/>
      <c r="U260" s="137"/>
      <c r="V260" s="27"/>
      <c r="W260" s="28" t="str">
        <f>IFERROR(_xlfn.XLOOKUP(H260,Collection[Display],Collection[Line])&amp;_xlfn.XLOOKUP(I260,Sleeve[Display],Sleeve[Sleeve]),"")</f>
        <v/>
      </c>
    </row>
    <row r="261" spans="1:23" s="28" customFormat="1" ht="30" customHeight="1">
      <c r="A261" s="27"/>
      <c r="B261" s="135">
        <v>246</v>
      </c>
      <c r="C261" s="136"/>
      <c r="D261" s="138"/>
      <c r="E261" s="131"/>
      <c r="F261" s="131"/>
      <c r="G261" s="131"/>
      <c r="H261" s="131"/>
      <c r="I261" s="132"/>
      <c r="J261" s="131"/>
      <c r="K261" s="139"/>
      <c r="L261" s="131"/>
      <c r="M261" s="131"/>
      <c r="N261" s="131"/>
      <c r="O261" s="132"/>
      <c r="P261" s="132"/>
      <c r="Q261" s="132"/>
      <c r="R261" s="132"/>
      <c r="S261" s="132"/>
      <c r="T261" s="134"/>
      <c r="U261" s="137"/>
      <c r="V261" s="27"/>
      <c r="W261" s="28" t="str">
        <f>IFERROR(_xlfn.XLOOKUP(H261,Collection[Display],Collection[Line])&amp;_xlfn.XLOOKUP(I261,Sleeve[Display],Sleeve[Sleeve]),"")</f>
        <v/>
      </c>
    </row>
    <row r="262" spans="1:23" s="28" customFormat="1" ht="30" customHeight="1">
      <c r="A262" s="27"/>
      <c r="B262" s="135">
        <v>247</v>
      </c>
      <c r="C262" s="136"/>
      <c r="D262" s="138"/>
      <c r="E262" s="131"/>
      <c r="F262" s="131"/>
      <c r="G262" s="131"/>
      <c r="H262" s="131"/>
      <c r="I262" s="132"/>
      <c r="J262" s="131"/>
      <c r="K262" s="139"/>
      <c r="L262" s="131"/>
      <c r="M262" s="131"/>
      <c r="N262" s="131"/>
      <c r="O262" s="132"/>
      <c r="P262" s="132"/>
      <c r="Q262" s="132"/>
      <c r="R262" s="132"/>
      <c r="S262" s="132"/>
      <c r="T262" s="134"/>
      <c r="U262" s="137"/>
      <c r="V262" s="27"/>
      <c r="W262" s="28" t="str">
        <f>IFERROR(_xlfn.XLOOKUP(H262,Collection[Display],Collection[Line])&amp;_xlfn.XLOOKUP(I262,Sleeve[Display],Sleeve[Sleeve]),"")</f>
        <v/>
      </c>
    </row>
    <row r="263" spans="1:23" s="28" customFormat="1" ht="30" customHeight="1">
      <c r="A263" s="27"/>
      <c r="B263" s="135">
        <v>248</v>
      </c>
      <c r="C263" s="136"/>
      <c r="D263" s="138"/>
      <c r="E263" s="131"/>
      <c r="F263" s="131"/>
      <c r="G263" s="131"/>
      <c r="H263" s="131"/>
      <c r="I263" s="132"/>
      <c r="J263" s="131"/>
      <c r="K263" s="139"/>
      <c r="L263" s="131"/>
      <c r="M263" s="131"/>
      <c r="N263" s="131"/>
      <c r="O263" s="132"/>
      <c r="P263" s="132"/>
      <c r="Q263" s="132"/>
      <c r="R263" s="132"/>
      <c r="S263" s="132"/>
      <c r="T263" s="134"/>
      <c r="U263" s="137"/>
      <c r="V263" s="27"/>
      <c r="W263" s="28" t="str">
        <f>IFERROR(_xlfn.XLOOKUP(H263,Collection[Display],Collection[Line])&amp;_xlfn.XLOOKUP(I263,Sleeve[Display],Sleeve[Sleeve]),"")</f>
        <v/>
      </c>
    </row>
    <row r="264" spans="1:23" s="28" customFormat="1" ht="30" customHeight="1">
      <c r="A264" s="27"/>
      <c r="B264" s="135">
        <v>249</v>
      </c>
      <c r="C264" s="136"/>
      <c r="D264" s="138"/>
      <c r="E264" s="131"/>
      <c r="F264" s="131"/>
      <c r="G264" s="131"/>
      <c r="H264" s="131"/>
      <c r="I264" s="132"/>
      <c r="J264" s="131"/>
      <c r="K264" s="139"/>
      <c r="L264" s="131"/>
      <c r="M264" s="131"/>
      <c r="N264" s="131"/>
      <c r="O264" s="132"/>
      <c r="P264" s="132"/>
      <c r="Q264" s="132"/>
      <c r="R264" s="132"/>
      <c r="S264" s="132"/>
      <c r="T264" s="134"/>
      <c r="U264" s="137"/>
      <c r="V264" s="27"/>
      <c r="W264" s="28" t="str">
        <f>IFERROR(_xlfn.XLOOKUP(H264,Collection[Display],Collection[Line])&amp;_xlfn.XLOOKUP(I264,Sleeve[Display],Sleeve[Sleeve]),"")</f>
        <v/>
      </c>
    </row>
    <row r="265" spans="1:23" s="28" customFormat="1" ht="30" customHeight="1">
      <c r="A265" s="27"/>
      <c r="B265" s="135">
        <v>250</v>
      </c>
      <c r="C265" s="136"/>
      <c r="D265" s="138"/>
      <c r="E265" s="131"/>
      <c r="F265" s="131"/>
      <c r="G265" s="131"/>
      <c r="H265" s="131"/>
      <c r="I265" s="132"/>
      <c r="J265" s="131"/>
      <c r="K265" s="139"/>
      <c r="L265" s="131"/>
      <c r="M265" s="131"/>
      <c r="N265" s="131"/>
      <c r="O265" s="132"/>
      <c r="P265" s="132"/>
      <c r="Q265" s="132"/>
      <c r="R265" s="132"/>
      <c r="S265" s="132"/>
      <c r="T265" s="134"/>
      <c r="U265" s="137"/>
      <c r="V265" s="27"/>
      <c r="W265" s="28" t="str">
        <f>IFERROR(_xlfn.XLOOKUP(H265,Collection[Display],Collection[Line])&amp;_xlfn.XLOOKUP(I265,Sleeve[Display],Sleeve[Sleeve]),"")</f>
        <v/>
      </c>
    </row>
    <row r="266" spans="1:23" s="28" customFormat="1" ht="30" customHeight="1">
      <c r="A266" s="27"/>
      <c r="B266" s="135">
        <v>251</v>
      </c>
      <c r="C266" s="136"/>
      <c r="D266" s="138"/>
      <c r="E266" s="131"/>
      <c r="F266" s="131"/>
      <c r="G266" s="131"/>
      <c r="H266" s="131"/>
      <c r="I266" s="132"/>
      <c r="J266" s="131"/>
      <c r="K266" s="139"/>
      <c r="L266" s="131"/>
      <c r="M266" s="131"/>
      <c r="N266" s="131"/>
      <c r="O266" s="132"/>
      <c r="P266" s="132"/>
      <c r="Q266" s="132"/>
      <c r="R266" s="132"/>
      <c r="S266" s="132"/>
      <c r="T266" s="134"/>
      <c r="U266" s="137"/>
      <c r="V266" s="27"/>
      <c r="W266" s="28" t="str">
        <f>IFERROR(_xlfn.XLOOKUP(H266,Collection[Display],Collection[Line])&amp;_xlfn.XLOOKUP(I266,Sleeve[Display],Sleeve[Sleeve]),"")</f>
        <v/>
      </c>
    </row>
    <row r="267" spans="1:23" s="28" customFormat="1" ht="30" customHeight="1">
      <c r="A267" s="27"/>
      <c r="B267" s="135">
        <v>252</v>
      </c>
      <c r="C267" s="136"/>
      <c r="D267" s="138"/>
      <c r="E267" s="131"/>
      <c r="F267" s="131"/>
      <c r="G267" s="131"/>
      <c r="H267" s="131"/>
      <c r="I267" s="132"/>
      <c r="J267" s="131"/>
      <c r="K267" s="139"/>
      <c r="L267" s="131"/>
      <c r="M267" s="131"/>
      <c r="N267" s="131"/>
      <c r="O267" s="132"/>
      <c r="P267" s="132"/>
      <c r="Q267" s="132"/>
      <c r="R267" s="132"/>
      <c r="S267" s="132"/>
      <c r="T267" s="134"/>
      <c r="U267" s="137"/>
      <c r="V267" s="27"/>
      <c r="W267" s="28" t="str">
        <f>IFERROR(_xlfn.XLOOKUP(H267,Collection[Display],Collection[Line])&amp;_xlfn.XLOOKUP(I267,Sleeve[Display],Sleeve[Sleeve]),"")</f>
        <v/>
      </c>
    </row>
    <row r="268" spans="1:23" s="28" customFormat="1" ht="30" customHeight="1">
      <c r="A268" s="27"/>
      <c r="B268" s="135">
        <v>253</v>
      </c>
      <c r="C268" s="136"/>
      <c r="D268" s="138"/>
      <c r="E268" s="131"/>
      <c r="F268" s="131"/>
      <c r="G268" s="131"/>
      <c r="H268" s="131"/>
      <c r="I268" s="132"/>
      <c r="J268" s="131"/>
      <c r="K268" s="139"/>
      <c r="L268" s="131"/>
      <c r="M268" s="131"/>
      <c r="N268" s="131"/>
      <c r="O268" s="132"/>
      <c r="P268" s="132"/>
      <c r="Q268" s="132"/>
      <c r="R268" s="132"/>
      <c r="S268" s="132"/>
      <c r="T268" s="134"/>
      <c r="U268" s="137"/>
      <c r="V268" s="27"/>
      <c r="W268" s="28" t="str">
        <f>IFERROR(_xlfn.XLOOKUP(H268,Collection[Display],Collection[Line])&amp;_xlfn.XLOOKUP(I268,Sleeve[Display],Sleeve[Sleeve]),"")</f>
        <v/>
      </c>
    </row>
    <row r="269" spans="1:23" s="28" customFormat="1" ht="30" customHeight="1">
      <c r="A269" s="27"/>
      <c r="B269" s="135">
        <v>254</v>
      </c>
      <c r="C269" s="136"/>
      <c r="D269" s="138"/>
      <c r="E269" s="131"/>
      <c r="F269" s="131"/>
      <c r="G269" s="131"/>
      <c r="H269" s="131"/>
      <c r="I269" s="132"/>
      <c r="J269" s="131"/>
      <c r="K269" s="139"/>
      <c r="L269" s="131"/>
      <c r="M269" s="131"/>
      <c r="N269" s="131"/>
      <c r="O269" s="132"/>
      <c r="P269" s="132"/>
      <c r="Q269" s="132"/>
      <c r="R269" s="132"/>
      <c r="S269" s="132"/>
      <c r="T269" s="134"/>
      <c r="U269" s="137"/>
      <c r="V269" s="27"/>
      <c r="W269" s="28" t="str">
        <f>IFERROR(_xlfn.XLOOKUP(H269,Collection[Display],Collection[Line])&amp;_xlfn.XLOOKUP(I269,Sleeve[Display],Sleeve[Sleeve]),"")</f>
        <v/>
      </c>
    </row>
    <row r="270" spans="1:23" s="28" customFormat="1" ht="30" customHeight="1">
      <c r="A270" s="27"/>
      <c r="B270" s="135">
        <v>255</v>
      </c>
      <c r="C270" s="136"/>
      <c r="D270" s="138"/>
      <c r="E270" s="131"/>
      <c r="F270" s="131"/>
      <c r="G270" s="131"/>
      <c r="H270" s="131"/>
      <c r="I270" s="132"/>
      <c r="J270" s="131"/>
      <c r="K270" s="139"/>
      <c r="L270" s="131"/>
      <c r="M270" s="131"/>
      <c r="N270" s="131"/>
      <c r="O270" s="132"/>
      <c r="P270" s="132"/>
      <c r="Q270" s="132"/>
      <c r="R270" s="132"/>
      <c r="S270" s="132"/>
      <c r="T270" s="134"/>
      <c r="U270" s="137"/>
      <c r="V270" s="27"/>
      <c r="W270" s="28" t="str">
        <f>IFERROR(_xlfn.XLOOKUP(H270,Collection[Display],Collection[Line])&amp;_xlfn.XLOOKUP(I270,Sleeve[Display],Sleeve[Sleeve]),"")</f>
        <v/>
      </c>
    </row>
    <row r="271" spans="1:23" s="28" customFormat="1" ht="30" customHeight="1">
      <c r="A271" s="27"/>
      <c r="B271" s="135">
        <v>256</v>
      </c>
      <c r="C271" s="136"/>
      <c r="D271" s="138"/>
      <c r="E271" s="131"/>
      <c r="F271" s="131"/>
      <c r="G271" s="131"/>
      <c r="H271" s="131"/>
      <c r="I271" s="132"/>
      <c r="J271" s="131"/>
      <c r="K271" s="139"/>
      <c r="L271" s="131"/>
      <c r="M271" s="131"/>
      <c r="N271" s="131"/>
      <c r="O271" s="132"/>
      <c r="P271" s="132"/>
      <c r="Q271" s="132"/>
      <c r="R271" s="132"/>
      <c r="S271" s="132"/>
      <c r="T271" s="134"/>
      <c r="U271" s="137"/>
      <c r="V271" s="27"/>
      <c r="W271" s="28" t="str">
        <f>IFERROR(_xlfn.XLOOKUP(H271,Collection[Display],Collection[Line])&amp;_xlfn.XLOOKUP(I271,Sleeve[Display],Sleeve[Sleeve]),"")</f>
        <v/>
      </c>
    </row>
    <row r="272" spans="1:23" s="28" customFormat="1" ht="30" customHeight="1">
      <c r="A272" s="27"/>
      <c r="B272" s="135">
        <v>257</v>
      </c>
      <c r="C272" s="136"/>
      <c r="D272" s="138"/>
      <c r="E272" s="131"/>
      <c r="F272" s="131"/>
      <c r="G272" s="131"/>
      <c r="H272" s="131"/>
      <c r="I272" s="132"/>
      <c r="J272" s="131"/>
      <c r="K272" s="139"/>
      <c r="L272" s="131"/>
      <c r="M272" s="131"/>
      <c r="N272" s="131"/>
      <c r="O272" s="132"/>
      <c r="P272" s="132"/>
      <c r="Q272" s="132"/>
      <c r="R272" s="132"/>
      <c r="S272" s="132"/>
      <c r="T272" s="134"/>
      <c r="U272" s="137"/>
      <c r="V272" s="27"/>
      <c r="W272" s="28" t="str">
        <f>IFERROR(_xlfn.XLOOKUP(H272,Collection[Display],Collection[Line])&amp;_xlfn.XLOOKUP(I272,Sleeve[Display],Sleeve[Sleeve]),"")</f>
        <v/>
      </c>
    </row>
    <row r="273" spans="1:23" s="28" customFormat="1" ht="30" customHeight="1">
      <c r="A273" s="27"/>
      <c r="B273" s="135">
        <v>258</v>
      </c>
      <c r="C273" s="136"/>
      <c r="D273" s="138"/>
      <c r="E273" s="131"/>
      <c r="F273" s="131"/>
      <c r="G273" s="131"/>
      <c r="H273" s="131"/>
      <c r="I273" s="132"/>
      <c r="J273" s="131"/>
      <c r="K273" s="139"/>
      <c r="L273" s="131"/>
      <c r="M273" s="131"/>
      <c r="N273" s="131"/>
      <c r="O273" s="132"/>
      <c r="P273" s="132"/>
      <c r="Q273" s="132"/>
      <c r="R273" s="132"/>
      <c r="S273" s="132"/>
      <c r="T273" s="134"/>
      <c r="U273" s="137"/>
      <c r="V273" s="27"/>
      <c r="W273" s="28" t="str">
        <f>IFERROR(_xlfn.XLOOKUP(H273,Collection[Display],Collection[Line])&amp;_xlfn.XLOOKUP(I273,Sleeve[Display],Sleeve[Sleeve]),"")</f>
        <v/>
      </c>
    </row>
    <row r="274" spans="1:23" s="28" customFormat="1" ht="30" customHeight="1">
      <c r="A274" s="27"/>
      <c r="B274" s="135">
        <v>259</v>
      </c>
      <c r="C274" s="136"/>
      <c r="D274" s="138"/>
      <c r="E274" s="131"/>
      <c r="F274" s="131"/>
      <c r="G274" s="131"/>
      <c r="H274" s="131"/>
      <c r="I274" s="132"/>
      <c r="J274" s="131"/>
      <c r="K274" s="139"/>
      <c r="L274" s="131"/>
      <c r="M274" s="131"/>
      <c r="N274" s="131"/>
      <c r="O274" s="132"/>
      <c r="P274" s="132"/>
      <c r="Q274" s="132"/>
      <c r="R274" s="132"/>
      <c r="S274" s="132"/>
      <c r="T274" s="134"/>
      <c r="U274" s="137"/>
      <c r="V274" s="27"/>
      <c r="W274" s="28" t="str">
        <f>IFERROR(_xlfn.XLOOKUP(H274,Collection[Display],Collection[Line])&amp;_xlfn.XLOOKUP(I274,Sleeve[Display],Sleeve[Sleeve]),"")</f>
        <v/>
      </c>
    </row>
    <row r="275" spans="1:23" s="28" customFormat="1" ht="30" customHeight="1">
      <c r="A275" s="27"/>
      <c r="B275" s="135">
        <v>260</v>
      </c>
      <c r="C275" s="136"/>
      <c r="D275" s="138"/>
      <c r="E275" s="131"/>
      <c r="F275" s="131"/>
      <c r="G275" s="131"/>
      <c r="H275" s="131"/>
      <c r="I275" s="132"/>
      <c r="J275" s="131"/>
      <c r="K275" s="139"/>
      <c r="L275" s="131"/>
      <c r="M275" s="131"/>
      <c r="N275" s="131"/>
      <c r="O275" s="132"/>
      <c r="P275" s="132"/>
      <c r="Q275" s="132"/>
      <c r="R275" s="132"/>
      <c r="S275" s="132"/>
      <c r="T275" s="134"/>
      <c r="U275" s="137"/>
      <c r="V275" s="27"/>
      <c r="W275" s="28" t="str">
        <f>IFERROR(_xlfn.XLOOKUP(H275,Collection[Display],Collection[Line])&amp;_xlfn.XLOOKUP(I275,Sleeve[Display],Sleeve[Sleeve]),"")</f>
        <v/>
      </c>
    </row>
    <row r="276" spans="1:23" s="28" customFormat="1" ht="30" customHeight="1">
      <c r="A276" s="27"/>
      <c r="B276" s="135">
        <v>261</v>
      </c>
      <c r="C276" s="136"/>
      <c r="D276" s="138"/>
      <c r="E276" s="131"/>
      <c r="F276" s="131"/>
      <c r="G276" s="131"/>
      <c r="H276" s="131"/>
      <c r="I276" s="132"/>
      <c r="J276" s="131"/>
      <c r="K276" s="139"/>
      <c r="L276" s="131"/>
      <c r="M276" s="131"/>
      <c r="N276" s="131"/>
      <c r="O276" s="132"/>
      <c r="P276" s="132"/>
      <c r="Q276" s="132"/>
      <c r="R276" s="132"/>
      <c r="S276" s="132"/>
      <c r="T276" s="134"/>
      <c r="U276" s="137"/>
      <c r="V276" s="27"/>
      <c r="W276" s="28" t="str">
        <f>IFERROR(_xlfn.XLOOKUP(H276,Collection[Display],Collection[Line])&amp;_xlfn.XLOOKUP(I276,Sleeve[Display],Sleeve[Sleeve]),"")</f>
        <v/>
      </c>
    </row>
    <row r="277" spans="1:23" s="28" customFormat="1" ht="30" customHeight="1">
      <c r="A277" s="27"/>
      <c r="B277" s="135">
        <v>262</v>
      </c>
      <c r="C277" s="136"/>
      <c r="D277" s="138"/>
      <c r="E277" s="131"/>
      <c r="F277" s="131"/>
      <c r="G277" s="131"/>
      <c r="H277" s="131"/>
      <c r="I277" s="132"/>
      <c r="J277" s="131"/>
      <c r="K277" s="139"/>
      <c r="L277" s="131"/>
      <c r="M277" s="131"/>
      <c r="N277" s="131"/>
      <c r="O277" s="132"/>
      <c r="P277" s="132"/>
      <c r="Q277" s="132"/>
      <c r="R277" s="132"/>
      <c r="S277" s="132"/>
      <c r="T277" s="134"/>
      <c r="U277" s="137"/>
      <c r="V277" s="27"/>
      <c r="W277" s="28" t="str">
        <f>IFERROR(_xlfn.XLOOKUP(H277,Collection[Display],Collection[Line])&amp;_xlfn.XLOOKUP(I277,Sleeve[Display],Sleeve[Sleeve]),"")</f>
        <v/>
      </c>
    </row>
    <row r="278" spans="1:23" s="28" customFormat="1" ht="30" customHeight="1">
      <c r="A278" s="27"/>
      <c r="B278" s="135">
        <v>263</v>
      </c>
      <c r="C278" s="136"/>
      <c r="D278" s="138"/>
      <c r="E278" s="131"/>
      <c r="F278" s="131"/>
      <c r="G278" s="131"/>
      <c r="H278" s="131"/>
      <c r="I278" s="132"/>
      <c r="J278" s="131"/>
      <c r="K278" s="139"/>
      <c r="L278" s="131"/>
      <c r="M278" s="131"/>
      <c r="N278" s="131"/>
      <c r="O278" s="132"/>
      <c r="P278" s="132"/>
      <c r="Q278" s="132"/>
      <c r="R278" s="132"/>
      <c r="S278" s="132"/>
      <c r="T278" s="134"/>
      <c r="U278" s="137"/>
      <c r="V278" s="27"/>
      <c r="W278" s="28" t="str">
        <f>IFERROR(_xlfn.XLOOKUP(H278,Collection[Display],Collection[Line])&amp;_xlfn.XLOOKUP(I278,Sleeve[Display],Sleeve[Sleeve]),"")</f>
        <v/>
      </c>
    </row>
    <row r="279" spans="1:23" s="28" customFormat="1" ht="30" customHeight="1">
      <c r="A279" s="27"/>
      <c r="B279" s="135">
        <v>264</v>
      </c>
      <c r="C279" s="136"/>
      <c r="D279" s="138"/>
      <c r="E279" s="131"/>
      <c r="F279" s="131"/>
      <c r="G279" s="131"/>
      <c r="H279" s="131"/>
      <c r="I279" s="132"/>
      <c r="J279" s="131"/>
      <c r="K279" s="139"/>
      <c r="L279" s="131"/>
      <c r="M279" s="131"/>
      <c r="N279" s="131"/>
      <c r="O279" s="132"/>
      <c r="P279" s="132"/>
      <c r="Q279" s="132"/>
      <c r="R279" s="132"/>
      <c r="S279" s="132"/>
      <c r="T279" s="134"/>
      <c r="U279" s="137"/>
      <c r="V279" s="27"/>
      <c r="W279" s="28" t="str">
        <f>IFERROR(_xlfn.XLOOKUP(H279,Collection[Display],Collection[Line])&amp;_xlfn.XLOOKUP(I279,Sleeve[Display],Sleeve[Sleeve]),"")</f>
        <v/>
      </c>
    </row>
    <row r="280" spans="1:23" s="28" customFormat="1" ht="30" customHeight="1">
      <c r="A280" s="27"/>
      <c r="B280" s="135">
        <v>265</v>
      </c>
      <c r="C280" s="136"/>
      <c r="D280" s="138"/>
      <c r="E280" s="131"/>
      <c r="F280" s="131"/>
      <c r="G280" s="131"/>
      <c r="H280" s="131"/>
      <c r="I280" s="132"/>
      <c r="J280" s="131"/>
      <c r="K280" s="139"/>
      <c r="L280" s="131"/>
      <c r="M280" s="131"/>
      <c r="N280" s="131"/>
      <c r="O280" s="132"/>
      <c r="P280" s="132"/>
      <c r="Q280" s="132"/>
      <c r="R280" s="132"/>
      <c r="S280" s="132"/>
      <c r="T280" s="134"/>
      <c r="U280" s="137"/>
      <c r="V280" s="27"/>
      <c r="W280" s="28" t="str">
        <f>IFERROR(_xlfn.XLOOKUP(H280,Collection[Display],Collection[Line])&amp;_xlfn.XLOOKUP(I280,Sleeve[Display],Sleeve[Sleeve]),"")</f>
        <v/>
      </c>
    </row>
    <row r="281" spans="1:23" s="28" customFormat="1" ht="30" customHeight="1">
      <c r="A281" s="27"/>
      <c r="B281" s="135">
        <v>266</v>
      </c>
      <c r="C281" s="136"/>
      <c r="D281" s="138"/>
      <c r="E281" s="131"/>
      <c r="F281" s="131"/>
      <c r="G281" s="131"/>
      <c r="H281" s="131"/>
      <c r="I281" s="132"/>
      <c r="J281" s="131"/>
      <c r="K281" s="139"/>
      <c r="L281" s="131"/>
      <c r="M281" s="131"/>
      <c r="N281" s="131"/>
      <c r="O281" s="132"/>
      <c r="P281" s="132"/>
      <c r="Q281" s="132"/>
      <c r="R281" s="132"/>
      <c r="S281" s="132"/>
      <c r="T281" s="134"/>
      <c r="U281" s="137"/>
      <c r="V281" s="27"/>
      <c r="W281" s="28" t="str">
        <f>IFERROR(_xlfn.XLOOKUP(H281,Collection[Display],Collection[Line])&amp;_xlfn.XLOOKUP(I281,Sleeve[Display],Sleeve[Sleeve]),"")</f>
        <v/>
      </c>
    </row>
    <row r="282" spans="1:23" s="28" customFormat="1" ht="30" customHeight="1">
      <c r="A282" s="27"/>
      <c r="B282" s="135">
        <v>267</v>
      </c>
      <c r="C282" s="136"/>
      <c r="D282" s="138"/>
      <c r="E282" s="131"/>
      <c r="F282" s="131"/>
      <c r="G282" s="131"/>
      <c r="H282" s="131"/>
      <c r="I282" s="132"/>
      <c r="J282" s="131"/>
      <c r="K282" s="139"/>
      <c r="L282" s="131"/>
      <c r="M282" s="131"/>
      <c r="N282" s="131"/>
      <c r="O282" s="132"/>
      <c r="P282" s="132"/>
      <c r="Q282" s="132"/>
      <c r="R282" s="132"/>
      <c r="S282" s="132"/>
      <c r="T282" s="134"/>
      <c r="U282" s="137"/>
      <c r="V282" s="27"/>
      <c r="W282" s="28" t="str">
        <f>IFERROR(_xlfn.XLOOKUP(H282,Collection[Display],Collection[Line])&amp;_xlfn.XLOOKUP(I282,Sleeve[Display],Sleeve[Sleeve]),"")</f>
        <v/>
      </c>
    </row>
    <row r="283" spans="1:23" s="28" customFormat="1" ht="30" customHeight="1">
      <c r="A283" s="27"/>
      <c r="B283" s="135">
        <v>268</v>
      </c>
      <c r="C283" s="136"/>
      <c r="D283" s="138"/>
      <c r="E283" s="131"/>
      <c r="F283" s="131"/>
      <c r="G283" s="131"/>
      <c r="H283" s="131"/>
      <c r="I283" s="132"/>
      <c r="J283" s="131"/>
      <c r="K283" s="139"/>
      <c r="L283" s="131"/>
      <c r="M283" s="131"/>
      <c r="N283" s="131"/>
      <c r="O283" s="132"/>
      <c r="P283" s="132"/>
      <c r="Q283" s="132"/>
      <c r="R283" s="132"/>
      <c r="S283" s="132"/>
      <c r="T283" s="134"/>
      <c r="U283" s="137"/>
      <c r="V283" s="27"/>
      <c r="W283" s="28" t="str">
        <f>IFERROR(_xlfn.XLOOKUP(H283,Collection[Display],Collection[Line])&amp;_xlfn.XLOOKUP(I283,Sleeve[Display],Sleeve[Sleeve]),"")</f>
        <v/>
      </c>
    </row>
    <row r="284" spans="1:23" s="28" customFormat="1" ht="30" customHeight="1">
      <c r="A284" s="27"/>
      <c r="B284" s="135">
        <v>269</v>
      </c>
      <c r="C284" s="136"/>
      <c r="D284" s="138"/>
      <c r="E284" s="131"/>
      <c r="F284" s="131"/>
      <c r="G284" s="131"/>
      <c r="H284" s="131"/>
      <c r="I284" s="132"/>
      <c r="J284" s="131"/>
      <c r="K284" s="139"/>
      <c r="L284" s="131"/>
      <c r="M284" s="131"/>
      <c r="N284" s="131"/>
      <c r="O284" s="132"/>
      <c r="P284" s="132"/>
      <c r="Q284" s="132"/>
      <c r="R284" s="132"/>
      <c r="S284" s="132"/>
      <c r="T284" s="134"/>
      <c r="U284" s="137"/>
      <c r="V284" s="27"/>
      <c r="W284" s="28" t="str">
        <f>IFERROR(_xlfn.XLOOKUP(H284,Collection[Display],Collection[Line])&amp;_xlfn.XLOOKUP(I284,Sleeve[Display],Sleeve[Sleeve]),"")</f>
        <v/>
      </c>
    </row>
    <row r="285" spans="1:23" s="28" customFormat="1" ht="30" customHeight="1">
      <c r="A285" s="27"/>
      <c r="B285" s="135">
        <v>270</v>
      </c>
      <c r="C285" s="136"/>
      <c r="D285" s="138"/>
      <c r="E285" s="131"/>
      <c r="F285" s="131"/>
      <c r="G285" s="131"/>
      <c r="H285" s="131"/>
      <c r="I285" s="132"/>
      <c r="J285" s="131"/>
      <c r="K285" s="139"/>
      <c r="L285" s="131"/>
      <c r="M285" s="131"/>
      <c r="N285" s="131"/>
      <c r="O285" s="132"/>
      <c r="P285" s="132"/>
      <c r="Q285" s="132"/>
      <c r="R285" s="132"/>
      <c r="S285" s="132"/>
      <c r="T285" s="134"/>
      <c r="U285" s="137"/>
      <c r="V285" s="27"/>
      <c r="W285" s="28" t="str">
        <f>IFERROR(_xlfn.XLOOKUP(H285,Collection[Display],Collection[Line])&amp;_xlfn.XLOOKUP(I285,Sleeve[Display],Sleeve[Sleeve]),"")</f>
        <v/>
      </c>
    </row>
    <row r="286" spans="1:23" s="28" customFormat="1" ht="30" customHeight="1">
      <c r="A286" s="27"/>
      <c r="B286" s="135">
        <v>271</v>
      </c>
      <c r="C286" s="136"/>
      <c r="D286" s="138"/>
      <c r="E286" s="131"/>
      <c r="F286" s="131"/>
      <c r="G286" s="131"/>
      <c r="H286" s="131"/>
      <c r="I286" s="132"/>
      <c r="J286" s="131"/>
      <c r="K286" s="139"/>
      <c r="L286" s="131"/>
      <c r="M286" s="131"/>
      <c r="N286" s="131"/>
      <c r="O286" s="132"/>
      <c r="P286" s="132"/>
      <c r="Q286" s="132"/>
      <c r="R286" s="132"/>
      <c r="S286" s="132"/>
      <c r="T286" s="134"/>
      <c r="U286" s="137"/>
      <c r="V286" s="27"/>
      <c r="W286" s="28" t="str">
        <f>IFERROR(_xlfn.XLOOKUP(H286,Collection[Display],Collection[Line])&amp;_xlfn.XLOOKUP(I286,Sleeve[Display],Sleeve[Sleeve]),"")</f>
        <v/>
      </c>
    </row>
    <row r="287" spans="1:23" s="28" customFormat="1" ht="30" customHeight="1">
      <c r="A287" s="27"/>
      <c r="B287" s="135">
        <v>272</v>
      </c>
      <c r="C287" s="136"/>
      <c r="D287" s="138"/>
      <c r="E287" s="131"/>
      <c r="F287" s="131"/>
      <c r="G287" s="131"/>
      <c r="H287" s="131"/>
      <c r="I287" s="132"/>
      <c r="J287" s="131"/>
      <c r="K287" s="139"/>
      <c r="L287" s="131"/>
      <c r="M287" s="131"/>
      <c r="N287" s="131"/>
      <c r="O287" s="132"/>
      <c r="P287" s="132"/>
      <c r="Q287" s="132"/>
      <c r="R287" s="132"/>
      <c r="S287" s="132"/>
      <c r="T287" s="134"/>
      <c r="U287" s="137"/>
      <c r="V287" s="27"/>
      <c r="W287" s="28" t="str">
        <f>IFERROR(_xlfn.XLOOKUP(H287,Collection[Display],Collection[Line])&amp;_xlfn.XLOOKUP(I287,Sleeve[Display],Sleeve[Sleeve]),"")</f>
        <v/>
      </c>
    </row>
    <row r="288" spans="1:23" s="28" customFormat="1" ht="30" customHeight="1">
      <c r="A288" s="27"/>
      <c r="B288" s="135">
        <v>273</v>
      </c>
      <c r="C288" s="136"/>
      <c r="D288" s="138"/>
      <c r="E288" s="131"/>
      <c r="F288" s="131"/>
      <c r="G288" s="131"/>
      <c r="H288" s="131"/>
      <c r="I288" s="132"/>
      <c r="J288" s="131"/>
      <c r="K288" s="139"/>
      <c r="L288" s="131"/>
      <c r="M288" s="131"/>
      <c r="N288" s="131"/>
      <c r="O288" s="132"/>
      <c r="P288" s="132"/>
      <c r="Q288" s="132"/>
      <c r="R288" s="132"/>
      <c r="S288" s="132"/>
      <c r="T288" s="134"/>
      <c r="U288" s="137"/>
      <c r="V288" s="27"/>
      <c r="W288" s="28" t="str">
        <f>IFERROR(_xlfn.XLOOKUP(H288,Collection[Display],Collection[Line])&amp;_xlfn.XLOOKUP(I288,Sleeve[Display],Sleeve[Sleeve]),"")</f>
        <v/>
      </c>
    </row>
    <row r="289" spans="1:23" s="28" customFormat="1" ht="30" customHeight="1">
      <c r="A289" s="27"/>
      <c r="B289" s="135">
        <v>274</v>
      </c>
      <c r="C289" s="136"/>
      <c r="D289" s="138"/>
      <c r="E289" s="131"/>
      <c r="F289" s="131"/>
      <c r="G289" s="131"/>
      <c r="H289" s="131"/>
      <c r="I289" s="132"/>
      <c r="J289" s="131"/>
      <c r="K289" s="139"/>
      <c r="L289" s="131"/>
      <c r="M289" s="131"/>
      <c r="N289" s="131"/>
      <c r="O289" s="132"/>
      <c r="P289" s="132"/>
      <c r="Q289" s="132"/>
      <c r="R289" s="132"/>
      <c r="S289" s="132"/>
      <c r="T289" s="134"/>
      <c r="U289" s="137"/>
      <c r="V289" s="27"/>
      <c r="W289" s="28" t="str">
        <f>IFERROR(_xlfn.XLOOKUP(H289,Collection[Display],Collection[Line])&amp;_xlfn.XLOOKUP(I289,Sleeve[Display],Sleeve[Sleeve]),"")</f>
        <v/>
      </c>
    </row>
    <row r="290" spans="1:23" s="28" customFormat="1" ht="30" customHeight="1">
      <c r="A290" s="27"/>
      <c r="B290" s="135">
        <v>275</v>
      </c>
      <c r="C290" s="136"/>
      <c r="D290" s="138"/>
      <c r="E290" s="131"/>
      <c r="F290" s="131"/>
      <c r="G290" s="131"/>
      <c r="H290" s="131"/>
      <c r="I290" s="132"/>
      <c r="J290" s="131"/>
      <c r="K290" s="139"/>
      <c r="L290" s="131"/>
      <c r="M290" s="131"/>
      <c r="N290" s="131"/>
      <c r="O290" s="132"/>
      <c r="P290" s="132"/>
      <c r="Q290" s="132"/>
      <c r="R290" s="132"/>
      <c r="S290" s="132"/>
      <c r="T290" s="134"/>
      <c r="U290" s="137"/>
      <c r="V290" s="27"/>
      <c r="W290" s="28" t="str">
        <f>IFERROR(_xlfn.XLOOKUP(H290,Collection[Display],Collection[Line])&amp;_xlfn.XLOOKUP(I290,Sleeve[Display],Sleeve[Sleeve]),"")</f>
        <v/>
      </c>
    </row>
    <row r="291" spans="1:23" s="28" customFormat="1" ht="30" customHeight="1">
      <c r="A291" s="27"/>
      <c r="B291" s="135">
        <v>276</v>
      </c>
      <c r="C291" s="136"/>
      <c r="D291" s="138"/>
      <c r="E291" s="131"/>
      <c r="F291" s="131"/>
      <c r="G291" s="131"/>
      <c r="H291" s="131"/>
      <c r="I291" s="132"/>
      <c r="J291" s="131"/>
      <c r="K291" s="139"/>
      <c r="L291" s="131"/>
      <c r="M291" s="131"/>
      <c r="N291" s="131"/>
      <c r="O291" s="132"/>
      <c r="P291" s="132"/>
      <c r="Q291" s="132"/>
      <c r="R291" s="132"/>
      <c r="S291" s="132"/>
      <c r="T291" s="134"/>
      <c r="U291" s="137"/>
      <c r="V291" s="27"/>
      <c r="W291" s="28" t="str">
        <f>IFERROR(_xlfn.XLOOKUP(H291,Collection[Display],Collection[Line])&amp;_xlfn.XLOOKUP(I291,Sleeve[Display],Sleeve[Sleeve]),"")</f>
        <v/>
      </c>
    </row>
    <row r="292" spans="1:23" s="28" customFormat="1" ht="30" customHeight="1">
      <c r="A292" s="27"/>
      <c r="B292" s="135">
        <v>277</v>
      </c>
      <c r="C292" s="136"/>
      <c r="D292" s="138"/>
      <c r="E292" s="131"/>
      <c r="F292" s="131"/>
      <c r="G292" s="131"/>
      <c r="H292" s="131"/>
      <c r="I292" s="132"/>
      <c r="J292" s="131"/>
      <c r="K292" s="139"/>
      <c r="L292" s="131"/>
      <c r="M292" s="131"/>
      <c r="N292" s="131"/>
      <c r="O292" s="132"/>
      <c r="P292" s="132"/>
      <c r="Q292" s="132"/>
      <c r="R292" s="132"/>
      <c r="S292" s="132"/>
      <c r="T292" s="134"/>
      <c r="U292" s="137"/>
      <c r="V292" s="27"/>
      <c r="W292" s="28" t="str">
        <f>IFERROR(_xlfn.XLOOKUP(H292,Collection[Display],Collection[Line])&amp;_xlfn.XLOOKUP(I292,Sleeve[Display],Sleeve[Sleeve]),"")</f>
        <v/>
      </c>
    </row>
    <row r="293" spans="1:23" s="28" customFormat="1" ht="30" customHeight="1">
      <c r="A293" s="27"/>
      <c r="B293" s="135">
        <v>278</v>
      </c>
      <c r="C293" s="136"/>
      <c r="D293" s="138"/>
      <c r="E293" s="131"/>
      <c r="F293" s="131"/>
      <c r="G293" s="131"/>
      <c r="H293" s="131"/>
      <c r="I293" s="132"/>
      <c r="J293" s="131"/>
      <c r="K293" s="139"/>
      <c r="L293" s="131"/>
      <c r="M293" s="131"/>
      <c r="N293" s="131"/>
      <c r="O293" s="132"/>
      <c r="P293" s="132"/>
      <c r="Q293" s="132"/>
      <c r="R293" s="132"/>
      <c r="S293" s="132"/>
      <c r="T293" s="134"/>
      <c r="U293" s="137"/>
      <c r="V293" s="27"/>
      <c r="W293" s="28" t="str">
        <f>IFERROR(_xlfn.XLOOKUP(H293,Collection[Display],Collection[Line])&amp;_xlfn.XLOOKUP(I293,Sleeve[Display],Sleeve[Sleeve]),"")</f>
        <v/>
      </c>
    </row>
    <row r="294" spans="1:23" s="28" customFormat="1" ht="30" customHeight="1">
      <c r="A294" s="27"/>
      <c r="B294" s="135">
        <v>279</v>
      </c>
      <c r="C294" s="136"/>
      <c r="D294" s="138"/>
      <c r="E294" s="131"/>
      <c r="F294" s="131"/>
      <c r="G294" s="131"/>
      <c r="H294" s="131"/>
      <c r="I294" s="132"/>
      <c r="J294" s="131"/>
      <c r="K294" s="139"/>
      <c r="L294" s="131"/>
      <c r="M294" s="131"/>
      <c r="N294" s="131"/>
      <c r="O294" s="132"/>
      <c r="P294" s="132"/>
      <c r="Q294" s="132"/>
      <c r="R294" s="132"/>
      <c r="S294" s="132"/>
      <c r="T294" s="134"/>
      <c r="U294" s="137"/>
      <c r="V294" s="27"/>
      <c r="W294" s="28" t="str">
        <f>IFERROR(_xlfn.XLOOKUP(H294,Collection[Display],Collection[Line])&amp;_xlfn.XLOOKUP(I294,Sleeve[Display],Sleeve[Sleeve]),"")</f>
        <v/>
      </c>
    </row>
    <row r="295" spans="1:23" s="28" customFormat="1" ht="30" customHeight="1">
      <c r="A295" s="27"/>
      <c r="B295" s="135">
        <v>280</v>
      </c>
      <c r="C295" s="136"/>
      <c r="D295" s="138"/>
      <c r="E295" s="131"/>
      <c r="F295" s="131"/>
      <c r="G295" s="131"/>
      <c r="H295" s="131"/>
      <c r="I295" s="132"/>
      <c r="J295" s="131"/>
      <c r="K295" s="139"/>
      <c r="L295" s="131"/>
      <c r="M295" s="131"/>
      <c r="N295" s="131"/>
      <c r="O295" s="132"/>
      <c r="P295" s="132"/>
      <c r="Q295" s="132"/>
      <c r="R295" s="132"/>
      <c r="S295" s="132"/>
      <c r="T295" s="134"/>
      <c r="U295" s="137"/>
      <c r="V295" s="27"/>
      <c r="W295" s="28" t="str">
        <f>IFERROR(_xlfn.XLOOKUP(H295,Collection[Display],Collection[Line])&amp;_xlfn.XLOOKUP(I295,Sleeve[Display],Sleeve[Sleeve]),"")</f>
        <v/>
      </c>
    </row>
    <row r="296" spans="1:23" s="28" customFormat="1" ht="30" customHeight="1">
      <c r="A296" s="27"/>
      <c r="B296" s="135">
        <v>281</v>
      </c>
      <c r="C296" s="136"/>
      <c r="D296" s="138"/>
      <c r="E296" s="131"/>
      <c r="F296" s="131"/>
      <c r="G296" s="131"/>
      <c r="H296" s="131"/>
      <c r="I296" s="132"/>
      <c r="J296" s="131"/>
      <c r="K296" s="139"/>
      <c r="L296" s="131"/>
      <c r="M296" s="131"/>
      <c r="N296" s="131"/>
      <c r="O296" s="132"/>
      <c r="P296" s="132"/>
      <c r="Q296" s="132"/>
      <c r="R296" s="132"/>
      <c r="S296" s="132"/>
      <c r="T296" s="134"/>
      <c r="U296" s="137"/>
      <c r="V296" s="27"/>
      <c r="W296" s="28" t="str">
        <f>IFERROR(_xlfn.XLOOKUP(H296,Collection[Display],Collection[Line])&amp;_xlfn.XLOOKUP(I296,Sleeve[Display],Sleeve[Sleeve]),"")</f>
        <v/>
      </c>
    </row>
    <row r="297" spans="1:23" s="28" customFormat="1" ht="30" customHeight="1">
      <c r="A297" s="27"/>
      <c r="B297" s="135">
        <v>282</v>
      </c>
      <c r="C297" s="136"/>
      <c r="D297" s="138"/>
      <c r="E297" s="131"/>
      <c r="F297" s="131"/>
      <c r="G297" s="131"/>
      <c r="H297" s="131"/>
      <c r="I297" s="132"/>
      <c r="J297" s="131"/>
      <c r="K297" s="139"/>
      <c r="L297" s="131"/>
      <c r="M297" s="131"/>
      <c r="N297" s="131"/>
      <c r="O297" s="132"/>
      <c r="P297" s="132"/>
      <c r="Q297" s="132"/>
      <c r="R297" s="132"/>
      <c r="S297" s="132"/>
      <c r="T297" s="134"/>
      <c r="U297" s="137"/>
      <c r="V297" s="27"/>
      <c r="W297" s="28" t="str">
        <f>IFERROR(_xlfn.XLOOKUP(H297,Collection[Display],Collection[Line])&amp;_xlfn.XLOOKUP(I297,Sleeve[Display],Sleeve[Sleeve]),"")</f>
        <v/>
      </c>
    </row>
    <row r="298" spans="1:23" s="28" customFormat="1" ht="30" customHeight="1">
      <c r="A298" s="27"/>
      <c r="B298" s="135">
        <v>283</v>
      </c>
      <c r="C298" s="136"/>
      <c r="D298" s="138"/>
      <c r="E298" s="131"/>
      <c r="F298" s="131"/>
      <c r="G298" s="131"/>
      <c r="H298" s="131"/>
      <c r="I298" s="132"/>
      <c r="J298" s="131"/>
      <c r="K298" s="139"/>
      <c r="L298" s="131"/>
      <c r="M298" s="131"/>
      <c r="N298" s="131"/>
      <c r="O298" s="132"/>
      <c r="P298" s="132"/>
      <c r="Q298" s="132"/>
      <c r="R298" s="132"/>
      <c r="S298" s="132"/>
      <c r="T298" s="134"/>
      <c r="U298" s="137"/>
      <c r="V298" s="27"/>
      <c r="W298" s="28" t="str">
        <f>IFERROR(_xlfn.XLOOKUP(H298,Collection[Display],Collection[Line])&amp;_xlfn.XLOOKUP(I298,Sleeve[Display],Sleeve[Sleeve]),"")</f>
        <v/>
      </c>
    </row>
    <row r="299" spans="1:23" s="28" customFormat="1" ht="30" customHeight="1">
      <c r="A299" s="27"/>
      <c r="B299" s="135">
        <v>284</v>
      </c>
      <c r="C299" s="136"/>
      <c r="D299" s="138"/>
      <c r="E299" s="131"/>
      <c r="F299" s="131"/>
      <c r="G299" s="131"/>
      <c r="H299" s="131"/>
      <c r="I299" s="132"/>
      <c r="J299" s="131"/>
      <c r="K299" s="139"/>
      <c r="L299" s="131"/>
      <c r="M299" s="131"/>
      <c r="N299" s="131"/>
      <c r="O299" s="132"/>
      <c r="P299" s="132"/>
      <c r="Q299" s="132"/>
      <c r="R299" s="132"/>
      <c r="S299" s="132"/>
      <c r="T299" s="134"/>
      <c r="U299" s="137"/>
      <c r="V299" s="27"/>
      <c r="W299" s="28" t="str">
        <f>IFERROR(_xlfn.XLOOKUP(H299,Collection[Display],Collection[Line])&amp;_xlfn.XLOOKUP(I299,Sleeve[Display],Sleeve[Sleeve]),"")</f>
        <v/>
      </c>
    </row>
    <row r="300" spans="1:23" s="28" customFormat="1" ht="30" customHeight="1">
      <c r="A300" s="27"/>
      <c r="B300" s="135">
        <v>285</v>
      </c>
      <c r="C300" s="136"/>
      <c r="D300" s="138"/>
      <c r="E300" s="131"/>
      <c r="F300" s="131"/>
      <c r="G300" s="131"/>
      <c r="H300" s="131"/>
      <c r="I300" s="132"/>
      <c r="J300" s="131"/>
      <c r="K300" s="139"/>
      <c r="L300" s="131"/>
      <c r="M300" s="131"/>
      <c r="N300" s="131"/>
      <c r="O300" s="132"/>
      <c r="P300" s="132"/>
      <c r="Q300" s="132"/>
      <c r="R300" s="132"/>
      <c r="S300" s="132"/>
      <c r="T300" s="134"/>
      <c r="U300" s="137"/>
      <c r="V300" s="27"/>
      <c r="W300" s="28" t="str">
        <f>IFERROR(_xlfn.XLOOKUP(H300,Collection[Display],Collection[Line])&amp;_xlfn.XLOOKUP(I300,Sleeve[Display],Sleeve[Sleeve]),"")</f>
        <v/>
      </c>
    </row>
    <row r="301" spans="1:23" s="28" customFormat="1" ht="30" customHeight="1">
      <c r="A301" s="27"/>
      <c r="B301" s="135">
        <v>286</v>
      </c>
      <c r="C301" s="136"/>
      <c r="D301" s="138"/>
      <c r="E301" s="131"/>
      <c r="F301" s="131"/>
      <c r="G301" s="131"/>
      <c r="H301" s="131"/>
      <c r="I301" s="132"/>
      <c r="J301" s="131"/>
      <c r="K301" s="139"/>
      <c r="L301" s="131"/>
      <c r="M301" s="131"/>
      <c r="N301" s="131"/>
      <c r="O301" s="132"/>
      <c r="P301" s="132"/>
      <c r="Q301" s="132"/>
      <c r="R301" s="132"/>
      <c r="S301" s="132"/>
      <c r="T301" s="134"/>
      <c r="U301" s="137"/>
      <c r="V301" s="27"/>
      <c r="W301" s="28" t="str">
        <f>IFERROR(_xlfn.XLOOKUP(H301,Collection[Display],Collection[Line])&amp;_xlfn.XLOOKUP(I301,Sleeve[Display],Sleeve[Sleeve]),"")</f>
        <v/>
      </c>
    </row>
    <row r="302" spans="1:23" s="28" customFormat="1" ht="30" customHeight="1">
      <c r="A302" s="27"/>
      <c r="B302" s="135">
        <v>287</v>
      </c>
      <c r="C302" s="136"/>
      <c r="D302" s="138"/>
      <c r="E302" s="131"/>
      <c r="F302" s="131"/>
      <c r="G302" s="131"/>
      <c r="H302" s="131"/>
      <c r="I302" s="132"/>
      <c r="J302" s="131"/>
      <c r="K302" s="139"/>
      <c r="L302" s="131"/>
      <c r="M302" s="131"/>
      <c r="N302" s="131"/>
      <c r="O302" s="132"/>
      <c r="P302" s="132"/>
      <c r="Q302" s="132"/>
      <c r="R302" s="132"/>
      <c r="S302" s="132"/>
      <c r="T302" s="134"/>
      <c r="U302" s="137"/>
      <c r="V302" s="27"/>
      <c r="W302" s="28" t="str">
        <f>IFERROR(_xlfn.XLOOKUP(H302,Collection[Display],Collection[Line])&amp;_xlfn.XLOOKUP(I302,Sleeve[Display],Sleeve[Sleeve]),"")</f>
        <v/>
      </c>
    </row>
    <row r="303" spans="1:23" s="28" customFormat="1" ht="30" customHeight="1">
      <c r="A303" s="27"/>
      <c r="B303" s="135">
        <v>288</v>
      </c>
      <c r="C303" s="136"/>
      <c r="D303" s="138"/>
      <c r="E303" s="131"/>
      <c r="F303" s="131"/>
      <c r="G303" s="131"/>
      <c r="H303" s="131"/>
      <c r="I303" s="132"/>
      <c r="J303" s="131"/>
      <c r="K303" s="139"/>
      <c r="L303" s="131"/>
      <c r="M303" s="131"/>
      <c r="N303" s="131"/>
      <c r="O303" s="132"/>
      <c r="P303" s="132"/>
      <c r="Q303" s="132"/>
      <c r="R303" s="132"/>
      <c r="S303" s="132"/>
      <c r="T303" s="134"/>
      <c r="U303" s="137"/>
      <c r="V303" s="27"/>
      <c r="W303" s="28" t="str">
        <f>IFERROR(_xlfn.XLOOKUP(H303,Collection[Display],Collection[Line])&amp;_xlfn.XLOOKUP(I303,Sleeve[Display],Sleeve[Sleeve]),"")</f>
        <v/>
      </c>
    </row>
    <row r="304" spans="1:23" s="28" customFormat="1" ht="30" customHeight="1">
      <c r="A304" s="27"/>
      <c r="B304" s="135">
        <v>289</v>
      </c>
      <c r="C304" s="136"/>
      <c r="D304" s="138"/>
      <c r="E304" s="131"/>
      <c r="F304" s="131"/>
      <c r="G304" s="131"/>
      <c r="H304" s="131"/>
      <c r="I304" s="132"/>
      <c r="J304" s="131"/>
      <c r="K304" s="139"/>
      <c r="L304" s="131"/>
      <c r="M304" s="131"/>
      <c r="N304" s="131"/>
      <c r="O304" s="132"/>
      <c r="P304" s="132"/>
      <c r="Q304" s="132"/>
      <c r="R304" s="132"/>
      <c r="S304" s="132"/>
      <c r="T304" s="134"/>
      <c r="U304" s="137"/>
      <c r="V304" s="27"/>
      <c r="W304" s="28" t="str">
        <f>IFERROR(_xlfn.XLOOKUP(H304,Collection[Display],Collection[Line])&amp;_xlfn.XLOOKUP(I304,Sleeve[Display],Sleeve[Sleeve]),"")</f>
        <v/>
      </c>
    </row>
    <row r="305" spans="1:23" s="28" customFormat="1" ht="30" customHeight="1">
      <c r="A305" s="27"/>
      <c r="B305" s="135">
        <v>290</v>
      </c>
      <c r="C305" s="136"/>
      <c r="D305" s="138"/>
      <c r="E305" s="131"/>
      <c r="F305" s="131"/>
      <c r="G305" s="131"/>
      <c r="H305" s="131"/>
      <c r="I305" s="132"/>
      <c r="J305" s="131"/>
      <c r="K305" s="139"/>
      <c r="L305" s="131"/>
      <c r="M305" s="131"/>
      <c r="N305" s="131"/>
      <c r="O305" s="132"/>
      <c r="P305" s="132"/>
      <c r="Q305" s="132"/>
      <c r="R305" s="132"/>
      <c r="S305" s="132"/>
      <c r="T305" s="134"/>
      <c r="U305" s="137"/>
      <c r="V305" s="27"/>
      <c r="W305" s="28" t="str">
        <f>IFERROR(_xlfn.XLOOKUP(H305,Collection[Display],Collection[Line])&amp;_xlfn.XLOOKUP(I305,Sleeve[Display],Sleeve[Sleeve]),"")</f>
        <v/>
      </c>
    </row>
    <row r="306" spans="1:23" s="28" customFormat="1" ht="30" customHeight="1">
      <c r="A306" s="27"/>
      <c r="B306" s="135">
        <v>291</v>
      </c>
      <c r="C306" s="136"/>
      <c r="D306" s="138"/>
      <c r="E306" s="131"/>
      <c r="F306" s="131"/>
      <c r="G306" s="131"/>
      <c r="H306" s="131"/>
      <c r="I306" s="132"/>
      <c r="J306" s="131"/>
      <c r="K306" s="139"/>
      <c r="L306" s="131"/>
      <c r="M306" s="131"/>
      <c r="N306" s="131"/>
      <c r="O306" s="132"/>
      <c r="P306" s="132"/>
      <c r="Q306" s="132"/>
      <c r="R306" s="132"/>
      <c r="S306" s="132"/>
      <c r="T306" s="134"/>
      <c r="U306" s="137"/>
      <c r="V306" s="27"/>
      <c r="W306" s="28" t="str">
        <f>IFERROR(_xlfn.XLOOKUP(H306,Collection[Display],Collection[Line])&amp;_xlfn.XLOOKUP(I306,Sleeve[Display],Sleeve[Sleeve]),"")</f>
        <v/>
      </c>
    </row>
    <row r="307" spans="1:23" s="28" customFormat="1" ht="30" customHeight="1">
      <c r="A307" s="27"/>
      <c r="B307" s="135">
        <v>292</v>
      </c>
      <c r="C307" s="136"/>
      <c r="D307" s="138"/>
      <c r="E307" s="131"/>
      <c r="F307" s="131"/>
      <c r="G307" s="131"/>
      <c r="H307" s="131"/>
      <c r="I307" s="132"/>
      <c r="J307" s="131"/>
      <c r="K307" s="139"/>
      <c r="L307" s="131"/>
      <c r="M307" s="131"/>
      <c r="N307" s="131"/>
      <c r="O307" s="132"/>
      <c r="P307" s="132"/>
      <c r="Q307" s="132"/>
      <c r="R307" s="132"/>
      <c r="S307" s="132"/>
      <c r="T307" s="134"/>
      <c r="U307" s="137"/>
      <c r="V307" s="27"/>
      <c r="W307" s="28" t="str">
        <f>IFERROR(_xlfn.XLOOKUP(H307,Collection[Display],Collection[Line])&amp;_xlfn.XLOOKUP(I307,Sleeve[Display],Sleeve[Sleeve]),"")</f>
        <v/>
      </c>
    </row>
    <row r="308" spans="1:23" s="28" customFormat="1" ht="30" customHeight="1">
      <c r="A308" s="27"/>
      <c r="B308" s="135">
        <v>293</v>
      </c>
      <c r="C308" s="136"/>
      <c r="D308" s="138"/>
      <c r="E308" s="131"/>
      <c r="F308" s="131"/>
      <c r="G308" s="131"/>
      <c r="H308" s="131"/>
      <c r="I308" s="132"/>
      <c r="J308" s="131"/>
      <c r="K308" s="139"/>
      <c r="L308" s="131"/>
      <c r="M308" s="131"/>
      <c r="N308" s="131"/>
      <c r="O308" s="132"/>
      <c r="P308" s="132"/>
      <c r="Q308" s="132"/>
      <c r="R308" s="132"/>
      <c r="S308" s="132"/>
      <c r="T308" s="134"/>
      <c r="U308" s="137"/>
      <c r="V308" s="27"/>
      <c r="W308" s="28" t="str">
        <f>IFERROR(_xlfn.XLOOKUP(H308,Collection[Display],Collection[Line])&amp;_xlfn.XLOOKUP(I308,Sleeve[Display],Sleeve[Sleeve]),"")</f>
        <v/>
      </c>
    </row>
    <row r="309" spans="1:23" s="28" customFormat="1" ht="30" customHeight="1">
      <c r="A309" s="27"/>
      <c r="B309" s="135">
        <v>294</v>
      </c>
      <c r="C309" s="136"/>
      <c r="D309" s="138"/>
      <c r="E309" s="131"/>
      <c r="F309" s="131"/>
      <c r="G309" s="131"/>
      <c r="H309" s="131"/>
      <c r="I309" s="132"/>
      <c r="J309" s="131"/>
      <c r="K309" s="139"/>
      <c r="L309" s="131"/>
      <c r="M309" s="131"/>
      <c r="N309" s="131"/>
      <c r="O309" s="132"/>
      <c r="P309" s="132"/>
      <c r="Q309" s="132"/>
      <c r="R309" s="132"/>
      <c r="S309" s="132"/>
      <c r="T309" s="134"/>
      <c r="U309" s="137"/>
      <c r="V309" s="27"/>
      <c r="W309" s="28" t="str">
        <f>IFERROR(_xlfn.XLOOKUP(H309,Collection[Display],Collection[Line])&amp;_xlfn.XLOOKUP(I309,Sleeve[Display],Sleeve[Sleeve]),"")</f>
        <v/>
      </c>
    </row>
    <row r="310" spans="1:23" s="28" customFormat="1" ht="30" customHeight="1">
      <c r="A310" s="27"/>
      <c r="B310" s="135">
        <v>295</v>
      </c>
      <c r="C310" s="136"/>
      <c r="D310" s="138"/>
      <c r="E310" s="131"/>
      <c r="F310" s="131"/>
      <c r="G310" s="131"/>
      <c r="H310" s="131"/>
      <c r="I310" s="132"/>
      <c r="J310" s="131"/>
      <c r="K310" s="139"/>
      <c r="L310" s="131"/>
      <c r="M310" s="131"/>
      <c r="N310" s="131"/>
      <c r="O310" s="132"/>
      <c r="P310" s="132"/>
      <c r="Q310" s="132"/>
      <c r="R310" s="132"/>
      <c r="S310" s="132"/>
      <c r="T310" s="134"/>
      <c r="U310" s="137"/>
      <c r="V310" s="27"/>
      <c r="W310" s="28" t="str">
        <f>IFERROR(_xlfn.XLOOKUP(H310,Collection[Display],Collection[Line])&amp;_xlfn.XLOOKUP(I310,Sleeve[Display],Sleeve[Sleeve]),"")</f>
        <v/>
      </c>
    </row>
    <row r="311" spans="1:23" s="28" customFormat="1" ht="30" customHeight="1">
      <c r="A311" s="27"/>
      <c r="B311" s="135">
        <v>296</v>
      </c>
      <c r="C311" s="136"/>
      <c r="D311" s="138"/>
      <c r="E311" s="131"/>
      <c r="F311" s="131"/>
      <c r="G311" s="131"/>
      <c r="H311" s="131"/>
      <c r="I311" s="132"/>
      <c r="J311" s="131"/>
      <c r="K311" s="139"/>
      <c r="L311" s="131"/>
      <c r="M311" s="131"/>
      <c r="N311" s="131"/>
      <c r="O311" s="132"/>
      <c r="P311" s="132"/>
      <c r="Q311" s="132"/>
      <c r="R311" s="132"/>
      <c r="S311" s="132"/>
      <c r="T311" s="134"/>
      <c r="U311" s="137"/>
      <c r="V311" s="27"/>
      <c r="W311" s="28" t="str">
        <f>IFERROR(_xlfn.XLOOKUP(H311,Collection[Display],Collection[Line])&amp;_xlfn.XLOOKUP(I311,Sleeve[Display],Sleeve[Sleeve]),"")</f>
        <v/>
      </c>
    </row>
    <row r="312" spans="1:23" s="28" customFormat="1" ht="30" customHeight="1">
      <c r="A312" s="27"/>
      <c r="B312" s="135">
        <v>297</v>
      </c>
      <c r="C312" s="136"/>
      <c r="D312" s="138"/>
      <c r="E312" s="131"/>
      <c r="F312" s="131"/>
      <c r="G312" s="131"/>
      <c r="H312" s="131"/>
      <c r="I312" s="132"/>
      <c r="J312" s="131"/>
      <c r="K312" s="139"/>
      <c r="L312" s="131"/>
      <c r="M312" s="131"/>
      <c r="N312" s="131"/>
      <c r="O312" s="132"/>
      <c r="P312" s="132"/>
      <c r="Q312" s="132"/>
      <c r="R312" s="132"/>
      <c r="S312" s="132"/>
      <c r="T312" s="134"/>
      <c r="U312" s="137"/>
      <c r="V312" s="27"/>
      <c r="W312" s="28" t="str">
        <f>IFERROR(_xlfn.XLOOKUP(H312,Collection[Display],Collection[Line])&amp;_xlfn.XLOOKUP(I312,Sleeve[Display],Sleeve[Sleeve]),"")</f>
        <v/>
      </c>
    </row>
    <row r="313" spans="1:23" s="28" customFormat="1" ht="30" customHeight="1">
      <c r="A313" s="27"/>
      <c r="B313" s="135">
        <v>298</v>
      </c>
      <c r="C313" s="136"/>
      <c r="D313" s="138"/>
      <c r="E313" s="131"/>
      <c r="F313" s="131"/>
      <c r="G313" s="131"/>
      <c r="H313" s="131"/>
      <c r="I313" s="132"/>
      <c r="J313" s="131"/>
      <c r="K313" s="139"/>
      <c r="L313" s="131"/>
      <c r="M313" s="131"/>
      <c r="N313" s="131"/>
      <c r="O313" s="132"/>
      <c r="P313" s="132"/>
      <c r="Q313" s="132"/>
      <c r="R313" s="132"/>
      <c r="S313" s="132"/>
      <c r="T313" s="134"/>
      <c r="U313" s="137"/>
      <c r="V313" s="27"/>
      <c r="W313" s="28" t="str">
        <f>IFERROR(_xlfn.XLOOKUP(H313,Collection[Display],Collection[Line])&amp;_xlfn.XLOOKUP(I313,Sleeve[Display],Sleeve[Sleeve]),"")</f>
        <v/>
      </c>
    </row>
    <row r="314" spans="1:23" s="28" customFormat="1" ht="30" customHeight="1">
      <c r="A314" s="27"/>
      <c r="B314" s="135">
        <v>299</v>
      </c>
      <c r="C314" s="136"/>
      <c r="D314" s="138"/>
      <c r="E314" s="131"/>
      <c r="F314" s="131"/>
      <c r="G314" s="131"/>
      <c r="H314" s="131"/>
      <c r="I314" s="132"/>
      <c r="J314" s="131"/>
      <c r="K314" s="139"/>
      <c r="L314" s="131"/>
      <c r="M314" s="131"/>
      <c r="N314" s="131"/>
      <c r="O314" s="132"/>
      <c r="P314" s="132"/>
      <c r="Q314" s="132"/>
      <c r="R314" s="132"/>
      <c r="S314" s="132"/>
      <c r="T314" s="134"/>
      <c r="U314" s="137"/>
      <c r="V314" s="27"/>
      <c r="W314" s="28" t="str">
        <f>IFERROR(_xlfn.XLOOKUP(H314,Collection[Display],Collection[Line])&amp;_xlfn.XLOOKUP(I314,Sleeve[Display],Sleeve[Sleeve]),"")</f>
        <v/>
      </c>
    </row>
    <row r="315" spans="1:23" s="28" customFormat="1" ht="30" customHeight="1">
      <c r="A315" s="27"/>
      <c r="B315" s="135">
        <v>300</v>
      </c>
      <c r="C315" s="136"/>
      <c r="D315" s="138"/>
      <c r="E315" s="131"/>
      <c r="F315" s="131"/>
      <c r="G315" s="131"/>
      <c r="H315" s="131"/>
      <c r="I315" s="132"/>
      <c r="J315" s="131"/>
      <c r="K315" s="139"/>
      <c r="L315" s="131"/>
      <c r="M315" s="131"/>
      <c r="N315" s="131"/>
      <c r="O315" s="132"/>
      <c r="P315" s="132"/>
      <c r="Q315" s="132"/>
      <c r="R315" s="132"/>
      <c r="S315" s="132"/>
      <c r="T315" s="134"/>
      <c r="U315" s="137"/>
      <c r="V315" s="27"/>
      <c r="W315" s="28" t="str">
        <f>IFERROR(_xlfn.XLOOKUP(H315,Collection[Display],Collection[Line])&amp;_xlfn.XLOOKUP(I315,Sleeve[Display],Sleeve[Sleeve]),"")</f>
        <v/>
      </c>
    </row>
    <row r="316" spans="1:23" s="27" customFormat="1">
      <c r="B316" s="140"/>
      <c r="C316" s="140"/>
      <c r="D316" s="141"/>
      <c r="E316" s="140"/>
      <c r="F316" s="140"/>
      <c r="G316" s="140"/>
      <c r="H316" s="140"/>
      <c r="I316" s="140"/>
      <c r="J316" s="140"/>
      <c r="K316" s="140"/>
      <c r="L316" s="140"/>
      <c r="M316" s="140"/>
      <c r="N316" s="140"/>
      <c r="O316" s="140"/>
      <c r="P316" s="140"/>
      <c r="Q316" s="140"/>
      <c r="R316" s="140"/>
      <c r="S316" s="140"/>
      <c r="T316" s="140"/>
      <c r="U316" s="142"/>
    </row>
    <row r="317" spans="1:23" ht="15" hidden="1" customHeight="1">
      <c r="U317" s="143"/>
      <c r="V317" s="11"/>
    </row>
    <row r="318" spans="1:23" ht="15" hidden="1" customHeight="1">
      <c r="U318" s="143"/>
      <c r="V318" s="11"/>
    </row>
  </sheetData>
  <sheetProtection algorithmName="SHA-512" hashValue="GgA6hfTh/CtHjWhHg6vx3OSamzIY+9xIsWNlrLwNymyyxt/SqIPxRfX9h++pJyCUiwO/scbLzMx93EV0XrisEA==" saltValue="2VOcTsvdl5MMVgOmUPffQA==" spinCount="100000" sheet="1" objects="1" scenarios="1"/>
  <protectedRanges>
    <protectedRange sqref="C16:U315" name="Order Details"/>
    <protectedRange sqref="E2" name="In Hand Date"/>
    <protectedRange sqref="D3:E3" name="Priority Production"/>
  </protectedRanges>
  <mergeCells count="16">
    <mergeCell ref="G10:K11"/>
    <mergeCell ref="Q10:U10"/>
    <mergeCell ref="B11:C11"/>
    <mergeCell ref="G12:K13"/>
    <mergeCell ref="G5:L5"/>
    <mergeCell ref="Q5:U5"/>
    <mergeCell ref="G6:L6"/>
    <mergeCell ref="G7:L7"/>
    <mergeCell ref="G8:K9"/>
    <mergeCell ref="Q9:U9"/>
    <mergeCell ref="B2:C2"/>
    <mergeCell ref="G2:L2"/>
    <mergeCell ref="D3:E3"/>
    <mergeCell ref="G3:L3"/>
    <mergeCell ref="B4:E4"/>
    <mergeCell ref="G4:L4"/>
  </mergeCells>
  <conditionalFormatting sqref="B6:E7 B11 D11:E11">
    <cfRule type="expression" dxfId="1" priority="2">
      <formula>$Q$2</formula>
    </cfRule>
  </conditionalFormatting>
  <dataValidations count="1">
    <dataValidation type="list" showInputMessage="1" showErrorMessage="1" sqref="J16:J315" xr:uid="{00000000-0002-0000-0100-000000000000}">
      <formula1>INDIRECT(W16)</formula1>
      <formula2>0</formula2>
    </dataValidation>
  </dataValidations>
  <printOptions horizontalCentered="1"/>
  <pageMargins left="0.25" right="0.25" top="0.25" bottom="0.25" header="0.511811023622047" footer="0"/>
  <pageSetup fitToHeight="0" orientation="landscape" horizontalDpi="300" verticalDpi="300"/>
  <headerFooter>
    <oddFooter>&amp;C&amp;"Helvetica Neue,Regular"&amp;12&amp;K000000&amp;P</oddFooter>
  </headerFooter>
  <extLst>
    <ext xmlns:x14="http://schemas.microsoft.com/office/spreadsheetml/2009/9/main" uri="{78C0D931-6437-407d-A8EE-F0AAD7539E65}">
      <x14:conditionalFormattings>
        <x14:conditionalFormatting xmlns:xm="http://schemas.microsoft.com/office/excel/2006/main">
          <x14:cfRule type="expression" priority="3" id="{5B366CAF-5071-4BFF-ACD0-F010D241309F}">
            <xm:f>$F$6&lt;&gt;Summary!$D$27</xm:f>
            <x14:dxf>
              <font>
                <color rgb="FFC00000"/>
              </font>
            </x14:dxf>
          </x14:cfRule>
          <xm:sqref>F6</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00000000-0002-0000-0100-000001000000}">
          <x14:formula1>
            <xm:f>Prices!$DD$3:$DD$5</xm:f>
          </x14:formula1>
          <x14:formula2>
            <xm:f>0</xm:f>
          </x14:formula2>
          <xm:sqref>D3</xm:sqref>
        </x14:dataValidation>
        <x14:dataValidation type="list" showInputMessage="1" showErrorMessage="1" xr:uid="{00000000-0002-0000-0100-000002000000}">
          <x14:formula1>
            <xm:f>INDIRECT(_xlfn.XLOOKUP($H$16,Prices!$Q$3:$Q$4,Prices!$T$3:$T$4))</xm:f>
          </x14:formula1>
          <x14:formula2>
            <xm:f>0</xm:f>
          </x14:formula2>
          <xm:sqref>I16:I315</xm:sqref>
        </x14:dataValidation>
        <x14:dataValidation type="list" allowBlank="1" showInputMessage="1" showErrorMessage="1" xr:uid="{00000000-0002-0000-0100-000003000000}">
          <x14:formula1>
            <xm:f>INDIRECT(_xlfn.XLOOKUP(E16,Prices!$E$3:$E$6,Prices!$H$3:$H$6))</xm:f>
          </x14:formula1>
          <x14:formula2>
            <xm:f>0</xm:f>
          </x14:formula2>
          <xm:sqref>F16:F315</xm:sqref>
        </x14:dataValidation>
        <x14:dataValidation type="list" allowBlank="1" showInputMessage="1" showErrorMessage="1" xr:uid="{00000000-0002-0000-0100-000004000000}">
          <x14:formula1>
            <xm:f>INDIRECT(_xlfn.XLOOKUP(E16,Prices!$E$3:$E$6,Prices!$I$3:$I$6))</xm:f>
          </x14:formula1>
          <x14:formula2>
            <xm:f>0</xm:f>
          </x14:formula2>
          <xm:sqref>H16:H315</xm:sqref>
        </x14:dataValidation>
        <x14:dataValidation type="list" allowBlank="1" showInputMessage="1" showErrorMessage="1" xr:uid="{00000000-0002-0000-0100-000005000000}">
          <x14:formula1>
            <xm:f>Prices!$E$3:$E$16</xm:f>
          </x14:formula1>
          <x14:formula2>
            <xm:f>0</xm:f>
          </x14:formula2>
          <xm:sqref>E16:E315</xm:sqref>
        </x14:dataValidation>
        <x14:dataValidation type="list" allowBlank="1" showInputMessage="1" showErrorMessage="1" xr:uid="{00000000-0002-0000-0100-000006000000}">
          <x14:formula1>
            <xm:f>Prices!$BH$3:$BH$15</xm:f>
          </x14:formula1>
          <x14:formula2>
            <xm:f>0</xm:f>
          </x14:formula2>
          <xm:sqref>G16:G315</xm:sqref>
        </x14:dataValidation>
        <x14:dataValidation type="list" allowBlank="1" showInputMessage="1" showErrorMessage="1" xr:uid="{00000000-0002-0000-0100-000007000000}">
          <x14:formula1>
            <xm:f>Prices!$BN$3:$BN$32</xm:f>
          </x14:formula1>
          <x14:formula2>
            <xm:f>0</xm:f>
          </x14:formula2>
          <xm:sqref>O16:O315</xm:sqref>
        </x14:dataValidation>
        <x14:dataValidation type="list" allowBlank="1" showInputMessage="1" showErrorMessage="1" xr:uid="{00000000-0002-0000-0100-000008000000}">
          <x14:formula1>
            <xm:f>Prices!$CL$3:$CL$38</xm:f>
          </x14:formula1>
          <x14:formula2>
            <xm:f>0</xm:f>
          </x14:formula2>
          <xm:sqref>S16:S315</xm:sqref>
        </x14:dataValidation>
        <x14:dataValidation type="list" allowBlank="1" showInputMessage="1" showErrorMessage="1" xr:uid="{00000000-0002-0000-0100-000009000000}">
          <x14:formula1>
            <xm:f>Prices!$CW$3:$CW$4</xm:f>
          </x14:formula1>
          <x14:formula2>
            <xm:f>0</xm:f>
          </x14:formula2>
          <xm:sqref>L16:L315</xm:sqref>
        </x14:dataValidation>
        <x14:dataValidation type="list" allowBlank="1" showInputMessage="1" showErrorMessage="1" xr:uid="{00000000-0002-0000-0100-00000A000000}">
          <x14:formula1>
            <xm:f>Prices!$CU$3:$CU$4</xm:f>
          </x14:formula1>
          <x14:formula2>
            <xm:f>0</xm:f>
          </x14:formula2>
          <xm:sqref>M16:M315</xm:sqref>
        </x14:dataValidation>
        <x14:dataValidation type="list" allowBlank="1" showInputMessage="1" showErrorMessage="1" xr:uid="{00000000-0002-0000-0100-00000B000000}">
          <x14:formula1>
            <xm:f>Prices!$CY$3:$CY$8</xm:f>
          </x14:formula1>
          <x14:formula2>
            <xm:f>0</xm:f>
          </x14:formula2>
          <xm:sqref>N16:N315</xm:sqref>
        </x14:dataValidation>
        <x14:dataValidation type="list" allowBlank="1" showInputMessage="1" showErrorMessage="1" xr:uid="{00000000-0002-0000-0100-00000C000000}">
          <x14:formula1>
            <xm:f>Prices!$BV$3:$BV$30</xm:f>
          </x14:formula1>
          <x14:formula2>
            <xm:f>0</xm:f>
          </x14:formula2>
          <xm:sqref>P16:Q315</xm:sqref>
        </x14:dataValidation>
        <x14:dataValidation type="list" allowBlank="1" showInputMessage="1" showErrorMessage="1" xr:uid="{00000000-0002-0000-0100-00000D000000}">
          <x14:formula1>
            <xm:f>Prices!$CD$3:$CD$33</xm:f>
          </x14:formula1>
          <x14:formula2>
            <xm:f>0</xm:f>
          </x14:formula2>
          <xm:sqref>R16:R315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L81"/>
  <sheetViews>
    <sheetView zoomScaleNormal="100" workbookViewId="0">
      <selection activeCell="I18" sqref="I18"/>
    </sheetView>
  </sheetViews>
  <sheetFormatPr defaultColWidth="8.77734375" defaultRowHeight="14.4"/>
  <cols>
    <col min="1" max="1" width="10.44140625" customWidth="1"/>
    <col min="2" max="2" width="10.44140625" style="144" customWidth="1"/>
    <col min="3" max="3" width="6.77734375" style="145" customWidth="1"/>
    <col min="5" max="5" width="9.109375" customWidth="1"/>
    <col min="6" max="6" width="9.6640625" style="82" customWidth="1"/>
    <col min="7" max="7" width="7.21875" style="145" customWidth="1"/>
    <col min="8" max="8" width="8.21875" style="145" customWidth="1"/>
    <col min="9" max="9" width="11.109375" style="145" customWidth="1"/>
    <col min="10" max="10" width="8.33203125" style="145" customWidth="1"/>
    <col min="11" max="12" width="17.21875" style="145" customWidth="1"/>
    <col min="13" max="14" width="15.6640625" style="145" customWidth="1"/>
    <col min="16" max="16" width="15.6640625" customWidth="1"/>
    <col min="17" max="17" width="17.21875" customWidth="1"/>
    <col min="18" max="18" width="7.33203125" customWidth="1"/>
    <col min="19" max="19" width="7.21875" style="145" customWidth="1"/>
    <col min="20" max="20" width="11.5546875" style="145" customWidth="1"/>
    <col min="21" max="21" width="5.88671875" style="145" customWidth="1"/>
    <col min="22" max="22" width="9.21875" customWidth="1"/>
    <col min="23" max="23" width="8" customWidth="1"/>
    <col min="24" max="24" width="13.109375" customWidth="1"/>
    <col min="25" max="25" width="7.33203125" customWidth="1"/>
    <col min="26" max="26" width="7.21875" customWidth="1"/>
    <col min="27" max="27" width="11.5546875" customWidth="1"/>
    <col min="29" max="29" width="11.6640625" customWidth="1"/>
    <col min="30" max="30" width="5.21875" customWidth="1"/>
    <col min="32" max="32" width="23.21875" customWidth="1"/>
    <col min="33" max="33" width="8" customWidth="1"/>
    <col min="34" max="34" width="31.6640625" customWidth="1"/>
    <col min="35" max="35" width="9.6640625" style="146" customWidth="1"/>
    <col min="36" max="36" width="7.21875" style="145" customWidth="1"/>
    <col min="37" max="37" width="9.21875" customWidth="1"/>
    <col min="38" max="38" width="11.5546875" customWidth="1"/>
    <col min="39" max="39" width="20.109375" customWidth="1"/>
    <col min="40" max="40" width="11.5546875" customWidth="1"/>
    <col min="41" max="42" width="25.33203125" customWidth="1"/>
    <col min="43" max="43" width="31.6640625" customWidth="1"/>
    <col min="44" max="44" width="22.109375" customWidth="1"/>
    <col min="45" max="45" width="19.21875" customWidth="1"/>
    <col min="47" max="47" width="7.88671875" style="147" customWidth="1"/>
    <col min="48" max="48" width="8" style="147" customWidth="1"/>
    <col min="49" max="49" width="16.21875" customWidth="1"/>
    <col min="50" max="50" width="9.6640625" style="146" customWidth="1"/>
    <col min="51" max="51" width="7.21875" style="145" customWidth="1"/>
    <col min="52" max="53" width="8.77734375" style="145"/>
    <col min="54" max="55" width="16.21875" style="145" customWidth="1"/>
    <col min="56" max="56" width="7.77734375" style="145" customWidth="1"/>
    <col min="57" max="57" width="7.21875" style="145" customWidth="1"/>
    <col min="59" max="59" width="8.77734375" style="147"/>
    <col min="60" max="60" width="10.109375" style="147" customWidth="1"/>
    <col min="61" max="61" width="9.6640625" style="82" customWidth="1"/>
    <col min="62" max="62" width="7.21875" style="145" customWidth="1"/>
    <col min="64" max="64" width="13.44140625" customWidth="1"/>
    <col min="65" max="65" width="8" customWidth="1"/>
    <col min="66" max="66" width="20.6640625" customWidth="1"/>
    <col min="67" max="67" width="13.44140625" customWidth="1"/>
    <col min="68" max="68" width="5.77734375" customWidth="1"/>
    <col min="69" max="69" width="6.21875" style="145" customWidth="1"/>
    <col min="70" max="70" width="6.21875" customWidth="1"/>
    <col min="72" max="72" width="20.5546875" customWidth="1"/>
    <col min="73" max="73" width="8" customWidth="1"/>
    <col min="74" max="74" width="20.5546875" customWidth="1"/>
    <col min="75" max="75" width="16.109375" customWidth="1"/>
    <col min="76" max="76" width="5.77734375" customWidth="1"/>
    <col min="77" max="77" width="6.33203125" style="145" customWidth="1"/>
    <col min="78" max="78" width="6.21875" customWidth="1"/>
    <col min="80" max="80" width="20.5546875" customWidth="1"/>
    <col min="81" max="81" width="8" customWidth="1"/>
    <col min="82" max="82" width="20.5546875" customWidth="1"/>
    <col min="83" max="83" width="16.109375" customWidth="1"/>
    <col min="84" max="84" width="5.77734375" customWidth="1"/>
    <col min="85" max="85" width="6.33203125" style="145" customWidth="1"/>
    <col min="86" max="86" width="6.21875" customWidth="1"/>
    <col min="88" max="88" width="20.5546875" customWidth="1"/>
    <col min="89" max="89" width="8" customWidth="1"/>
    <col min="90" max="90" width="32.77734375" customWidth="1"/>
    <col min="91" max="91" width="16.109375" customWidth="1"/>
    <col min="92" max="92" width="5.77734375" customWidth="1"/>
    <col min="93" max="94" width="6.21875" customWidth="1"/>
    <col min="96" max="96" width="8" customWidth="1"/>
    <col min="97" max="97" width="7.21875" style="145" customWidth="1"/>
    <col min="99" max="99" width="15.6640625" customWidth="1"/>
    <col min="101" max="101" width="16.21875" customWidth="1"/>
    <col min="103" max="103" width="12.21875" customWidth="1"/>
    <col min="104" max="104" width="7.33203125" customWidth="1"/>
    <col min="105" max="105" width="7.21875" style="145" customWidth="1"/>
    <col min="107" max="107" width="23.33203125" customWidth="1"/>
    <col min="108" max="108" width="27.21875" customWidth="1"/>
    <col min="109" max="109" width="7.21875" customWidth="1"/>
    <col min="110" max="110" width="10.21875" customWidth="1"/>
    <col min="111" max="111" width="11.21875" style="145" customWidth="1"/>
    <col min="112" max="112" width="8.33203125" style="144" customWidth="1"/>
    <col min="113" max="113" width="7.33203125" style="145" customWidth="1"/>
    <col min="114" max="114" width="10.44140625" style="82" customWidth="1"/>
    <col min="115" max="115" width="27.21875" style="148" customWidth="1"/>
    <col min="116" max="116" width="7.33203125" customWidth="1"/>
    <col min="117" max="117" width="6.33203125" customWidth="1"/>
    <col min="118" max="118" width="7.109375" customWidth="1"/>
    <col min="120" max="120" width="16.21875" customWidth="1"/>
    <col min="122" max="122" width="13.21875" style="82" customWidth="1"/>
    <col min="123" max="123" width="13.77734375" customWidth="1"/>
    <col min="125" max="125" width="13.33203125" customWidth="1"/>
    <col min="126" max="126" width="16.5546875" customWidth="1"/>
    <col min="128" max="128" width="11.6640625" customWidth="1"/>
    <col min="129" max="129" width="16.5546875" customWidth="1"/>
    <col min="130" max="130" width="11.77734375" customWidth="1"/>
    <col min="132" max="132" width="12.44140625" customWidth="1"/>
    <col min="133" max="133" width="7.109375" style="149" customWidth="1"/>
    <col min="134" max="134" width="15.21875" customWidth="1"/>
    <col min="135" max="135" width="15.5546875" customWidth="1"/>
    <col min="136" max="136" width="27.21875" customWidth="1"/>
    <col min="137" max="137" width="11" customWidth="1"/>
    <col min="138" max="138" width="14.109375" customWidth="1"/>
    <col min="139" max="139" width="16.5546875" style="150" customWidth="1"/>
    <col min="140" max="140" width="12.44140625" customWidth="1"/>
    <col min="141" max="141" width="14.6640625" customWidth="1"/>
    <col min="142" max="142" width="108.77734375" style="148" customWidth="1"/>
  </cols>
  <sheetData>
    <row r="1" spans="1:142" ht="23.4">
      <c r="A1" s="1" t="s">
        <v>80</v>
      </c>
      <c r="B1" s="1"/>
      <c r="C1" s="1"/>
      <c r="E1" s="1" t="s">
        <v>81</v>
      </c>
      <c r="F1" s="1"/>
      <c r="G1" s="1"/>
      <c r="H1" s="1"/>
      <c r="I1" s="1"/>
      <c r="J1" s="1"/>
      <c r="K1" s="1"/>
      <c r="L1" s="1"/>
      <c r="M1" s="1"/>
      <c r="N1" s="1"/>
      <c r="P1" s="1" t="s">
        <v>82</v>
      </c>
      <c r="Q1" s="1"/>
      <c r="R1" s="1"/>
      <c r="S1" s="1"/>
      <c r="T1" s="1"/>
      <c r="V1" s="1" t="s">
        <v>83</v>
      </c>
      <c r="W1" s="1"/>
      <c r="X1" s="1"/>
      <c r="Y1" s="1"/>
      <c r="Z1" s="1"/>
      <c r="AA1" s="1"/>
      <c r="AB1" s="1"/>
      <c r="AC1" s="1"/>
      <c r="AD1" s="1"/>
      <c r="AF1" s="1" t="s">
        <v>84</v>
      </c>
      <c r="AG1" s="1"/>
      <c r="AH1" s="1"/>
      <c r="AI1" s="1"/>
      <c r="AJ1" s="1"/>
      <c r="AK1" s="1"/>
      <c r="AL1" s="1"/>
      <c r="AM1" s="1"/>
      <c r="AN1" s="1"/>
      <c r="AO1" s="1"/>
      <c r="AP1" s="1"/>
      <c r="AQ1" s="1"/>
      <c r="AR1" s="1"/>
      <c r="AS1" s="1"/>
      <c r="AU1" s="1" t="s">
        <v>85</v>
      </c>
      <c r="AV1" s="1"/>
      <c r="AW1" s="1"/>
      <c r="AX1" s="1"/>
      <c r="AY1" s="1"/>
      <c r="AZ1" s="1"/>
      <c r="BA1" s="1"/>
      <c r="BB1" s="1"/>
      <c r="BC1" s="1"/>
      <c r="BD1" s="1"/>
      <c r="BE1" s="1"/>
      <c r="BF1" s="1"/>
      <c r="BG1" s="1"/>
      <c r="BH1" s="1"/>
      <c r="BI1" s="1"/>
      <c r="BJ1" s="1"/>
      <c r="BL1" s="1" t="s">
        <v>86</v>
      </c>
      <c r="BM1" s="1"/>
      <c r="BN1" s="1"/>
      <c r="BO1" s="1"/>
      <c r="BP1" s="1"/>
      <c r="BQ1" s="1"/>
      <c r="BR1" s="1"/>
      <c r="BT1" s="1" t="s">
        <v>87</v>
      </c>
      <c r="BU1" s="1"/>
      <c r="BV1" s="1"/>
      <c r="BW1" s="1"/>
      <c r="BX1" s="1"/>
      <c r="BY1" s="1"/>
      <c r="BZ1" s="1"/>
      <c r="CB1" s="1" t="s">
        <v>88</v>
      </c>
      <c r="CC1" s="1"/>
      <c r="CD1" s="1"/>
      <c r="CE1" s="1"/>
      <c r="CF1" s="1"/>
      <c r="CG1" s="1"/>
      <c r="CH1" s="1"/>
      <c r="CJ1" s="1" t="s">
        <v>89</v>
      </c>
      <c r="CK1" s="1"/>
      <c r="CL1" s="1"/>
      <c r="CM1" s="1"/>
      <c r="CN1" s="1"/>
      <c r="CO1" s="1"/>
      <c r="CP1" s="1"/>
      <c r="CR1" s="1" t="s">
        <v>90</v>
      </c>
      <c r="CS1" s="1"/>
      <c r="CT1" s="1"/>
      <c r="CU1" s="1"/>
      <c r="CV1" s="1"/>
      <c r="CW1" s="1"/>
      <c r="CX1" s="1"/>
      <c r="CY1" s="1"/>
      <c r="CZ1" s="1"/>
      <c r="DA1" s="1"/>
      <c r="DC1" s="1" t="s">
        <v>91</v>
      </c>
      <c r="DD1" s="1"/>
      <c r="DE1" s="1"/>
      <c r="DF1" s="1"/>
      <c r="DG1" s="1"/>
      <c r="DH1" s="1"/>
      <c r="DI1" s="1"/>
      <c r="DJ1" s="1"/>
      <c r="DK1" s="1"/>
      <c r="DL1" s="1"/>
      <c r="DM1" s="1"/>
      <c r="DN1" s="1"/>
      <c r="DP1" s="151" t="s">
        <v>92</v>
      </c>
      <c r="DR1" s="1" t="s">
        <v>93</v>
      </c>
      <c r="DS1" s="1"/>
      <c r="DT1" s="1"/>
      <c r="DU1" s="1"/>
      <c r="DV1" s="1"/>
      <c r="DW1" s="1"/>
      <c r="DX1" s="1"/>
      <c r="DY1" s="1"/>
      <c r="DZ1" s="1"/>
      <c r="EA1" s="1"/>
      <c r="EB1" s="1"/>
      <c r="EC1" s="1"/>
      <c r="ED1" s="1"/>
      <c r="EE1" s="1"/>
      <c r="EF1" s="1"/>
      <c r="EG1" s="1"/>
      <c r="EH1" s="1"/>
      <c r="EI1" s="1"/>
      <c r="EJ1" s="1"/>
      <c r="EK1" s="1"/>
      <c r="EL1" s="1"/>
    </row>
    <row r="2" spans="1:142">
      <c r="A2" s="152" t="s">
        <v>94</v>
      </c>
      <c r="B2" s="153" t="s">
        <v>95</v>
      </c>
      <c r="C2" s="154" t="s">
        <v>96</v>
      </c>
      <c r="E2" s="152" t="s">
        <v>97</v>
      </c>
      <c r="F2" s="155" t="s">
        <v>98</v>
      </c>
      <c r="G2" s="154" t="s">
        <v>99</v>
      </c>
      <c r="H2" s="154" t="s">
        <v>100</v>
      </c>
      <c r="I2" s="154" t="s">
        <v>101</v>
      </c>
      <c r="J2" s="154"/>
      <c r="K2" s="156" t="s">
        <v>102</v>
      </c>
      <c r="L2" s="156" t="s">
        <v>103</v>
      </c>
      <c r="M2" s="156" t="s">
        <v>104</v>
      </c>
      <c r="N2" s="156" t="s">
        <v>105</v>
      </c>
      <c r="P2" s="152" t="s">
        <v>106</v>
      </c>
      <c r="Q2" s="152" t="s">
        <v>97</v>
      </c>
      <c r="R2" s="152" t="s">
        <v>98</v>
      </c>
      <c r="S2" s="154" t="s">
        <v>99</v>
      </c>
      <c r="T2" s="154" t="s">
        <v>101</v>
      </c>
      <c r="U2" s="154"/>
      <c r="V2" s="152" t="s">
        <v>107</v>
      </c>
      <c r="W2" s="152" t="s">
        <v>108</v>
      </c>
      <c r="X2" s="152" t="s">
        <v>97</v>
      </c>
      <c r="Y2" s="152" t="s">
        <v>98</v>
      </c>
      <c r="Z2" s="154" t="s">
        <v>99</v>
      </c>
      <c r="AA2" s="152" t="s">
        <v>101</v>
      </c>
      <c r="AC2" s="156" t="s">
        <v>109</v>
      </c>
      <c r="AD2" s="156" t="s">
        <v>110</v>
      </c>
      <c r="AF2" s="152" t="s">
        <v>111</v>
      </c>
      <c r="AG2" s="152" t="s">
        <v>108</v>
      </c>
      <c r="AH2" s="152" t="s">
        <v>97</v>
      </c>
      <c r="AI2" s="157" t="s">
        <v>98</v>
      </c>
      <c r="AJ2" s="154" t="s">
        <v>99</v>
      </c>
      <c r="AK2" s="152" t="s">
        <v>107</v>
      </c>
      <c r="AL2" s="152" t="s">
        <v>106</v>
      </c>
      <c r="AM2" s="152" t="s">
        <v>112</v>
      </c>
      <c r="AO2" s="156" t="s">
        <v>113</v>
      </c>
      <c r="AP2" s="156" t="s">
        <v>114</v>
      </c>
      <c r="AQ2" s="156" t="s">
        <v>115</v>
      </c>
      <c r="AR2" s="156" t="s">
        <v>116</v>
      </c>
      <c r="AS2" s="156" t="s">
        <v>117</v>
      </c>
      <c r="AU2" s="158" t="s">
        <v>118</v>
      </c>
      <c r="AV2" s="158" t="s">
        <v>108</v>
      </c>
      <c r="AW2" s="152" t="s">
        <v>97</v>
      </c>
      <c r="AX2" s="157" t="s">
        <v>98</v>
      </c>
      <c r="AY2" s="154" t="s">
        <v>99</v>
      </c>
      <c r="AZ2" s="158" t="s">
        <v>100</v>
      </c>
      <c r="BA2" s="154"/>
      <c r="BB2" s="159" t="s">
        <v>77</v>
      </c>
      <c r="BC2" s="159" t="s">
        <v>67</v>
      </c>
      <c r="BD2" s="159" t="s">
        <v>104</v>
      </c>
      <c r="BE2" s="159" t="s">
        <v>105</v>
      </c>
      <c r="BG2" s="158" t="s">
        <v>119</v>
      </c>
      <c r="BH2" s="158" t="s">
        <v>97</v>
      </c>
      <c r="BI2" s="155" t="s">
        <v>98</v>
      </c>
      <c r="BJ2" s="154" t="s">
        <v>99</v>
      </c>
      <c r="BL2" s="152" t="s">
        <v>120</v>
      </c>
      <c r="BM2" s="152" t="s">
        <v>108</v>
      </c>
      <c r="BN2" s="152" t="s">
        <v>97</v>
      </c>
      <c r="BO2" s="152" t="s">
        <v>98</v>
      </c>
      <c r="BP2" s="154" t="s">
        <v>121</v>
      </c>
      <c r="BQ2" s="154" t="s">
        <v>122</v>
      </c>
      <c r="BR2" s="154" t="s">
        <v>123</v>
      </c>
      <c r="BT2" s="152" t="s">
        <v>120</v>
      </c>
      <c r="BU2" s="152" t="s">
        <v>108</v>
      </c>
      <c r="BV2" s="152" t="s">
        <v>97</v>
      </c>
      <c r="BW2" s="152" t="s">
        <v>98</v>
      </c>
      <c r="BX2" s="154" t="s">
        <v>121</v>
      </c>
      <c r="BY2" s="154" t="s">
        <v>122</v>
      </c>
      <c r="BZ2" s="154" t="s">
        <v>123</v>
      </c>
      <c r="CB2" s="152" t="s">
        <v>120</v>
      </c>
      <c r="CC2" s="152" t="s">
        <v>108</v>
      </c>
      <c r="CD2" s="152" t="s">
        <v>97</v>
      </c>
      <c r="CE2" s="152" t="s">
        <v>98</v>
      </c>
      <c r="CF2" s="154" t="s">
        <v>121</v>
      </c>
      <c r="CG2" s="154" t="s">
        <v>122</v>
      </c>
      <c r="CH2" s="154" t="s">
        <v>123</v>
      </c>
      <c r="CI2" s="154"/>
      <c r="CJ2" s="152" t="s">
        <v>120</v>
      </c>
      <c r="CK2" s="152" t="s">
        <v>108</v>
      </c>
      <c r="CL2" s="152" t="s">
        <v>97</v>
      </c>
      <c r="CM2" s="152" t="s">
        <v>98</v>
      </c>
      <c r="CN2" s="154" t="s">
        <v>121</v>
      </c>
      <c r="CO2" s="154" t="s">
        <v>122</v>
      </c>
      <c r="CP2" s="154" t="s">
        <v>123</v>
      </c>
      <c r="CQ2" s="154"/>
      <c r="CR2" s="152" t="s">
        <v>124</v>
      </c>
      <c r="CS2" s="154" t="s">
        <v>99</v>
      </c>
      <c r="CU2" s="152" t="s">
        <v>58</v>
      </c>
      <c r="CW2" s="152" t="s">
        <v>125</v>
      </c>
      <c r="CY2" s="152" t="s">
        <v>59</v>
      </c>
      <c r="CZ2" s="152" t="s">
        <v>98</v>
      </c>
      <c r="DA2" s="154" t="s">
        <v>99</v>
      </c>
      <c r="DC2" s="152" t="s">
        <v>126</v>
      </c>
      <c r="DD2" s="152" t="s">
        <v>97</v>
      </c>
      <c r="DE2" s="154" t="s">
        <v>99</v>
      </c>
      <c r="DF2" s="154" t="s">
        <v>127</v>
      </c>
      <c r="DG2" s="154" t="s">
        <v>128</v>
      </c>
      <c r="DH2" s="153" t="s">
        <v>129</v>
      </c>
      <c r="DI2" s="154" t="s">
        <v>130</v>
      </c>
      <c r="DJ2" s="155"/>
      <c r="DK2" s="160" t="s">
        <v>131</v>
      </c>
      <c r="DL2" s="152" t="s">
        <v>3</v>
      </c>
      <c r="DM2" s="152" t="s">
        <v>132</v>
      </c>
      <c r="DN2" s="152" t="s">
        <v>133</v>
      </c>
      <c r="DP2" s="152" t="s">
        <v>134</v>
      </c>
      <c r="DR2" s="155" t="s">
        <v>135</v>
      </c>
      <c r="DS2" s="152" t="s">
        <v>34</v>
      </c>
      <c r="DU2" s="155" t="s">
        <v>136</v>
      </c>
      <c r="DV2" s="152" t="s">
        <v>137</v>
      </c>
      <c r="DX2" s="155" t="s">
        <v>138</v>
      </c>
      <c r="DY2" s="152" t="s">
        <v>137</v>
      </c>
      <c r="DZ2" t="s">
        <v>139</v>
      </c>
      <c r="EB2" s="152" t="s">
        <v>140</v>
      </c>
      <c r="EC2" s="161" t="s">
        <v>133</v>
      </c>
      <c r="ED2" s="152" t="s">
        <v>141</v>
      </c>
      <c r="EE2" s="152" t="s">
        <v>142</v>
      </c>
      <c r="EF2" s="152" t="s">
        <v>6</v>
      </c>
      <c r="EG2" s="162" t="s">
        <v>143</v>
      </c>
      <c r="EH2" s="152" t="s">
        <v>144</v>
      </c>
      <c r="EI2" s="163" t="s">
        <v>145</v>
      </c>
      <c r="EJ2" s="164" t="s">
        <v>23</v>
      </c>
      <c r="EK2" s="164" t="s">
        <v>126</v>
      </c>
      <c r="EL2" s="160" t="s">
        <v>146</v>
      </c>
    </row>
    <row r="3" spans="1:142">
      <c r="A3">
        <v>1</v>
      </c>
      <c r="B3" s="144">
        <v>0</v>
      </c>
      <c r="C3" s="145">
        <v>49</v>
      </c>
      <c r="E3" s="152" t="s">
        <v>77</v>
      </c>
      <c r="F3" s="155" t="s">
        <v>147</v>
      </c>
      <c r="G3" s="154"/>
      <c r="H3" s="154" t="s">
        <v>102</v>
      </c>
      <c r="I3" s="154" t="s">
        <v>148</v>
      </c>
      <c r="J3" s="154"/>
      <c r="K3" s="165" t="str">
        <f>Collection[[#This Row],[Collection]]&amp;IF(Collection[[#This Row],[Price]]="",""," (+"&amp;TEXT(Collection[[#This Row],[Price]],"$0.00"&amp;")"))</f>
        <v>Performance-Line</v>
      </c>
      <c r="L3" s="165" t="str">
        <f>Collection[[#This Row],[Collection]]&amp;IF(Collection[[#This Row],[Price]]="",""," (+"&amp;TEXT(Collection[[#This Row],[Price]],"$0.00"&amp;")"))</f>
        <v>Performance-Line</v>
      </c>
      <c r="M3" s="165" t="str">
        <f>Collection[[#This Row],[Collection]]&amp;IF(Collection[[#This Row],[Price]]="",""," (+"&amp;TEXT(Collection[[#This Row],[Price]],"$0.00"&amp;")"))</f>
        <v>Performance-Line</v>
      </c>
      <c r="N3" s="165" t="str">
        <f>Collection[[#This Row],[Collection]]&amp;IF(Collection[[#This Row],[Price]]="",""," (+"&amp;TEXT(Collection[[#This Row],[Price]],"$0.00"&amp;")"))</f>
        <v>Performance-Line</v>
      </c>
      <c r="P3" s="152" t="s">
        <v>69</v>
      </c>
      <c r="Q3" s="152" t="str">
        <f>Collection[[#This Row],[Collection]]&amp;IF(Collection[[#This Row],[Price]]="",""," (+"&amp;TEXT(Collection[[#This Row],[Price]],"$0.00"&amp;")"))</f>
        <v>Performance-Line</v>
      </c>
      <c r="R3" s="152" t="s">
        <v>149</v>
      </c>
      <c r="T3" s="145" t="s">
        <v>109</v>
      </c>
      <c r="V3" s="152" t="s">
        <v>70</v>
      </c>
      <c r="W3" s="152">
        <v>1</v>
      </c>
      <c r="X3" s="152" t="str">
        <f>Sleeve[[#This Row],[Sleeve]]&amp;IF(Sleeve[[#This Row],[Price]]="",""," (+"&amp;TEXT(Sleeve[[#This Row],[Price]],"$0.00"&amp;")"))</f>
        <v>Short</v>
      </c>
      <c r="Y3" s="152" t="s">
        <v>150</v>
      </c>
      <c r="Z3" s="145"/>
      <c r="AA3" s="166" t="s">
        <v>109</v>
      </c>
      <c r="AC3" t="str">
        <f t="array" ref="AC3:AC5">_xlfn._xlws.FILTER(Sleeve[Sleeve],Sleeve[Line]=AC2)</f>
        <v>Short</v>
      </c>
      <c r="AD3" t="str">
        <f t="array" ref="AD3:AD4">_xlfn._xlws.FILTER(Sleeve[Sleeve],Sleeve[Line]=AD2)</f>
        <v>Short</v>
      </c>
      <c r="AF3" s="167" t="s">
        <v>151</v>
      </c>
      <c r="AG3" s="167"/>
      <c r="AH3" s="152" t="str">
        <f>Collar[[#This Row],[Collar]]&amp;IF(Collar[[#This Row],[Price]]="",""," (+"&amp;TEXT(Collar[[#This Row],[Price]],"$0.00"&amp;")"))</f>
        <v>1/4 Zip Sash (+$10.00)</v>
      </c>
      <c r="AI3" s="168" t="s">
        <v>152</v>
      </c>
      <c r="AJ3" s="169">
        <v>10</v>
      </c>
      <c r="AK3" s="165" t="s">
        <v>70</v>
      </c>
      <c r="AL3" s="170" t="s">
        <v>109</v>
      </c>
      <c r="AM3" s="165" t="str">
        <f>Collar[[#This Row],[Collection]]&amp;Collar[[#This Row],[Sleeve]]</f>
        <v>PerformanceShort</v>
      </c>
      <c r="AO3" t="str">
        <f t="array" ref="AO3:AO12">_xlfn._xlws.FILTER(Collar[Display],Collar[C&amp;S]=AO$2)</f>
        <v>1/4 Zip Sash (+$10.00)</v>
      </c>
      <c r="AP3" t="str">
        <f t="array" ref="AP3:AP7">_xlfn._xlws.FILTER(Collar[Display],Collar[C&amp;S]=AP$2)</f>
        <v>1/4 Zip Sash (+$10.00)</v>
      </c>
      <c r="AQ3" t="str">
        <f t="array" ref="AQ3:AQ10">_xlfn._xlws.FILTER(Collar[Display],Collar[C&amp;S]=AQ$2)</f>
        <v>1/4 Zip Sash (+$5.00)</v>
      </c>
      <c r="AR3" t="str">
        <f t="array" ref="AR3:AR10">_xlfn._xlws.FILTER(Collar[Display],Collar[C&amp;S]=AR$2)</f>
        <v>1/4 Zip Sash (+$10.00)</v>
      </c>
      <c r="AS3" t="str">
        <f t="array" ref="AS3:AS7">_xlfn._xlws.FILTER(Collar[Display],Collar[C&amp;S]=AS$2)</f>
        <v>1/4 Zip Sash (+$10.00)</v>
      </c>
      <c r="AU3" s="158" t="s">
        <v>153</v>
      </c>
      <c r="AV3" s="152">
        <v>1</v>
      </c>
      <c r="AW3" s="152" t="str">
        <f>Size[[#This Row],[Size]]&amp;IF(Size[[#This Row],[Price]]="",""," (+"&amp;TEXT(Size[[#This Row],[Price]],"$0.00")&amp;")")</f>
        <v>X-Small</v>
      </c>
      <c r="AX3" s="157" t="s">
        <v>154</v>
      </c>
      <c r="AZ3" s="145" t="s">
        <v>77</v>
      </c>
      <c r="BB3" s="145" t="str">
        <f t="array" ref="BB3:BB13">_xlfn._xlws.FILTER(Size[Display],Size[Cut]=BB$2)</f>
        <v>X-Small</v>
      </c>
      <c r="BC3" s="145" t="str">
        <f t="array" ref="BC3:BC13">_xlfn._xlws.FILTER(Size[Display],Size[Cut]=BC$2)</f>
        <v>X-Small</v>
      </c>
      <c r="BD3" s="145" t="str">
        <f t="array" ref="BD3:BD7">_xlfn._xlws.FILTER(Size[Display],Size[Cut]=BD$2)</f>
        <v>X-Small</v>
      </c>
      <c r="BE3" s="145" t="str">
        <f t="array" ref="BE3:BE6">_xlfn._xlws.FILTER(Size[Display],Size[Cut]=BE$2)</f>
        <v>2T</v>
      </c>
      <c r="BG3" s="158" t="s">
        <v>155</v>
      </c>
      <c r="BH3" s="152" t="str">
        <f>Length[[#This Row],[Length]]&amp;IF(Length[[#This Row],[Price]]="",""," (+"&amp;TEXT(Length[[#This Row],[Price]],"$0.00"&amp;")"))</f>
        <v>+2 (+$3.00)</v>
      </c>
      <c r="BI3" s="157" t="s">
        <v>155</v>
      </c>
      <c r="BJ3" s="145">
        <v>3</v>
      </c>
      <c r="BL3" s="152" t="s">
        <v>156</v>
      </c>
      <c r="BM3" s="152">
        <v>1</v>
      </c>
      <c r="BN3" s="152" t="str">
        <f>Logos[[#This Row],[Logos]]&amp;" ($30 Per Order)"</f>
        <v>Custom ($30 Per Order)</v>
      </c>
      <c r="BO3" s="152" t="s">
        <v>156</v>
      </c>
      <c r="BP3" s="145"/>
      <c r="BQ3" s="154"/>
      <c r="BR3" s="154"/>
      <c r="BT3" s="152" t="s">
        <v>157</v>
      </c>
      <c r="BU3" s="152">
        <v>1</v>
      </c>
      <c r="BV3" s="152" t="str">
        <f>Chest[[#This Row],[Logos]]&amp;IF(BZ3="","",IF(Chest[[#This Row],[Use]]="Flat"," (+"&amp;TEXT(Chest[[#This Row],[Flat]],"$0.00")&amp;")"," (+"&amp;TEXT(Chest[[#This Row],[Pct]],"0%")&amp;" of base price)"))</f>
        <v>Creating The Difference</v>
      </c>
      <c r="BW3" s="171" t="s">
        <v>158</v>
      </c>
      <c r="BX3" s="145"/>
      <c r="BY3" s="154"/>
      <c r="BZ3" s="152"/>
      <c r="CB3" s="152" t="s">
        <v>157</v>
      </c>
      <c r="CC3" s="152">
        <v>1</v>
      </c>
      <c r="CD3" s="152" t="str">
        <f>Chest[[#This Row],[Logos]]&amp;IF(CH3="","",IF(Chest[[#This Row],[Use]]="Flat"," (+"&amp;TEXT(Chest[[#This Row],[Flat]],"$0.00")&amp;")"," (+"&amp;TEXT(Chest[[#This Row],[Pct]],"0%")&amp;" of base price)"))</f>
        <v>Creating The Difference</v>
      </c>
      <c r="CE3" s="25" t="s">
        <v>158</v>
      </c>
      <c r="CF3" s="145"/>
      <c r="CG3" s="154"/>
      <c r="CH3" s="152"/>
      <c r="CI3" s="152"/>
      <c r="CJ3" s="152" t="s">
        <v>79</v>
      </c>
      <c r="CK3" s="152">
        <v>1</v>
      </c>
      <c r="CL3" s="152" t="str">
        <f>RightSleeve[[#This Row],[Logos]]</f>
        <v>PBA</v>
      </c>
      <c r="CM3" s="152" t="s">
        <v>79</v>
      </c>
      <c r="CN3" s="154"/>
      <c r="CO3" s="154"/>
      <c r="CP3" s="152"/>
      <c r="CQ3" s="152"/>
      <c r="CR3" s="152" t="s">
        <v>124</v>
      </c>
      <c r="CS3" s="145">
        <v>8</v>
      </c>
      <c r="CU3" s="152" t="s">
        <v>159</v>
      </c>
      <c r="CW3" s="152" t="s">
        <v>71</v>
      </c>
      <c r="CY3" s="152" t="s">
        <v>160</v>
      </c>
      <c r="CZ3" s="152" t="s">
        <v>161</v>
      </c>
      <c r="DC3" s="152" t="s">
        <v>30</v>
      </c>
      <c r="DD3" s="152" t="str">
        <f>ProductionPriority[[#This Row],[Production]]&amp;IF(ProductionPriority[[#This Row],[Price]]="",""," +"&amp;TEXT(ProductionPriority[[#This Row],[Price]],"00%"))</f>
        <v>Standard (approx 3 weeks)</v>
      </c>
      <c r="DH3" s="144" t="e">
        <f>IF(_xlfn.XLOOKUP(CustGroup,#REF!,#REF!)="Yes",ProductionPriority[[#This Row],[Upgrade]],ProductionPriority[[#This Row],[Price]])</f>
        <v>#REF!</v>
      </c>
      <c r="DI3" s="145" t="e">
        <f>ROUNDUP(IF(ProductionPriority[[#This Row],[Actual]]&gt;0,MAX(ProductionPriority[[#This Row],[Minimum]],BOD_Subtotal*ProductionPriority[[#This Row],[Actual]]),0),2)</f>
        <v>#REF!</v>
      </c>
      <c r="DJ3" s="155"/>
      <c r="DK3" s="160" t="s">
        <v>162</v>
      </c>
      <c r="DL3" s="172" t="e">
        <f>MAX(Summary!$D$23*SUMIF(ProductionPriority[Display],PriorityProduction[[#This Row],[Priority Production]],ProductionPriority[Price]),25)</f>
        <v>#REF!</v>
      </c>
      <c r="DM3">
        <v>0</v>
      </c>
      <c r="DN3">
        <v>9</v>
      </c>
      <c r="DP3" s="152" t="s">
        <v>132</v>
      </c>
      <c r="DR3" s="82">
        <v>1</v>
      </c>
      <c r="DS3" s="152" t="s">
        <v>163</v>
      </c>
      <c r="DU3" s="82">
        <v>1</v>
      </c>
      <c r="DV3" s="152" t="s">
        <v>164</v>
      </c>
      <c r="DX3" s="173">
        <v>0</v>
      </c>
      <c r="DY3" s="152"/>
      <c r="EB3" s="174">
        <f t="shared" ref="EB3:EB13" ca="1" si="0">INT(NOW()+1)</f>
        <v>46141</v>
      </c>
      <c r="EC3" s="175">
        <f ca="1">(7-WEEKDAY(IHD_Calc[[#This Row],[Order Date]],15))</f>
        <v>1</v>
      </c>
      <c r="ED3" s="174">
        <f ca="1">IHD_Calc[[#This Row],[Order Date]]+(7-WEEKDAY(IHD_Calc[[#This Row],[Order Date]],15))+IF(IHD_Calc[[#This Row],[Days]]&lt;3,7,0)</f>
        <v>46149</v>
      </c>
      <c r="EE3" s="174">
        <f ca="1">IHD_Calc[[#This Row],[Approval Date]]-5</f>
        <v>46144</v>
      </c>
      <c r="EF3" s="176"/>
      <c r="EG3" s="174" t="str">
        <f ca="1">IFERROR(IHD_Calc[[#This Row],[Approval Date]]+VLOOKUP(IHD_Calc[[#This Row],[Production Priority]],PriorityProduction[],4),"")</f>
        <v/>
      </c>
      <c r="EH3" s="174" t="str">
        <f ca="1">IFERROR(IHD_Calc[[#This Row],[In Transit]]+3,"")</f>
        <v/>
      </c>
      <c r="EI3" s="150">
        <f ca="1">IFERROR(IHD_Calc[[#This Row],[Est Ship Date]]+_xlfn.XLOOKUP(IHD_Calc[[#This Row],[Shipping]],ShipDays[Shipping Service],ShipDays[Ship Days]),0)</f>
        <v>0</v>
      </c>
      <c r="EJ3" s="177" t="s">
        <v>165</v>
      </c>
      <c r="EK3" s="177" t="s">
        <v>165</v>
      </c>
      <c r="EL3" s="178" t="s">
        <v>166</v>
      </c>
    </row>
    <row r="4" spans="1:142">
      <c r="A4">
        <v>2</v>
      </c>
      <c r="B4" s="144">
        <v>0.05</v>
      </c>
      <c r="C4" s="145">
        <f>$C$3*(1-B4)</f>
        <v>46.55</v>
      </c>
      <c r="E4" s="152" t="s">
        <v>67</v>
      </c>
      <c r="F4" s="155" t="s">
        <v>167</v>
      </c>
      <c r="G4" s="154"/>
      <c r="H4" s="154" t="s">
        <v>103</v>
      </c>
      <c r="I4" s="154" t="s">
        <v>168</v>
      </c>
      <c r="J4" s="154"/>
      <c r="K4" s="179" t="str">
        <f>Collection[[#This Row],[Collection]]&amp;IF(Collection[[#This Row],[Price]]="",""," (+"&amp;TEXT(Collection[[#This Row],[Price]],"$0.00"&amp;")"))</f>
        <v>Tour-Line</v>
      </c>
      <c r="L4" s="179" t="str">
        <f>Collection[[#This Row],[Collection]]&amp;IF(Collection[[#This Row],[Price]]="",""," (+"&amp;TEXT(Collection[[#This Row],[Price]],"$0.00"&amp;")"))</f>
        <v>Tour-Line</v>
      </c>
      <c r="M4" s="179"/>
      <c r="N4" s="179"/>
      <c r="P4" s="152" t="s">
        <v>169</v>
      </c>
      <c r="Q4" s="152" t="str">
        <f>Collection[[#This Row],[Collection]]&amp;IF(Collection[[#This Row],[Price]]="",""," (+"&amp;TEXT(Collection[[#This Row],[Price]],"$0.00"&amp;")"))</f>
        <v>Tour-Line</v>
      </c>
      <c r="R4" s="152" t="s">
        <v>170</v>
      </c>
      <c r="T4" s="145" t="s">
        <v>110</v>
      </c>
      <c r="V4" s="152" t="s">
        <v>171</v>
      </c>
      <c r="W4" s="152">
        <v>2</v>
      </c>
      <c r="X4" s="152" t="str">
        <f>Sleeve[[#This Row],[Sleeve]]&amp;IF(Sleeve[[#This Row],[Price]]="",""," (+"&amp;TEXT(Sleeve[[#This Row],[Price]],"$0.00"&amp;")"))</f>
        <v>Sleeveless</v>
      </c>
      <c r="Y4" s="152" t="s">
        <v>172</v>
      </c>
      <c r="Z4" s="145"/>
      <c r="AA4" s="166" t="s">
        <v>109</v>
      </c>
      <c r="AC4" t="str">
        <v>Sleeveless</v>
      </c>
      <c r="AD4" t="str">
        <v>Long</v>
      </c>
      <c r="AF4" s="152" t="s">
        <v>173</v>
      </c>
      <c r="AG4" s="152"/>
      <c r="AH4" s="152" t="str">
        <f>Collar[[#This Row],[Collar]]&amp;IF(Collar[[#This Row],[Price]]="",""," (+"&amp;TEXT(Collar[[#This Row],[Price]],"$0.00"&amp;")"))</f>
        <v>Polo (+$10.00)</v>
      </c>
      <c r="AI4" s="157" t="s">
        <v>174</v>
      </c>
      <c r="AJ4" s="180">
        <v>10</v>
      </c>
      <c r="AK4" s="170" t="s">
        <v>70</v>
      </c>
      <c r="AL4" s="170" t="s">
        <v>109</v>
      </c>
      <c r="AM4" s="170" t="str">
        <f>Collar[[#This Row],[Collection]]&amp;Collar[[#This Row],[Sleeve]]</f>
        <v>PerformanceShort</v>
      </c>
      <c r="AO4" t="str">
        <v>Polo (+$10.00)</v>
      </c>
      <c r="AP4" t="str">
        <v>Polo (+$10.00)</v>
      </c>
      <c r="AQ4" t="str">
        <v>Polo (+$5.00)</v>
      </c>
      <c r="AR4" t="str">
        <v>Polo (+$10.00)</v>
      </c>
      <c r="AS4" t="str">
        <v>Polo (+$10.00)</v>
      </c>
      <c r="AU4" s="158" t="s">
        <v>175</v>
      </c>
      <c r="AV4" s="152">
        <v>2</v>
      </c>
      <c r="AW4" s="152" t="str">
        <f>Size[[#This Row],[Size]]&amp;IF(Size[[#This Row],[Price]]="",""," (+"&amp;TEXT(Size[[#This Row],[Price]],"$0.00")&amp;")")</f>
        <v>Small</v>
      </c>
      <c r="AX4" s="157" t="s">
        <v>150</v>
      </c>
      <c r="AZ4" s="145" t="s">
        <v>77</v>
      </c>
      <c r="BB4" s="145" t="str">
        <v>Small</v>
      </c>
      <c r="BC4" s="145" t="str">
        <v>Small</v>
      </c>
      <c r="BD4" s="145" t="str">
        <v>Small</v>
      </c>
      <c r="BE4" s="145" t="str">
        <v>3T</v>
      </c>
      <c r="BG4" s="158" t="s">
        <v>176</v>
      </c>
      <c r="BH4" s="152" t="str">
        <f>Length[[#This Row],[Length]]&amp;IF(Length[[#This Row],[Price]]="",""," (+"&amp;TEXT(Length[[#This Row],[Price]],"$0.00"&amp;")"))</f>
        <v>+4 (+$6.00)</v>
      </c>
      <c r="BI4" s="157" t="s">
        <v>176</v>
      </c>
      <c r="BJ4" s="145">
        <v>6</v>
      </c>
      <c r="BL4" s="152" t="s">
        <v>177</v>
      </c>
      <c r="BM4" s="152">
        <v>2</v>
      </c>
      <c r="BN4" s="152" t="str">
        <f>Logos[[#This Row],[Logos]]&amp;" (FREE)"</f>
        <v>Custom On File (FREE)</v>
      </c>
      <c r="BO4" s="152" t="s">
        <v>177</v>
      </c>
      <c r="BP4" s="145"/>
      <c r="BQ4" s="154"/>
      <c r="BR4" s="154"/>
      <c r="BT4" s="152" t="s">
        <v>178</v>
      </c>
      <c r="BU4" s="152">
        <v>2</v>
      </c>
      <c r="BV4" s="152" t="s">
        <v>178</v>
      </c>
      <c r="BW4" s="171" t="s">
        <v>179</v>
      </c>
      <c r="BX4" s="145"/>
      <c r="BY4" s="154"/>
      <c r="BZ4" s="152"/>
      <c r="CB4" s="152" t="s">
        <v>178</v>
      </c>
      <c r="CC4" s="152">
        <v>2</v>
      </c>
      <c r="CD4" s="152" t="s">
        <v>178</v>
      </c>
      <c r="CE4" s="25" t="s">
        <v>179</v>
      </c>
      <c r="CF4" s="145"/>
      <c r="CG4" s="154"/>
      <c r="CH4" s="152"/>
      <c r="CI4" s="152"/>
      <c r="CJ4" s="152" t="s">
        <v>180</v>
      </c>
      <c r="CK4" s="152">
        <v>2</v>
      </c>
      <c r="CL4" s="152" t="str">
        <f>RightSleeve[[#This Row],[Logos]]</f>
        <v>PBA50</v>
      </c>
      <c r="CM4" s="152" t="s">
        <v>180</v>
      </c>
      <c r="CN4" s="154"/>
      <c r="CO4" s="154"/>
      <c r="CP4" s="152"/>
      <c r="CQ4" s="152"/>
      <c r="CU4" s="152" t="s">
        <v>72</v>
      </c>
      <c r="CW4" s="152" t="s">
        <v>181</v>
      </c>
      <c r="CY4" s="152" t="s">
        <v>182</v>
      </c>
      <c r="CZ4" s="152" t="s">
        <v>183</v>
      </c>
      <c r="DC4" s="152" t="s">
        <v>184</v>
      </c>
      <c r="DD4" s="152" t="str">
        <f>ProductionPriority[[#This Row],[Production]]&amp;IF(ProductionPriority[[#This Row],[Price]]="",""," +"&amp;TEXT(ProductionPriority[[#This Row],[Price]],"00%"))</f>
        <v>Express (approx 2 weeks) +25%</v>
      </c>
      <c r="DE4" s="181">
        <v>0.25</v>
      </c>
      <c r="DF4" s="181">
        <v>0</v>
      </c>
      <c r="DG4" s="145">
        <v>25</v>
      </c>
      <c r="DH4" s="144" t="e">
        <f>IF(_xlfn.XLOOKUP(CustGroup,#REF!,#REF!)="Yes",ProductionPriority[[#This Row],[Upgrade]],ProductionPriority[[#This Row],[Price]])</f>
        <v>#REF!</v>
      </c>
      <c r="DI4" s="145" t="e">
        <f>ROUNDUP(IF(ProductionPriority[[#This Row],[Actual]]&gt;0,MAX(ProductionPriority[[#This Row],[Minimum]],BOD_Subtotal*ProductionPriority[[#This Row],[Actual]]),0),2)</f>
        <v>#REF!</v>
      </c>
      <c r="DJ4" s="155"/>
      <c r="DK4" s="160" t="s">
        <v>185</v>
      </c>
      <c r="DL4" s="172" t="e">
        <f>MAX(Summary!$D$23*SUMIF(ProductionPriority[Display],PriorityProduction[[#This Row],[Priority Production]],ProductionPriority[Price]),35)</f>
        <v>#REF!</v>
      </c>
      <c r="DM4" s="145" t="e">
        <f>DL4-DL3</f>
        <v>#REF!</v>
      </c>
      <c r="DN4">
        <v>2</v>
      </c>
      <c r="DP4" s="152" t="s">
        <v>3</v>
      </c>
      <c r="DR4" s="82">
        <v>2</v>
      </c>
      <c r="DS4" s="152" t="s">
        <v>186</v>
      </c>
      <c r="DU4" s="82">
        <v>2</v>
      </c>
      <c r="DV4" s="152" t="s">
        <v>187</v>
      </c>
      <c r="DX4" s="182">
        <v>45624</v>
      </c>
      <c r="DY4" s="152" t="s">
        <v>188</v>
      </c>
      <c r="EB4" s="174">
        <f t="shared" ca="1" si="0"/>
        <v>46141</v>
      </c>
      <c r="EC4" s="175">
        <f ca="1">(7-WEEKDAY(IHD_Calc[[#This Row],[Order Date]],15))</f>
        <v>1</v>
      </c>
      <c r="ED4" s="174">
        <f ca="1">IHD_Calc[[#This Row],[Order Date]]+(7-WEEKDAY(IHD_Calc[[#This Row],[Order Date]],15))+IF(IHD_Calc[[#This Row],[Days]]&lt;3,7,0)</f>
        <v>46149</v>
      </c>
      <c r="EE4" s="174">
        <f ca="1">IHD_Calc[[#This Row],[Approval Date]]-5</f>
        <v>46144</v>
      </c>
      <c r="EF4" s="176" t="s">
        <v>185</v>
      </c>
      <c r="EG4" s="174">
        <f ca="1">IFERROR(IHD_Calc[[#This Row],[Approval Date]]+VLOOKUP(IHD_Calc[[#This Row],[Production Priority]],PriorityProduction[],4),"")</f>
        <v>46151</v>
      </c>
      <c r="EH4" s="174">
        <f ca="1">IFERROR(IHD_Calc[[#This Row],[In Transit]]+3,"")</f>
        <v>46154</v>
      </c>
      <c r="EI4" s="150">
        <f ca="1">IFERROR(IHD_Calc[[#This Row],[Est Ship Date]]+_xlfn.XLOOKUP(IHD_Calc[[#This Row],[Shipping]],ShipDays[Shipping Service],ShipDays[Ship Days]),0)</f>
        <v>46155</v>
      </c>
      <c r="EJ4" s="177" t="s">
        <v>164</v>
      </c>
      <c r="EK4" s="177" t="s">
        <v>189</v>
      </c>
      <c r="EL4" s="178" t="str">
        <f>"To meet your in hand date it may require "&amp;IHD_Calc[[#This Row],[Production]]&amp;" production and UPS "&amp;UPPER(IHD_Calc[[#This Row],[Shipping]])&amp;" delivery service."</f>
        <v>To meet your in hand date it may require PRIORITY production and UPS OVERNIGHT delivery service.</v>
      </c>
    </row>
    <row r="5" spans="1:142">
      <c r="A5">
        <v>4</v>
      </c>
      <c r="B5" s="144">
        <v>0.1</v>
      </c>
      <c r="C5" s="145">
        <f>$C$3*(1-B5)</f>
        <v>44.1</v>
      </c>
      <c r="E5" s="152" t="s">
        <v>104</v>
      </c>
      <c r="F5" s="155" t="s">
        <v>190</v>
      </c>
      <c r="G5" s="154"/>
      <c r="H5" s="154" t="s">
        <v>104</v>
      </c>
      <c r="I5" s="154" t="s">
        <v>191</v>
      </c>
      <c r="J5" s="154"/>
      <c r="K5" s="154"/>
      <c r="L5" s="154"/>
      <c r="M5" s="154"/>
      <c r="N5" s="154"/>
      <c r="P5" s="152"/>
      <c r="V5" s="152" t="s">
        <v>192</v>
      </c>
      <c r="W5" s="152">
        <v>3</v>
      </c>
      <c r="X5" s="152" t="str">
        <f>Sleeve[[#This Row],[Sleeve]]&amp;IF(Sleeve[[#This Row],[Price]]="",""," (+"&amp;TEXT(Sleeve[[#This Row],[Price]],"$0.00"&amp;")"))</f>
        <v>Long (+$10.00)</v>
      </c>
      <c r="Y5" s="152" t="s">
        <v>193</v>
      </c>
      <c r="Z5" s="145">
        <v>10</v>
      </c>
      <c r="AA5" s="166" t="s">
        <v>109</v>
      </c>
      <c r="AC5" t="str">
        <v>Long</v>
      </c>
      <c r="AF5" s="167" t="s">
        <v>194</v>
      </c>
      <c r="AG5" s="167"/>
      <c r="AH5" s="152" t="str">
        <f>Collar[[#This Row],[Collar]]&amp;IF(Collar[[#This Row],[Price]]="",""," (+"&amp;TEXT(Collar[[#This Row],[Price]],"$0.00"&amp;")"))</f>
        <v>V-Neck</v>
      </c>
      <c r="AI5" s="168" t="s">
        <v>195</v>
      </c>
      <c r="AJ5" s="169"/>
      <c r="AK5" s="165" t="s">
        <v>70</v>
      </c>
      <c r="AL5" s="170" t="s">
        <v>109</v>
      </c>
      <c r="AM5" s="165" t="str">
        <f>Collar[[#This Row],[Collection]]&amp;Collar[[#This Row],[Sleeve]]</f>
        <v>PerformanceShort</v>
      </c>
      <c r="AO5" t="str">
        <v>V-Neck</v>
      </c>
      <c r="AP5" t="str">
        <v>V-Neck</v>
      </c>
      <c r="AQ5" t="str">
        <v>V-Neck</v>
      </c>
      <c r="AR5" t="str">
        <v>V-Neck</v>
      </c>
      <c r="AS5" t="str">
        <v>V-Neck</v>
      </c>
      <c r="AU5" s="158" t="s">
        <v>68</v>
      </c>
      <c r="AV5" s="152">
        <v>3</v>
      </c>
      <c r="AW5" s="152" t="str">
        <f>Size[[#This Row],[Size]]&amp;IF(Size[[#This Row],[Price]]="",""," (+"&amp;TEXT(Size[[#This Row],[Price]],"$0.00")&amp;")")</f>
        <v>Medium</v>
      </c>
      <c r="AX5" s="157" t="s">
        <v>147</v>
      </c>
      <c r="AZ5" s="145" t="s">
        <v>77</v>
      </c>
      <c r="BB5" s="145" t="str">
        <v>Medium</v>
      </c>
      <c r="BC5" s="145" t="str">
        <v>Medium</v>
      </c>
      <c r="BD5" s="145" t="str">
        <v>Medium</v>
      </c>
      <c r="BE5" s="145" t="str">
        <v>4T</v>
      </c>
      <c r="BG5" s="158" t="s">
        <v>196</v>
      </c>
      <c r="BH5" s="152" t="str">
        <f>Length[[#This Row],[Length]]&amp;IF(Length[[#This Row],[Price]]="",""," (+"&amp;TEXT(Length[[#This Row],[Price]],"$0.00"&amp;")"))</f>
        <v>+6 (+$9.00)</v>
      </c>
      <c r="BI5" s="157" t="s">
        <v>196</v>
      </c>
      <c r="BJ5" s="145">
        <v>9</v>
      </c>
      <c r="BL5" s="152" t="s">
        <v>197</v>
      </c>
      <c r="BM5" s="152">
        <v>3</v>
      </c>
      <c r="BN5" s="152" t="str">
        <f>Logos[[#This Row],[Logos]]&amp;IF(Logos[[#This Row],[Use]]="Flat"," (+"&amp;TEXT(Logos[[#This Row],[Flat]],"$0.00")&amp;")"," (+"&amp;TEXT(Logos[[#This Row],[Pct]],"0%")&amp;" of base price)")</f>
        <v>900 Global (+$5.00)</v>
      </c>
      <c r="BO5" s="152" t="s">
        <v>198</v>
      </c>
      <c r="BP5" s="144">
        <v>0.1</v>
      </c>
      <c r="BQ5" s="183">
        <v>5</v>
      </c>
      <c r="BR5" s="153" t="s">
        <v>122</v>
      </c>
      <c r="BT5" s="152" t="s">
        <v>199</v>
      </c>
      <c r="BU5" s="152">
        <v>3</v>
      </c>
      <c r="BV5" s="152" t="str">
        <f>Chest[[#This Row],[Logos]]&amp;IF(BZ5="","",IF(Chest[[#This Row],[Use]]="Flat"," (+"&amp;TEXT(Chest[[#This Row],[Flat]],"$0.00")&amp;")"," (+"&amp;TEXT(Chest[[#This Row],[Pct]],"0%")&amp;" of base price)"))</f>
        <v>Turbo</v>
      </c>
      <c r="BW5" s="171" t="s">
        <v>199</v>
      </c>
      <c r="BX5" s="145"/>
      <c r="BY5" s="154"/>
      <c r="BZ5" s="152"/>
      <c r="CB5" s="152" t="s">
        <v>199</v>
      </c>
      <c r="CC5" s="152">
        <v>3</v>
      </c>
      <c r="CD5" s="152" t="str">
        <f>Chest[[#This Row],[Logos]]&amp;IF(CH5="","",IF(Chest[[#This Row],[Use]]="Flat"," (+"&amp;TEXT(Chest[[#This Row],[Flat]],"$0.00")&amp;")"," (+"&amp;TEXT(Chest[[#This Row],[Pct]],"0%")&amp;" of base price)"))</f>
        <v>Turbo</v>
      </c>
      <c r="CE5" s="25" t="s">
        <v>199</v>
      </c>
      <c r="CF5" s="145"/>
      <c r="CG5" s="154"/>
      <c r="CH5" s="152"/>
      <c r="CI5" s="152"/>
      <c r="CJ5" s="152" t="s">
        <v>200</v>
      </c>
      <c r="CK5" s="152">
        <v>3</v>
      </c>
      <c r="CL5" s="152" t="str">
        <f>RightSleeve[[#This Row],[Logos]]</f>
        <v>PBA Jr</v>
      </c>
      <c r="CM5" s="152" t="s">
        <v>201</v>
      </c>
      <c r="CN5" s="154"/>
      <c r="CO5" s="154"/>
      <c r="CP5" s="152"/>
      <c r="CQ5" s="152"/>
      <c r="CY5" s="152" t="s">
        <v>202</v>
      </c>
      <c r="CZ5" s="152" t="s">
        <v>203</v>
      </c>
      <c r="DC5" s="152" t="s">
        <v>204</v>
      </c>
      <c r="DD5" s="152" t="str">
        <f>ProductionPriority[[#This Row],[Production]]&amp;IF(ProductionPriority[[#This Row],[Price]]="",""," +"&amp;TEXT(ProductionPriority[[#This Row],[Price]],"00%"))</f>
        <v>Priority (approx 1 week) +35%</v>
      </c>
      <c r="DE5" s="184">
        <v>0.35</v>
      </c>
      <c r="DF5" s="184">
        <v>0.1</v>
      </c>
      <c r="DG5" s="145">
        <v>35</v>
      </c>
      <c r="DH5" s="144" t="e">
        <f>IF(_xlfn.XLOOKUP(CustGroup,#REF!,#REF!)="Yes",ProductionPriority[[#This Row],[Upgrade]],ProductionPriority[[#This Row],[Price]])</f>
        <v>#REF!</v>
      </c>
      <c r="DI5" s="145" t="e">
        <f>ROUNDUP(IF(ProductionPriority[[#This Row],[Actual]]&gt;0,MAX(ProductionPriority[[#This Row],[Minimum]],BOD_Subtotal*ProductionPriority[[#This Row],[Actual]]),0),2)</f>
        <v>#REF!</v>
      </c>
      <c r="DJ5" s="155"/>
      <c r="DK5" s="160" t="s">
        <v>30</v>
      </c>
      <c r="DL5" s="172">
        <v>0</v>
      </c>
      <c r="DM5" s="145">
        <v>0</v>
      </c>
      <c r="DN5">
        <v>16</v>
      </c>
      <c r="DR5" s="82">
        <v>3</v>
      </c>
      <c r="DS5" s="152" t="s">
        <v>205</v>
      </c>
      <c r="DU5" s="82">
        <v>3</v>
      </c>
      <c r="DV5" s="152" t="s">
        <v>206</v>
      </c>
      <c r="DX5" s="182">
        <v>45651</v>
      </c>
      <c r="DY5" s="152" t="s">
        <v>207</v>
      </c>
      <c r="EB5" s="174">
        <f t="shared" ca="1" si="0"/>
        <v>46141</v>
      </c>
      <c r="EC5" s="175">
        <f ca="1">(7-WEEKDAY(IHD_Calc[[#This Row],[Order Date]],15))</f>
        <v>1</v>
      </c>
      <c r="ED5" s="174">
        <f ca="1">IHD_Calc[[#This Row],[Order Date]]+(7-WEEKDAY(IHD_Calc[[#This Row],[Order Date]],15))+IF(IHD_Calc[[#This Row],[Days]]&lt;3,7,0)</f>
        <v>46149</v>
      </c>
      <c r="EE5" s="174">
        <f ca="1">IHD_Calc[[#This Row],[Approval Date]]-5</f>
        <v>46144</v>
      </c>
      <c r="EF5" s="176" t="s">
        <v>185</v>
      </c>
      <c r="EG5" s="174">
        <f ca="1">IFERROR(IHD_Calc[[#This Row],[Approval Date]]+VLOOKUP(IHD_Calc[[#This Row],[Production Priority]],PriorityProduction[],4),"")</f>
        <v>46151</v>
      </c>
      <c r="EH5" s="174">
        <f ca="1">IFERROR(IHD_Calc[[#This Row],[In Transit]]+3,"")</f>
        <v>46154</v>
      </c>
      <c r="EI5" s="150">
        <f ca="1">IFERROR(IHD_Calc[[#This Row],[Est Ship Date]]+_xlfn.XLOOKUP(IHD_Calc[[#This Row],[Shipping]],ShipDays[Shipping Service],ShipDays[Ship Days]),0)</f>
        <v>46156</v>
      </c>
      <c r="EJ5" s="177" t="s">
        <v>187</v>
      </c>
      <c r="EK5" s="177" t="s">
        <v>189</v>
      </c>
      <c r="EL5" s="178" t="str">
        <f>"To meet your in hand date it may require "&amp;IHD_Calc[[#This Row],[Production]]&amp;" production and UPS "&amp;UPPER(IHD_Calc[[#This Row],[Shipping]])&amp;" delivery service."</f>
        <v>To meet your in hand date it may require PRIORITY production and UPS TWO DAY delivery service.</v>
      </c>
    </row>
    <row r="6" spans="1:142">
      <c r="A6">
        <v>25</v>
      </c>
      <c r="B6" s="144">
        <v>0.15</v>
      </c>
      <c r="C6" s="145">
        <f>$C$3*(1-B6)</f>
        <v>41.65</v>
      </c>
      <c r="E6" s="152" t="s">
        <v>105</v>
      </c>
      <c r="F6" s="155" t="s">
        <v>208</v>
      </c>
      <c r="G6" s="154"/>
      <c r="H6" s="154" t="s">
        <v>105</v>
      </c>
      <c r="I6" s="154" t="s">
        <v>209</v>
      </c>
      <c r="J6" s="154"/>
      <c r="K6" s="154"/>
      <c r="L6" s="154"/>
      <c r="M6" s="154"/>
      <c r="N6" s="154"/>
      <c r="V6" s="152" t="s">
        <v>70</v>
      </c>
      <c r="W6" s="152"/>
      <c r="X6" s="152" t="str">
        <f>Sleeve[[#This Row],[Sleeve]]&amp;IF(Sleeve[[#This Row],[Price]]="",""," (+"&amp;TEXT(Sleeve[[#This Row],[Price]],"$0.00"&amp;")"))</f>
        <v>Short (+$15.00)</v>
      </c>
      <c r="Y6" s="152" t="s">
        <v>150</v>
      </c>
      <c r="Z6" s="145">
        <v>15</v>
      </c>
      <c r="AA6" s="185" t="s">
        <v>110</v>
      </c>
      <c r="AF6" s="152" t="s">
        <v>210</v>
      </c>
      <c r="AG6" s="152"/>
      <c r="AH6" s="152" t="str">
        <f>Collar[[#This Row],[Collar]]&amp;IF(Collar[[#This Row],[Price]]="",""," (+"&amp;TEXT(Collar[[#This Row],[Price]],"$0.00"&amp;")"))</f>
        <v>Crew</v>
      </c>
      <c r="AI6" s="157" t="s">
        <v>211</v>
      </c>
      <c r="AJ6" s="180"/>
      <c r="AK6" s="170" t="s">
        <v>70</v>
      </c>
      <c r="AL6" s="170" t="s">
        <v>109</v>
      </c>
      <c r="AM6" s="170" t="str">
        <f>Collar[[#This Row],[Collection]]&amp;Collar[[#This Row],[Sleeve]]</f>
        <v>PerformanceShort</v>
      </c>
      <c r="AO6" t="str">
        <v>Crew</v>
      </c>
      <c r="AP6" t="str">
        <v>Crew</v>
      </c>
      <c r="AQ6" t="str">
        <v>Crew</v>
      </c>
      <c r="AR6" t="str">
        <v>Crew</v>
      </c>
      <c r="AS6" t="str">
        <v>Crew</v>
      </c>
      <c r="AU6" s="158" t="s">
        <v>76</v>
      </c>
      <c r="AV6" s="152">
        <v>4</v>
      </c>
      <c r="AW6" s="152" t="str">
        <f>Size[[#This Row],[Size]]&amp;IF(Size[[#This Row],[Price]]="",""," (+"&amp;TEXT(Size[[#This Row],[Price]],"$0.00")&amp;")")</f>
        <v>Large</v>
      </c>
      <c r="AX6" s="157" t="s">
        <v>193</v>
      </c>
      <c r="AZ6" s="145" t="s">
        <v>77</v>
      </c>
      <c r="BB6" s="145" t="str">
        <v>Large</v>
      </c>
      <c r="BC6" s="145" t="str">
        <v>Large</v>
      </c>
      <c r="BD6" s="145" t="str">
        <v>Large</v>
      </c>
      <c r="BE6" s="145" t="str">
        <v>5T</v>
      </c>
      <c r="BL6" s="152" t="s">
        <v>212</v>
      </c>
      <c r="BM6" s="152">
        <v>4</v>
      </c>
      <c r="BN6" s="152" t="str">
        <f>Logos[[#This Row],[Logos]]&amp;IF(Logos[[#This Row],[Use]]="Flat"," (+"&amp;TEXT(Logos[[#This Row],[Flat]],"$0.00")&amp;")"," (+"&amp;TEXT(Logos[[#This Row],[Pct]],"0%")&amp;" of base price)")</f>
        <v>Brunswick (+$5.00)</v>
      </c>
      <c r="BO6" s="152" t="s">
        <v>212</v>
      </c>
      <c r="BP6" s="144">
        <v>0.1</v>
      </c>
      <c r="BQ6" s="183">
        <v>5</v>
      </c>
      <c r="BR6" s="153" t="s">
        <v>122</v>
      </c>
      <c r="BT6" s="152" t="s">
        <v>213</v>
      </c>
      <c r="BU6" s="152">
        <v>4</v>
      </c>
      <c r="BV6" s="152" t="str">
        <f>Chest[[#This Row],[Logos]]&amp;IF(BZ6="","",IF(Chest[[#This Row],[Use]]="Flat"," (+"&amp;TEXT(Chest[[#This Row],[Flat]],"$0.00")&amp;")"," (+"&amp;TEXT(Chest[[#This Row],[Pct]],"0%")&amp;" of base price)"))</f>
        <v>VISE</v>
      </c>
      <c r="BW6" s="186" t="s">
        <v>213</v>
      </c>
      <c r="BX6" s="145"/>
      <c r="BY6" s="154"/>
      <c r="BZ6" s="152"/>
      <c r="CB6" s="152" t="s">
        <v>213</v>
      </c>
      <c r="CC6" s="152">
        <v>4</v>
      </c>
      <c r="CD6" s="152" t="str">
        <f>Chest[[#This Row],[Logos]]&amp;IF(CH6="","",IF(Chest[[#This Row],[Use]]="Flat"," (+"&amp;TEXT(Chest[[#This Row],[Flat]],"$0.00")&amp;")"," (+"&amp;TEXT(Chest[[#This Row],[Pct]],"0%")&amp;" of base price)"))</f>
        <v>VISE</v>
      </c>
      <c r="CE6" s="186" t="s">
        <v>213</v>
      </c>
      <c r="CF6" s="145"/>
      <c r="CG6" s="154"/>
      <c r="CH6" s="152"/>
      <c r="CI6" s="152"/>
      <c r="CJ6" s="152" t="s">
        <v>75</v>
      </c>
      <c r="CK6" s="152">
        <v>4</v>
      </c>
      <c r="CL6" s="152" t="str">
        <f>RightSleeve[[#This Row],[Logos]]</f>
        <v>PWBA</v>
      </c>
      <c r="CM6" s="152" t="s">
        <v>75</v>
      </c>
      <c r="CN6" s="154"/>
      <c r="CO6" s="154"/>
      <c r="CP6" s="152"/>
      <c r="CQ6" s="152"/>
      <c r="CY6" s="152" t="s">
        <v>73</v>
      </c>
      <c r="CZ6" s="152" t="s">
        <v>214</v>
      </c>
      <c r="DR6" s="82">
        <v>4</v>
      </c>
      <c r="DS6" s="152" t="s">
        <v>215</v>
      </c>
      <c r="DU6" s="82">
        <v>10</v>
      </c>
      <c r="DV6" s="152" t="s">
        <v>216</v>
      </c>
      <c r="DX6" s="182">
        <v>45658</v>
      </c>
      <c r="DY6" s="152" t="s">
        <v>217</v>
      </c>
      <c r="EB6" s="174">
        <f t="shared" ca="1" si="0"/>
        <v>46141</v>
      </c>
      <c r="EC6" s="175">
        <f ca="1">(7-WEEKDAY(IHD_Calc[[#This Row],[Order Date]],15))</f>
        <v>1</v>
      </c>
      <c r="ED6" s="174">
        <f ca="1">IHD_Calc[[#This Row],[Order Date]]+(7-WEEKDAY(IHD_Calc[[#This Row],[Order Date]],15))+IF(IHD_Calc[[#This Row],[Days]]&lt;3,7,0)</f>
        <v>46149</v>
      </c>
      <c r="EE6" s="174">
        <f ca="1">IHD_Calc[[#This Row],[Approval Date]]-5</f>
        <v>46144</v>
      </c>
      <c r="EF6" s="176" t="s">
        <v>185</v>
      </c>
      <c r="EG6" s="174">
        <f ca="1">IFERROR(IHD_Calc[[#This Row],[Approval Date]]+VLOOKUP(IHD_Calc[[#This Row],[Production Priority]],PriorityProduction[],4),"")</f>
        <v>46151</v>
      </c>
      <c r="EH6" s="174">
        <f ca="1">IFERROR(IHD_Calc[[#This Row],[In Transit]]+3,"")</f>
        <v>46154</v>
      </c>
      <c r="EI6" s="150">
        <f ca="1">IFERROR(IHD_Calc[[#This Row],[Est Ship Date]]+_xlfn.XLOOKUP(IHD_Calc[[#This Row],[Shipping]],ShipDays[Shipping Service],ShipDays[Ship Days]),0)</f>
        <v>46157</v>
      </c>
      <c r="EJ6" s="177" t="s">
        <v>206</v>
      </c>
      <c r="EK6" s="177" t="s">
        <v>189</v>
      </c>
      <c r="EL6" s="178" t="str">
        <f>"To meet your in hand date it may require "&amp;IHD_Calc[[#This Row],[Production]]&amp;" production and UPS "&amp;UPPER(IHD_Calc[[#This Row],[Shipping]])&amp;" delivery service."</f>
        <v>To meet your in hand date it may require PRIORITY production and UPS 3-DAY SELECT delivery service.</v>
      </c>
    </row>
    <row r="7" spans="1:142">
      <c r="A7">
        <v>100</v>
      </c>
      <c r="B7" s="144">
        <v>0.2</v>
      </c>
      <c r="C7" s="145">
        <f>$C$3*(1-B7)</f>
        <v>39.200000000000003</v>
      </c>
      <c r="V7" s="152" t="s">
        <v>192</v>
      </c>
      <c r="W7" s="152"/>
      <c r="X7" s="152" t="str">
        <f>Sleeve[[#This Row],[Sleeve]]&amp;IF(Sleeve[[#This Row],[Price]]="",""," (+"&amp;TEXT(Sleeve[[#This Row],[Price]],"$0.00"&amp;")"))</f>
        <v>Long (+$25.00)</v>
      </c>
      <c r="Y7" s="152" t="s">
        <v>193</v>
      </c>
      <c r="Z7" s="145">
        <v>25</v>
      </c>
      <c r="AA7" s="185" t="s">
        <v>110</v>
      </c>
      <c r="AF7" s="167" t="s">
        <v>218</v>
      </c>
      <c r="AG7" s="167"/>
      <c r="AH7" s="152" t="str">
        <f>Collar[[#This Row],[Collar]]&amp;IF(Collar[[#This Row],[Price]]="",""," (+"&amp;TEXT(Collar[[#This Row],[Price]],"$0.00"&amp;")"))</f>
        <v>1/4 Zip Blade (+$10.00)</v>
      </c>
      <c r="AI7" s="168" t="s">
        <v>219</v>
      </c>
      <c r="AJ7" s="169">
        <v>10</v>
      </c>
      <c r="AK7" s="165" t="s">
        <v>70</v>
      </c>
      <c r="AL7" s="170" t="s">
        <v>109</v>
      </c>
      <c r="AM7" s="165" t="str">
        <f>Collar[[#This Row],[Collection]]&amp;Collar[[#This Row],[Sleeve]]</f>
        <v>PerformanceShort</v>
      </c>
      <c r="AO7" t="str">
        <v>1/4 Zip Blade (+$10.00)</v>
      </c>
      <c r="AP7" t="str">
        <v>Lightweight Hoodie (+$15.00)</v>
      </c>
      <c r="AQ7" t="str">
        <v>1/4 Zip Polo (+$5.00)</v>
      </c>
      <c r="AR7" t="str">
        <v>1/4 Zip Blade (+$10.00)</v>
      </c>
      <c r="AS7" t="str">
        <v>1/4 Zip Polo (+$10.00)</v>
      </c>
      <c r="AU7" s="158" t="s">
        <v>78</v>
      </c>
      <c r="AV7" s="152">
        <v>5</v>
      </c>
      <c r="AW7" s="152" t="str">
        <f>Size[[#This Row],[Size]]&amp;IF(Size[[#This Row],[Price]]="",""," (+"&amp;TEXT(Size[[#This Row],[Price]],"$0.00")&amp;")")</f>
        <v>X-Large</v>
      </c>
      <c r="AX7" s="157" t="s">
        <v>220</v>
      </c>
      <c r="AZ7" s="145" t="s">
        <v>77</v>
      </c>
      <c r="BB7" s="145" t="str">
        <v>X-Large</v>
      </c>
      <c r="BC7" s="145" t="str">
        <v>X-Large</v>
      </c>
      <c r="BD7" s="145" t="str">
        <v>X-Large</v>
      </c>
      <c r="BL7" s="152" t="s">
        <v>221</v>
      </c>
      <c r="BM7" s="152">
        <v>5</v>
      </c>
      <c r="BN7" s="152" t="str">
        <f>Logos[[#This Row],[Logos]]&amp;IF(Logos[[#This Row],[Use]]="Flat"," (+"&amp;TEXT(Logos[[#This Row],[Flat]],"$0.00")&amp;")"," (+"&amp;TEXT(Logos[[#This Row],[Pct]],"0%")&amp;" of base price)")</f>
        <v>Columbia (+$5.00)</v>
      </c>
      <c r="BO7" s="152" t="s">
        <v>221</v>
      </c>
      <c r="BP7" s="144">
        <v>0.1</v>
      </c>
      <c r="BQ7" s="183">
        <v>5</v>
      </c>
      <c r="BR7" s="153" t="s">
        <v>122</v>
      </c>
      <c r="BT7" s="152" t="s">
        <v>156</v>
      </c>
      <c r="BU7" s="152">
        <v>20</v>
      </c>
      <c r="BV7" s="152" t="str">
        <f>Chest[[#This Row],[Logos]]&amp;" ($30 Per Order)"</f>
        <v>Custom ($30 Per Order)</v>
      </c>
      <c r="BW7" s="171" t="s">
        <v>156</v>
      </c>
      <c r="BX7" s="145"/>
      <c r="BY7" s="154"/>
      <c r="BZ7" s="154"/>
      <c r="CB7" s="152" t="s">
        <v>222</v>
      </c>
      <c r="CC7" s="152">
        <v>11</v>
      </c>
      <c r="CD7" s="152" t="str">
        <f>LeftSleeve[[#This Row],[Logos]]&amp;IF(LeftSleeve[[#This Row],[Use]]="","",IF(LeftSleeve[[#This Row],[Use]]="Flat"," (+"&amp;TEXT(LeftSleeve[[#This Row],[Flat]],"$0.00")&amp;")"," (+"&amp;TEXT(LeftSleeve[[#This Row],[Pct]],"0%")&amp;" of base price)"))</f>
        <v>US Flag (+$5.00)</v>
      </c>
      <c r="CE7" s="186" t="s">
        <v>223</v>
      </c>
      <c r="CF7" s="145"/>
      <c r="CG7" s="154">
        <v>5</v>
      </c>
      <c r="CH7" s="152" t="s">
        <v>122</v>
      </c>
      <c r="CI7" s="152"/>
      <c r="CJ7" s="152" t="s">
        <v>224</v>
      </c>
      <c r="CK7" s="152">
        <v>5</v>
      </c>
      <c r="CL7" s="152" t="str">
        <f>RightSleeve[[#This Row],[Logos]]</f>
        <v>9-Tap</v>
      </c>
      <c r="CM7" s="152" t="s">
        <v>225</v>
      </c>
      <c r="CN7" s="152"/>
      <c r="CO7" s="152"/>
      <c r="CP7" s="152"/>
      <c r="CQ7" s="152"/>
      <c r="CY7" s="152" t="s">
        <v>226</v>
      </c>
      <c r="CZ7" s="152" t="s">
        <v>227</v>
      </c>
      <c r="DR7" s="82">
        <v>5</v>
      </c>
      <c r="DS7" s="152" t="s">
        <v>228</v>
      </c>
      <c r="DX7" s="182">
        <v>45803</v>
      </c>
      <c r="DY7" s="152" t="s">
        <v>229</v>
      </c>
      <c r="DZ7" t="s">
        <v>230</v>
      </c>
      <c r="EB7" s="174">
        <f t="shared" ca="1" si="0"/>
        <v>46141</v>
      </c>
      <c r="EC7" s="175">
        <f ca="1">(7-WEEKDAY(IHD_Calc[[#This Row],[Order Date]],15))</f>
        <v>1</v>
      </c>
      <c r="ED7" s="174">
        <f ca="1">IHD_Calc[[#This Row],[Order Date]]+(7-WEEKDAY(IHD_Calc[[#This Row],[Order Date]],15))+IF(IHD_Calc[[#This Row],[Days]]&lt;3,7,0)</f>
        <v>46149</v>
      </c>
      <c r="EE7" s="174">
        <f ca="1">IHD_Calc[[#This Row],[Approval Date]]-5</f>
        <v>46144</v>
      </c>
      <c r="EF7" s="176" t="s">
        <v>162</v>
      </c>
      <c r="EG7" s="174">
        <f ca="1">IFERROR(IHD_Calc[[#This Row],[Approval Date]]+VLOOKUP(IHD_Calc[[#This Row],[Production Priority]],PriorityProduction[],4),"")</f>
        <v>46158</v>
      </c>
      <c r="EH7" s="174">
        <f ca="1">IFERROR(IHD_Calc[[#This Row],[In Transit]]+3,"")</f>
        <v>46161</v>
      </c>
      <c r="EI7" s="150">
        <f ca="1">IFERROR(IHD_Calc[[#This Row],[Est Ship Date]]+_xlfn.XLOOKUP(IHD_Calc[[#This Row],[Shipping]],ShipDays[Shipping Service],ShipDays[Ship Days]),0)</f>
        <v>46162</v>
      </c>
      <c r="EJ7" s="177" t="s">
        <v>164</v>
      </c>
      <c r="EK7" s="177" t="s">
        <v>231</v>
      </c>
      <c r="EL7" s="178" t="str">
        <f>"To meet your in hand date it may require "&amp;IHD_Calc[[#This Row],[Production]]&amp;" production and UPS "&amp;UPPER(IHD_Calc[[#This Row],[Shipping]])&amp;" delivery service."</f>
        <v>To meet your in hand date it may require EXPRESS production and UPS OVERNIGHT delivery service.</v>
      </c>
    </row>
    <row r="8" spans="1:142">
      <c r="AF8" s="152" t="s">
        <v>232</v>
      </c>
      <c r="AG8" s="152"/>
      <c r="AH8" s="152" t="str">
        <f>Collar[[#This Row],[Collar]]&amp;IF(Collar[[#This Row],[Price]]="",""," (+"&amp;TEXT(Collar[[#This Row],[Price]],"$0.00"&amp;")"))</f>
        <v>3 Button Blade (+$10.00)</v>
      </c>
      <c r="AI8" s="157" t="s">
        <v>233</v>
      </c>
      <c r="AJ8" s="180">
        <v>10</v>
      </c>
      <c r="AK8" s="170" t="s">
        <v>70</v>
      </c>
      <c r="AL8" s="170" t="s">
        <v>109</v>
      </c>
      <c r="AM8" s="170" t="str">
        <f>Collar[[#This Row],[Collection]]&amp;Collar[[#This Row],[Sleeve]]</f>
        <v>PerformanceShort</v>
      </c>
      <c r="AO8" t="str">
        <v>3 Button Blade (+$10.00)</v>
      </c>
      <c r="AQ8" t="str">
        <v>1/4 Zip Pullover (+$5.00)</v>
      </c>
      <c r="AR8" t="str">
        <v>3 Button Blade (+$10.00)</v>
      </c>
      <c r="AU8" s="158" t="s">
        <v>234</v>
      </c>
      <c r="AV8">
        <v>6</v>
      </c>
      <c r="AW8" t="str">
        <f>Size[[#This Row],[Size]]&amp;IF(Size[[#This Row],[Price]]="",""," (+"&amp;TEXT(Size[[#This Row],[Price]],"$0.00")&amp;")")</f>
        <v>2X-Large (+$2.00)</v>
      </c>
      <c r="AX8" s="146">
        <v>2</v>
      </c>
      <c r="AY8" s="145">
        <v>2</v>
      </c>
      <c r="AZ8" s="145" t="s">
        <v>77</v>
      </c>
      <c r="BB8" s="145" t="str">
        <v>2X-Large (+$2.00)</v>
      </c>
      <c r="BC8" s="145" t="str">
        <v>2X-Large (+$2.00)</v>
      </c>
      <c r="BL8" s="152" t="s">
        <v>235</v>
      </c>
      <c r="BM8" s="152">
        <v>6</v>
      </c>
      <c r="BN8" s="152" t="str">
        <f>Logos[[#This Row],[Logos]]&amp;IF(Logos[[#This Row],[Use]]="Flat"," (+"&amp;TEXT(Logos[[#This Row],[Flat]],"$0.00")&amp;")"," (+"&amp;TEXT(Logos[[#This Row],[Pct]],"0%")&amp;" of base price)")</f>
        <v>DV8 (+$5.00)</v>
      </c>
      <c r="BO8" s="152" t="s">
        <v>235</v>
      </c>
      <c r="BP8" s="144">
        <v>0.1</v>
      </c>
      <c r="BQ8" s="183">
        <v>5</v>
      </c>
      <c r="BR8" s="153" t="s">
        <v>122</v>
      </c>
      <c r="BT8" s="152" t="s">
        <v>177</v>
      </c>
      <c r="BU8" s="152">
        <v>21</v>
      </c>
      <c r="BV8" s="152" t="str">
        <f>Chest[[#This Row],[Logos]]&amp;" (FREE)"</f>
        <v>Custom On File (FREE)</v>
      </c>
      <c r="BW8" s="171" t="s">
        <v>177</v>
      </c>
      <c r="BX8" s="145"/>
      <c r="BY8" s="154"/>
      <c r="BZ8" s="154"/>
      <c r="CB8" s="152" t="s">
        <v>236</v>
      </c>
      <c r="CC8" s="152">
        <v>12</v>
      </c>
      <c r="CD8" s="152" t="str">
        <f>LeftSleeve[[#This Row],[Logos]]&amp;IF(LeftSleeve[[#This Row],[Use]]="","",IF(LeftSleeve[[#This Row],[Use]]="Flat"," (+"&amp;TEXT(LeftSleeve[[#This Row],[Flat]],"$0.00")&amp;")"," (+"&amp;TEXT(LeftSleeve[[#This Row],[Pct]],"0%")&amp;" of base price)"))</f>
        <v>Canada Flag (+$5.00)</v>
      </c>
      <c r="CE8" s="186" t="s">
        <v>237</v>
      </c>
      <c r="CF8" s="145"/>
      <c r="CG8" s="154">
        <v>5</v>
      </c>
      <c r="CH8" s="152" t="s">
        <v>122</v>
      </c>
      <c r="CI8" s="152"/>
      <c r="CJ8" s="152" t="s">
        <v>178</v>
      </c>
      <c r="CK8" s="152">
        <v>6</v>
      </c>
      <c r="CL8" s="152" t="str">
        <f>RightSleeve[[#This Row],[Logos]]</f>
        <v>Bowl4Life</v>
      </c>
      <c r="CM8" s="152" t="s">
        <v>179</v>
      </c>
      <c r="CN8" s="152"/>
      <c r="CO8" s="152"/>
      <c r="CP8" s="152"/>
      <c r="CQ8" s="152"/>
      <c r="CY8" s="152" t="s">
        <v>238</v>
      </c>
      <c r="CZ8" s="152" t="s">
        <v>239</v>
      </c>
      <c r="DR8" s="82">
        <v>6</v>
      </c>
      <c r="DS8" s="152" t="s">
        <v>240</v>
      </c>
      <c r="DX8" s="182">
        <v>45842</v>
      </c>
      <c r="DY8" s="152" t="s">
        <v>241</v>
      </c>
      <c r="EB8" s="174">
        <f t="shared" ca="1" si="0"/>
        <v>46141</v>
      </c>
      <c r="EC8" s="175">
        <f ca="1">(7-WEEKDAY(IHD_Calc[[#This Row],[Order Date]],15))</f>
        <v>1</v>
      </c>
      <c r="ED8" s="174">
        <f ca="1">IHD_Calc[[#This Row],[Order Date]]+(7-WEEKDAY(IHD_Calc[[#This Row],[Order Date]],15))+IF(IHD_Calc[[#This Row],[Days]]&lt;3,7,0)</f>
        <v>46149</v>
      </c>
      <c r="EE8" s="174">
        <f ca="1">IHD_Calc[[#This Row],[Approval Date]]-5</f>
        <v>46144</v>
      </c>
      <c r="EF8" s="176" t="s">
        <v>162</v>
      </c>
      <c r="EG8" s="174">
        <f ca="1">IFERROR(IHD_Calc[[#This Row],[Approval Date]]+VLOOKUP(IHD_Calc[[#This Row],[Production Priority]],PriorityProduction[],4),"")</f>
        <v>46158</v>
      </c>
      <c r="EH8" s="174">
        <f ca="1">IFERROR(IHD_Calc[[#This Row],[In Transit]]+3,"")</f>
        <v>46161</v>
      </c>
      <c r="EI8" s="150">
        <f ca="1">IFERROR(IHD_Calc[[#This Row],[Est Ship Date]]+_xlfn.XLOOKUP(IHD_Calc[[#This Row],[Shipping]],ShipDays[Shipping Service],ShipDays[Ship Days]),0)</f>
        <v>46163</v>
      </c>
      <c r="EJ8" s="177" t="s">
        <v>187</v>
      </c>
      <c r="EK8" s="177" t="s">
        <v>231</v>
      </c>
      <c r="EL8" s="178" t="str">
        <f>"To meet your in hand date it may require "&amp;IHD_Calc[[#This Row],[Production]]&amp;" production and UPS "&amp;UPPER(IHD_Calc[[#This Row],[Shipping]])&amp;" delivery service."</f>
        <v>To meet your in hand date it may require EXPRESS production and UPS TWO DAY delivery service.</v>
      </c>
    </row>
    <row r="9" spans="1:142">
      <c r="AF9" s="167" t="s">
        <v>242</v>
      </c>
      <c r="AG9" s="167"/>
      <c r="AH9" s="152" t="str">
        <f>Collar[[#This Row],[Collar]]&amp;IF(Collar[[#This Row],[Price]]="",""," (+"&amp;TEXT(Collar[[#This Row],[Price]],"$0.00"&amp;")"))</f>
        <v>1/4 Zip Polo (+$10.00)</v>
      </c>
      <c r="AI9" s="168" t="s">
        <v>243</v>
      </c>
      <c r="AJ9" s="169">
        <v>10</v>
      </c>
      <c r="AK9" s="165" t="s">
        <v>70</v>
      </c>
      <c r="AL9" s="170" t="s">
        <v>109</v>
      </c>
      <c r="AM9" s="165" t="str">
        <f>Collar[[#This Row],[Collection]]&amp;Collar[[#This Row],[Sleeve]]</f>
        <v>PerformanceShort</v>
      </c>
      <c r="AO9" t="str">
        <v>1/4 Zip Polo (+$10.00)</v>
      </c>
      <c r="AQ9" t="str">
        <v>Lightweight Hoodie (+$5.00)</v>
      </c>
      <c r="AR9" t="str">
        <v>1/4 Zip Polo (+$10.00)</v>
      </c>
      <c r="AU9" s="158" t="s">
        <v>244</v>
      </c>
      <c r="AV9" s="152">
        <v>7</v>
      </c>
      <c r="AW9" s="152" t="str">
        <f>Size[[#This Row],[Size]]&amp;IF(Size[[#This Row],[Price]]="",""," (+"&amp;TEXT(Size[[#This Row],[Price]],"$0.00")&amp;")")</f>
        <v>3X-Large (+$4.00)</v>
      </c>
      <c r="AX9" s="146">
        <v>3</v>
      </c>
      <c r="AY9" s="145">
        <v>4</v>
      </c>
      <c r="AZ9" s="145" t="s">
        <v>77</v>
      </c>
      <c r="BB9" s="145" t="str">
        <v>3X-Large (+$4.00)</v>
      </c>
      <c r="BC9" s="145" t="str">
        <v>3X-Large (+$4.00)</v>
      </c>
      <c r="BL9" s="152" t="s">
        <v>245</v>
      </c>
      <c r="BM9" s="152">
        <v>7</v>
      </c>
      <c r="BN9" s="152" t="str">
        <f>Logos[[#This Row],[Logos]]&amp;IF(Logos[[#This Row],[Use]]="Flat"," (+"&amp;TEXT(Logos[[#This Row],[Flat]],"$0.00")&amp;")"," (+"&amp;TEXT(Logos[[#This Row],[Pct]],"0%")&amp;" of base price)")</f>
        <v>Ebonite (+$5.00)</v>
      </c>
      <c r="BO9" s="152" t="s">
        <v>245</v>
      </c>
      <c r="BP9" s="144">
        <v>0.1</v>
      </c>
      <c r="BQ9" s="183">
        <v>5</v>
      </c>
      <c r="BR9" s="153" t="s">
        <v>122</v>
      </c>
      <c r="BT9" s="152" t="s">
        <v>197</v>
      </c>
      <c r="BU9" s="152">
        <v>22</v>
      </c>
      <c r="BV9" s="152" t="str">
        <f>Chest[[#This Row],[Logos]]&amp;IF(Chest[[#This Row],[Use]]="Flat"," (+"&amp;TEXT(Chest[[#This Row],[Flat]],"$0.00")&amp;")"," (+"&amp;TEXT(Chest[[#This Row],[Pct]],"0%")&amp;" of base price)")</f>
        <v>900 Global (+$5.00)</v>
      </c>
      <c r="BW9" s="171" t="s">
        <v>198</v>
      </c>
      <c r="BX9" s="187">
        <v>0.1</v>
      </c>
      <c r="BY9" s="183">
        <v>5</v>
      </c>
      <c r="BZ9" s="153" t="s">
        <v>122</v>
      </c>
      <c r="CB9" s="152" t="s">
        <v>246</v>
      </c>
      <c r="CC9" s="152">
        <v>13</v>
      </c>
      <c r="CD9" s="152" t="str">
        <f>LeftSleeve[[#This Row],[Logos]]&amp;IF(LeftSleeve[[#This Row],[Use]]="","",IF(LeftSleeve[[#This Row],[Use]]="Flat"," (+"&amp;TEXT(LeftSleeve[[#This Row],[Flat]],"$0.00")&amp;")"," (+"&amp;TEXT(LeftSleeve[[#This Row],[Pct]],"0%")&amp;" of base price)"))</f>
        <v>Mexico Flag (+$5.00)</v>
      </c>
      <c r="CE9" s="186" t="s">
        <v>247</v>
      </c>
      <c r="CF9" s="145"/>
      <c r="CG9" s="154">
        <v>5</v>
      </c>
      <c r="CH9" s="152" t="s">
        <v>122</v>
      </c>
      <c r="CI9" s="152"/>
      <c r="CJ9" s="152" t="s">
        <v>157</v>
      </c>
      <c r="CK9" s="152">
        <v>7</v>
      </c>
      <c r="CL9" s="152" t="s">
        <v>157</v>
      </c>
      <c r="CM9" s="25" t="s">
        <v>158</v>
      </c>
      <c r="CN9" s="152"/>
      <c r="CO9" s="152"/>
      <c r="CP9" s="152"/>
      <c r="CQ9" s="152"/>
      <c r="DR9" s="82">
        <v>7</v>
      </c>
      <c r="DS9" s="152" t="s">
        <v>248</v>
      </c>
      <c r="DX9" s="182">
        <v>45901</v>
      </c>
      <c r="DY9" s="152" t="s">
        <v>249</v>
      </c>
      <c r="DZ9" t="s">
        <v>250</v>
      </c>
      <c r="EB9" s="174">
        <f t="shared" ca="1" si="0"/>
        <v>46141</v>
      </c>
      <c r="EC9" s="175">
        <f ca="1">(7-WEEKDAY(IHD_Calc[[#This Row],[Order Date]],15))</f>
        <v>1</v>
      </c>
      <c r="ED9" s="174">
        <f ca="1">IHD_Calc[[#This Row],[Order Date]]+(7-WEEKDAY(IHD_Calc[[#This Row],[Order Date]],15))+IF(IHD_Calc[[#This Row],[Days]]&lt;3,7,0)</f>
        <v>46149</v>
      </c>
      <c r="EE9" s="174">
        <f ca="1">IHD_Calc[[#This Row],[Approval Date]]-5</f>
        <v>46144</v>
      </c>
      <c r="EF9" s="176" t="s">
        <v>162</v>
      </c>
      <c r="EG9" s="174">
        <f ca="1">IFERROR(IHD_Calc[[#This Row],[Approval Date]]+VLOOKUP(IHD_Calc[[#This Row],[Production Priority]],PriorityProduction[],4),"")</f>
        <v>46158</v>
      </c>
      <c r="EH9" s="174">
        <f ca="1">IFERROR(IHD_Calc[[#This Row],[In Transit]]+3,"")</f>
        <v>46161</v>
      </c>
      <c r="EI9" s="150">
        <f ca="1">IFERROR(IHD_Calc[[#This Row],[Est Ship Date]]+_xlfn.XLOOKUP(IHD_Calc[[#This Row],[Shipping]],ShipDays[Shipping Service],ShipDays[Ship Days]),0)</f>
        <v>46164</v>
      </c>
      <c r="EJ9" s="177" t="s">
        <v>206</v>
      </c>
      <c r="EK9" s="177" t="s">
        <v>231</v>
      </c>
      <c r="EL9" s="178" t="str">
        <f>"To meet your in hand date it may require "&amp;IHD_Calc[[#This Row],[Production]]&amp;" production and UPS "&amp;UPPER(IHD_Calc[[#This Row],[Shipping]])&amp;" delivery service."</f>
        <v>To meet your in hand date it may require EXPRESS production and UPS 3-DAY SELECT delivery service.</v>
      </c>
    </row>
    <row r="10" spans="1:142">
      <c r="AF10" s="152" t="s">
        <v>251</v>
      </c>
      <c r="AG10" s="152"/>
      <c r="AH10" s="152" t="str">
        <f>Collar[[#This Row],[Collar]]&amp;IF(Collar[[#This Row],[Price]]="",""," (+"&amp;TEXT(Collar[[#This Row],[Price]],"$0.00"&amp;")"))</f>
        <v>Mock Turtleneck (+$5.00)</v>
      </c>
      <c r="AI10" s="157" t="s">
        <v>252</v>
      </c>
      <c r="AJ10" s="180">
        <v>5</v>
      </c>
      <c r="AK10" s="170" t="s">
        <v>70</v>
      </c>
      <c r="AL10" s="170" t="s">
        <v>109</v>
      </c>
      <c r="AM10" s="170" t="str">
        <f>Collar[[#This Row],[Collection]]&amp;Collar[[#This Row],[Sleeve]]</f>
        <v>PerformanceShort</v>
      </c>
      <c r="AO10" t="str">
        <v>Mock Turtleneck (+$5.00)</v>
      </c>
      <c r="AQ10" t="str">
        <v>Lightweight 1/4 Zip Hoodie (+$10.00)</v>
      </c>
      <c r="AR10" t="str">
        <v>Mock Turtleneck (+$5.00)</v>
      </c>
      <c r="AU10" s="158" t="s">
        <v>253</v>
      </c>
      <c r="AV10" s="152">
        <v>8</v>
      </c>
      <c r="AW10" s="152" t="str">
        <f>Size[[#This Row],[Size]]&amp;IF(Size[[#This Row],[Price]]="",""," (+"&amp;TEXT(Size[[#This Row],[Price]],"$0.00")&amp;")")</f>
        <v>4X-Large (+$6.00)</v>
      </c>
      <c r="AX10" s="146">
        <v>4</v>
      </c>
      <c r="AY10" s="145">
        <v>6</v>
      </c>
      <c r="AZ10" s="145" t="s">
        <v>77</v>
      </c>
      <c r="BB10" s="145" t="str">
        <v>4X-Large (+$6.00)</v>
      </c>
      <c r="BC10" s="145" t="str">
        <v>4X-Large (+$6.00)</v>
      </c>
      <c r="BL10" s="152" t="s">
        <v>254</v>
      </c>
      <c r="BM10" s="152">
        <v>8</v>
      </c>
      <c r="BN10" s="152" t="str">
        <f>Logos[[#This Row],[Logos]]&amp;IF(Logos[[#This Row],[Use]]="Flat"," (+"&amp;TEXT(Logos[[#This Row],[Flat]],"$0.00")&amp;")"," (+"&amp;TEXT(Logos[[#This Row],[Pct]],"0%")&amp;" of base price)")</f>
        <v>Hammer (+$5.00)</v>
      </c>
      <c r="BO10" s="152" t="s">
        <v>254</v>
      </c>
      <c r="BP10" s="144">
        <v>0.1</v>
      </c>
      <c r="BQ10" s="183">
        <v>5</v>
      </c>
      <c r="BR10" s="153" t="s">
        <v>122</v>
      </c>
      <c r="BT10" s="152" t="s">
        <v>212</v>
      </c>
      <c r="BU10" s="152">
        <v>23</v>
      </c>
      <c r="BV10" s="152" t="str">
        <f>Chest[[#This Row],[Logos]]&amp;IF(Chest[[#This Row],[Use]]="Flat"," (+"&amp;TEXT(Chest[[#This Row],[Flat]],"$0.00")&amp;")"," (+"&amp;TEXT(Chest[[#This Row],[Pct]],"0%")&amp;" of base price)")</f>
        <v>Brunswick (+$5.00)</v>
      </c>
      <c r="BW10" s="171" t="s">
        <v>212</v>
      </c>
      <c r="BX10" s="187">
        <v>0.1</v>
      </c>
      <c r="BY10" s="183">
        <v>5</v>
      </c>
      <c r="BZ10" s="153" t="s">
        <v>122</v>
      </c>
      <c r="CB10" s="152" t="s">
        <v>156</v>
      </c>
      <c r="CC10" s="152">
        <v>20</v>
      </c>
      <c r="CD10" s="152" t="str">
        <f>LeftSleeve[[#This Row],[Logos]]&amp;" ($30 Per Order)"</f>
        <v>Custom ($30 Per Order)</v>
      </c>
      <c r="CE10" s="188" t="s">
        <v>156</v>
      </c>
      <c r="CF10" s="145"/>
      <c r="CG10" s="154"/>
      <c r="CH10" s="154"/>
      <c r="CI10" s="152"/>
      <c r="CJ10" s="152" t="s">
        <v>199</v>
      </c>
      <c r="CK10" s="152">
        <v>8</v>
      </c>
      <c r="CL10" s="152" t="s">
        <v>199</v>
      </c>
      <c r="CM10" s="25" t="s">
        <v>199</v>
      </c>
      <c r="CN10" s="154"/>
      <c r="CO10" s="154"/>
      <c r="CP10" s="152"/>
      <c r="CQ10" s="152"/>
      <c r="DX10" s="182">
        <v>45988</v>
      </c>
      <c r="DY10" s="152" t="s">
        <v>188</v>
      </c>
      <c r="DZ10" t="s">
        <v>255</v>
      </c>
      <c r="EB10" s="174">
        <f t="shared" ca="1" si="0"/>
        <v>46141</v>
      </c>
      <c r="EC10" s="175">
        <f ca="1">(7-WEEKDAY(IHD_Calc[[#This Row],[Order Date]],15))</f>
        <v>1</v>
      </c>
      <c r="ED10" s="174">
        <f ca="1">IHD_Calc[[#This Row],[Order Date]]+(7-WEEKDAY(IHD_Calc[[#This Row],[Order Date]],15))+IF(IHD_Calc[[#This Row],[Days]]&lt;3,7,0)</f>
        <v>46149</v>
      </c>
      <c r="EE10" s="174">
        <f ca="1">IHD_Calc[[#This Row],[Approval Date]]-5</f>
        <v>46144</v>
      </c>
      <c r="EF10" s="176" t="s">
        <v>30</v>
      </c>
      <c r="EG10" s="174">
        <f ca="1">IFERROR(IHD_Calc[[#This Row],[Approval Date]]+VLOOKUP(IHD_Calc[[#This Row],[Production Priority]],PriorityProduction[],4),"")</f>
        <v>46165</v>
      </c>
      <c r="EH10" s="174">
        <f ca="1">IFERROR(IHD_Calc[[#This Row],[In Transit]]+3,"")</f>
        <v>46168</v>
      </c>
      <c r="EI10" s="150">
        <f ca="1">IFERROR(IHD_Calc[[#This Row],[Est Ship Date]]+_xlfn.XLOOKUP(IHD_Calc[[#This Row],[Shipping]],ShipDays[Shipping Service],ShipDays[Ship Days]),0)</f>
        <v>46169</v>
      </c>
      <c r="EJ10" s="177" t="s">
        <v>164</v>
      </c>
      <c r="EK10" s="177" t="s">
        <v>256</v>
      </c>
      <c r="EL10" s="178" t="str">
        <f>"It appears we can meet your in hand date with "&amp;IHD_Calc[[#This Row],[Production]]&amp;" production, but may be required UPS "&amp;UPPER(IHD_Calc[[#This Row],[Shipping]])&amp;" delivery service."</f>
        <v>It appears we can meet your in hand date with STANDARD production, but may be required UPS OVERNIGHT delivery service.</v>
      </c>
    </row>
    <row r="11" spans="1:142">
      <c r="AF11" s="167" t="s">
        <v>257</v>
      </c>
      <c r="AG11" s="167"/>
      <c r="AH11" s="152" t="str">
        <f>Collar[[#This Row],[Collar]]&amp;IF(Collar[[#This Row],[Price]]="",""," (+"&amp;TEXT(Collar[[#This Row],[Price]],"$0.00"&amp;")"))</f>
        <v>BowlRetro (+$20.00)</v>
      </c>
      <c r="AI11" s="168" t="s">
        <v>258</v>
      </c>
      <c r="AJ11" s="169">
        <v>20</v>
      </c>
      <c r="AK11" s="165" t="s">
        <v>70</v>
      </c>
      <c r="AL11" s="170" t="s">
        <v>109</v>
      </c>
      <c r="AM11" s="165" t="str">
        <f>Collar[[#This Row],[Collection]]&amp;Collar[[#This Row],[Sleeve]]</f>
        <v>PerformanceShort</v>
      </c>
      <c r="AO11" t="str">
        <v>BowlRetro (+$20.00)</v>
      </c>
      <c r="AU11" s="158" t="s">
        <v>259</v>
      </c>
      <c r="AV11" s="152">
        <v>9</v>
      </c>
      <c r="AW11" s="152" t="str">
        <f>Size[[#This Row],[Size]]&amp;IF(Size[[#This Row],[Price]]="",""," (+"&amp;TEXT(Size[[#This Row],[Price]],"$0.00")&amp;")")</f>
        <v>5X-Large (+$9.00)</v>
      </c>
      <c r="AX11" s="146">
        <v>5</v>
      </c>
      <c r="AY11" s="145">
        <v>9</v>
      </c>
      <c r="AZ11" s="145" t="s">
        <v>77</v>
      </c>
      <c r="BB11" s="145" t="str">
        <v>5X-Large (+$9.00)</v>
      </c>
      <c r="BC11" s="145" t="str">
        <v>5X-Large (+$9.00)</v>
      </c>
      <c r="BL11" s="152" t="s">
        <v>260</v>
      </c>
      <c r="BM11" s="152">
        <v>9</v>
      </c>
      <c r="BN11" s="152" t="str">
        <f>Logos[[#This Row],[Logos]]&amp;IF(Logos[[#This Row],[Use]]="Flat"," (+"&amp;TEXT(Logos[[#This Row],[Flat]],"$0.00")&amp;")"," (+"&amp;TEXT(Logos[[#This Row],[Pct]],"0%")&amp;" of base price)")</f>
        <v>Lane Masters (+$5.00)</v>
      </c>
      <c r="BO11" s="152" t="s">
        <v>261</v>
      </c>
      <c r="BP11" s="144">
        <v>0.1</v>
      </c>
      <c r="BQ11" s="183">
        <v>5</v>
      </c>
      <c r="BR11" s="153" t="s">
        <v>122</v>
      </c>
      <c r="BT11" s="152" t="s">
        <v>221</v>
      </c>
      <c r="BU11" s="152">
        <v>24</v>
      </c>
      <c r="BV11" s="152" t="str">
        <f>Chest[[#This Row],[Logos]]&amp;IF(Chest[[#This Row],[Use]]="Flat"," (+"&amp;TEXT(Chest[[#This Row],[Flat]],"$0.00")&amp;")"," (+"&amp;TEXT(Chest[[#This Row],[Pct]],"0%")&amp;" of base price)")</f>
        <v>Columbia (+$5.00)</v>
      </c>
      <c r="BW11" s="189" t="s">
        <v>221</v>
      </c>
      <c r="BX11" s="187">
        <v>0.1</v>
      </c>
      <c r="BY11" s="183">
        <v>5</v>
      </c>
      <c r="BZ11" s="153" t="s">
        <v>122</v>
      </c>
      <c r="CB11" s="152" t="s">
        <v>177</v>
      </c>
      <c r="CC11" s="152">
        <v>21</v>
      </c>
      <c r="CD11" s="152" t="str">
        <f>LeftSleeve[[#This Row],[Logos]]&amp;" (FREE)"</f>
        <v>Custom On File (FREE)</v>
      </c>
      <c r="CE11" s="188" t="s">
        <v>177</v>
      </c>
      <c r="CF11" s="145"/>
      <c r="CG11" s="154"/>
      <c r="CH11" s="154"/>
      <c r="CI11" s="152"/>
      <c r="CJ11" s="152" t="s">
        <v>213</v>
      </c>
      <c r="CK11" s="152">
        <v>9</v>
      </c>
      <c r="CL11" s="152" t="s">
        <v>213</v>
      </c>
      <c r="CM11" s="186" t="s">
        <v>213</v>
      </c>
      <c r="CN11" s="154"/>
      <c r="CO11" s="154"/>
      <c r="CP11" s="152"/>
      <c r="CQ11" s="152"/>
      <c r="DX11" s="182">
        <v>46016</v>
      </c>
      <c r="DY11" s="152" t="s">
        <v>207</v>
      </c>
      <c r="EB11" s="174">
        <f t="shared" ca="1" si="0"/>
        <v>46141</v>
      </c>
      <c r="EC11" s="175">
        <f ca="1">(7-WEEKDAY(IHD_Calc[[#This Row],[Order Date]],15))</f>
        <v>1</v>
      </c>
      <c r="ED11" s="174">
        <f ca="1">IHD_Calc[[#This Row],[Order Date]]+(7-WEEKDAY(IHD_Calc[[#This Row],[Order Date]],15))+IF(IHD_Calc[[#This Row],[Days]]&lt;3,7,0)</f>
        <v>46149</v>
      </c>
      <c r="EE11" s="174">
        <f ca="1">IHD_Calc[[#This Row],[Approval Date]]-5</f>
        <v>46144</v>
      </c>
      <c r="EF11" s="176" t="s">
        <v>30</v>
      </c>
      <c r="EG11" s="174">
        <f ca="1">IFERROR(IHD_Calc[[#This Row],[Approval Date]]+VLOOKUP(IHD_Calc[[#This Row],[Production Priority]],PriorityProduction[],4),"")</f>
        <v>46165</v>
      </c>
      <c r="EH11" s="174">
        <f ca="1">IFERROR(IHD_Calc[[#This Row],[In Transit]]+3,"")</f>
        <v>46168</v>
      </c>
      <c r="EI11" s="150">
        <f ca="1">IFERROR(IHD_Calc[[#This Row],[Est Ship Date]]+_xlfn.XLOOKUP(IHD_Calc[[#This Row],[Shipping]],ShipDays[Shipping Service],ShipDays[Ship Days]),0)</f>
        <v>46170</v>
      </c>
      <c r="EJ11" s="177" t="s">
        <v>187</v>
      </c>
      <c r="EK11" s="177" t="s">
        <v>256</v>
      </c>
      <c r="EL11" s="178" t="str">
        <f>"It appears we can meet your in hand date with "&amp;IHD_Calc[[#This Row],[Production]]&amp;" production, but may be required UPS "&amp;UPPER(IHD_Calc[[#This Row],[Shipping]])&amp;" delivery service."</f>
        <v>It appears we can meet your in hand date with STANDARD production, but may be required UPS TWO DAY delivery service.</v>
      </c>
    </row>
    <row r="12" spans="1:142">
      <c r="AF12" s="152" t="s">
        <v>262</v>
      </c>
      <c r="AG12" s="152"/>
      <c r="AH12" s="152" t="str">
        <f>Collar[[#This Row],[Collar]]&amp;IF(Collar[[#This Row],[Price]]="",""," (+"&amp;TEXT(Collar[[#This Row],[Price]],"$0.00"&amp;")"))</f>
        <v>Lightweight Hoodie (+$15.00)</v>
      </c>
      <c r="AI12" s="157" t="s">
        <v>263</v>
      </c>
      <c r="AJ12" s="180">
        <v>15</v>
      </c>
      <c r="AK12" s="170" t="s">
        <v>70</v>
      </c>
      <c r="AL12" s="170" t="s">
        <v>109</v>
      </c>
      <c r="AM12" s="170" t="str">
        <f>Collar[[#This Row],[Collection]]&amp;Collar[[#This Row],[Sleeve]]</f>
        <v>PerformanceShort</v>
      </c>
      <c r="AO12" t="str">
        <v>Lightweight Hoodie (+$15.00)</v>
      </c>
      <c r="AU12" s="158" t="s">
        <v>264</v>
      </c>
      <c r="AV12" s="152">
        <v>10</v>
      </c>
      <c r="AW12" s="152" t="str">
        <f>Size[[#This Row],[Size]]&amp;IF(Size[[#This Row],[Price]]="",""," (+"&amp;TEXT(Size[[#This Row],[Price]],"$0.00")&amp;")")</f>
        <v>6X-Large (+$12.00)</v>
      </c>
      <c r="AX12" s="146">
        <v>6</v>
      </c>
      <c r="AY12" s="145">
        <v>12</v>
      </c>
      <c r="AZ12" s="145" t="s">
        <v>77</v>
      </c>
      <c r="BB12" s="145" t="str">
        <v>6X-Large (+$12.00)</v>
      </c>
      <c r="BC12" s="145" t="str">
        <v>6X-Large (+$12.00)</v>
      </c>
      <c r="BL12" s="152" t="s">
        <v>265</v>
      </c>
      <c r="BM12" s="152">
        <v>10</v>
      </c>
      <c r="BN12" s="152" t="str">
        <f>Logos[[#This Row],[Logos]]&amp;IF(Logos[[#This Row],[Use]]="Flat"," (+"&amp;TEXT(Logos[[#This Row],[Flat]],"$0.00")&amp;")"," (+"&amp;TEXT(Logos[[#This Row],[Pct]],"0%")&amp;" of base price)")</f>
        <v>Legends (+$5.00)</v>
      </c>
      <c r="BO12" s="152" t="s">
        <v>265</v>
      </c>
      <c r="BP12" s="144">
        <v>0.1</v>
      </c>
      <c r="BQ12" s="183">
        <v>5</v>
      </c>
      <c r="BR12" s="153" t="s">
        <v>122</v>
      </c>
      <c r="BT12" s="152" t="s">
        <v>235</v>
      </c>
      <c r="BU12" s="152">
        <v>25</v>
      </c>
      <c r="BV12" s="152" t="str">
        <f>Chest[[#This Row],[Logos]]&amp;IF(Chest[[#This Row],[Use]]="Flat"," (+"&amp;TEXT(Chest[[#This Row],[Flat]],"$0.00")&amp;")"," (+"&amp;TEXT(Chest[[#This Row],[Pct]],"0%")&amp;" of base price)")</f>
        <v>DV8 (+$5.00)</v>
      </c>
      <c r="BW12" s="171" t="s">
        <v>235</v>
      </c>
      <c r="BX12" s="187">
        <v>0.1</v>
      </c>
      <c r="BY12" s="183">
        <v>5</v>
      </c>
      <c r="BZ12" s="153" t="s">
        <v>122</v>
      </c>
      <c r="CB12" s="152" t="s">
        <v>197</v>
      </c>
      <c r="CC12" s="152">
        <v>22</v>
      </c>
      <c r="CD12" s="152" t="str">
        <f>LeftSleeve[[#This Row],[Logos]]&amp;IF(LeftSleeve[[#This Row],[Use]]="Flat"," (+"&amp;TEXT(LeftSleeve[[#This Row],[Flat]],"$0.00")&amp;")"," (+"&amp;TEXT(LeftSleeve[[#This Row],[Pct]],"0%")&amp;" of base price)")</f>
        <v>900 Global (+$5.00)</v>
      </c>
      <c r="CE12" s="188" t="s">
        <v>198</v>
      </c>
      <c r="CF12" s="187">
        <v>0.1</v>
      </c>
      <c r="CG12" s="183">
        <v>5</v>
      </c>
      <c r="CH12" s="153" t="s">
        <v>122</v>
      </c>
      <c r="CI12" s="152"/>
      <c r="CJ12" s="152" t="s">
        <v>222</v>
      </c>
      <c r="CK12" s="152">
        <v>11</v>
      </c>
      <c r="CL12" s="152" t="s">
        <v>266</v>
      </c>
      <c r="CM12" s="186" t="s">
        <v>223</v>
      </c>
      <c r="CN12" s="154"/>
      <c r="CO12" s="154">
        <v>5</v>
      </c>
      <c r="CP12" s="152" t="s">
        <v>122</v>
      </c>
      <c r="CQ12" s="152"/>
      <c r="EB12" s="174">
        <f t="shared" ca="1" si="0"/>
        <v>46141</v>
      </c>
      <c r="EC12" s="175">
        <f ca="1">(7-WEEKDAY(IHD_Calc[[#This Row],[Order Date]],15))</f>
        <v>1</v>
      </c>
      <c r="ED12" s="174">
        <f ca="1">IHD_Calc[[#This Row],[Order Date]]+(7-WEEKDAY(IHD_Calc[[#This Row],[Order Date]],15))+IF(IHD_Calc[[#This Row],[Days]]&lt;3,7,0)</f>
        <v>46149</v>
      </c>
      <c r="EE12" s="174">
        <f ca="1">IHD_Calc[[#This Row],[Approval Date]]-5</f>
        <v>46144</v>
      </c>
      <c r="EF12" s="176" t="s">
        <v>30</v>
      </c>
      <c r="EG12" s="174">
        <f ca="1">IFERROR(IHD_Calc[[#This Row],[Approval Date]]+VLOOKUP(IHD_Calc[[#This Row],[Production Priority]],PriorityProduction[],4),"")</f>
        <v>46165</v>
      </c>
      <c r="EH12" s="174">
        <f ca="1">IFERROR(IHD_Calc[[#This Row],[In Transit]]+3,"")</f>
        <v>46168</v>
      </c>
      <c r="EI12" s="150">
        <f ca="1">IFERROR(IHD_Calc[[#This Row],[Est Ship Date]]+_xlfn.XLOOKUP(IHD_Calc[[#This Row],[Shipping]],ShipDays[Shipping Service],ShipDays[Ship Days]),0)</f>
        <v>46171</v>
      </c>
      <c r="EJ12" s="177" t="s">
        <v>206</v>
      </c>
      <c r="EK12" s="177" t="s">
        <v>256</v>
      </c>
      <c r="EL12" s="178" t="str">
        <f>"It appears we can meet your in hand date with "&amp;IHD_Calc[[#This Row],[Production]]&amp;" production, but may be required UPS "&amp;UPPER(IHD_Calc[[#This Row],[Shipping]])&amp;" delivery service."</f>
        <v>It appears we can meet your in hand date with STANDARD production, but may be required UPS 3-DAY SELECT delivery service.</v>
      </c>
    </row>
    <row r="13" spans="1:142">
      <c r="AF13" s="167" t="s">
        <v>151</v>
      </c>
      <c r="AG13" s="167"/>
      <c r="AH13" s="152" t="str">
        <f>Collar[[#This Row],[Collar]]&amp;IF(Collar[[#This Row],[Price]]="",""," (+"&amp;TEXT(Collar[[#This Row],[Price]],"$0.00"&amp;")"))</f>
        <v>1/4 Zip Sash (+$5.00)</v>
      </c>
      <c r="AI13" s="168" t="s">
        <v>267</v>
      </c>
      <c r="AJ13" s="169">
        <v>5</v>
      </c>
      <c r="AK13" s="165" t="s">
        <v>192</v>
      </c>
      <c r="AL13" s="170" t="s">
        <v>109</v>
      </c>
      <c r="AM13" s="165" t="str">
        <f>Collar[[#This Row],[Collection]]&amp;Collar[[#This Row],[Sleeve]]</f>
        <v>PerformanceLong</v>
      </c>
      <c r="AU13" s="158" t="s">
        <v>268</v>
      </c>
      <c r="AV13" s="152">
        <v>11</v>
      </c>
      <c r="AW13" s="152" t="str">
        <f>Size[[#This Row],[Size]]&amp;IF(Size[[#This Row],[Price]]="",""," (+"&amp;TEXT(Size[[#This Row],[Price]],"$0.00")&amp;")")</f>
        <v>7X-Large (+$12.00)</v>
      </c>
      <c r="AX13" s="146">
        <v>7</v>
      </c>
      <c r="AY13" s="145">
        <v>12</v>
      </c>
      <c r="AZ13" s="145" t="s">
        <v>77</v>
      </c>
      <c r="BB13" s="145" t="str">
        <v>7X-Large (+$12.00)</v>
      </c>
      <c r="BC13" s="145" t="str">
        <v>7X-Large (+$12.00)</v>
      </c>
      <c r="BL13" s="152" t="s">
        <v>269</v>
      </c>
      <c r="BM13" s="152">
        <v>11</v>
      </c>
      <c r="BN13" s="152" t="str">
        <f>Logos[[#This Row],[Logos]]&amp;IF(Logos[[#This Row],[Use]]="Flat"," (+"&amp;TEXT(Logos[[#This Row],[Flat]],"$0.00")&amp;")"," (+"&amp;TEXT(Logos[[#This Row],[Pct]],"0%")&amp;" of base price)")</f>
        <v>Lord Field (+$5.00)</v>
      </c>
      <c r="BO13" s="152" t="s">
        <v>270</v>
      </c>
      <c r="BP13" s="144">
        <v>0.1</v>
      </c>
      <c r="BQ13" s="183">
        <v>5</v>
      </c>
      <c r="BR13" s="153" t="s">
        <v>122</v>
      </c>
      <c r="BT13" s="152" t="s">
        <v>245</v>
      </c>
      <c r="BU13" s="152">
        <v>26</v>
      </c>
      <c r="BV13" s="152" t="str">
        <f>Chest[[#This Row],[Logos]]&amp;IF(Chest[[#This Row],[Use]]="Flat"," (+"&amp;TEXT(Chest[[#This Row],[Flat]],"$0.00")&amp;")"," (+"&amp;TEXT(Chest[[#This Row],[Pct]],"0%")&amp;" of base price)")</f>
        <v>Ebonite (+$5.00)</v>
      </c>
      <c r="BW13" s="171" t="s">
        <v>245</v>
      </c>
      <c r="BX13" s="187">
        <v>0.1</v>
      </c>
      <c r="BY13" s="183">
        <v>5</v>
      </c>
      <c r="BZ13" s="153" t="s">
        <v>122</v>
      </c>
      <c r="CB13" s="152" t="s">
        <v>212</v>
      </c>
      <c r="CC13" s="152">
        <v>23</v>
      </c>
      <c r="CD13" s="152" t="str">
        <f>LeftSleeve[[#This Row],[Logos]]&amp;IF(LeftSleeve[[#This Row],[Use]]="Flat"," (+"&amp;TEXT(LeftSleeve[[#This Row],[Flat]],"$0.00")&amp;")"," (+"&amp;TEXT(LeftSleeve[[#This Row],[Pct]],"0%")&amp;" of base price)")</f>
        <v>Brunswick (+$5.00)</v>
      </c>
      <c r="CE13" s="188" t="s">
        <v>212</v>
      </c>
      <c r="CF13" s="187">
        <v>0.1</v>
      </c>
      <c r="CG13" s="183">
        <v>5</v>
      </c>
      <c r="CH13" s="153" t="s">
        <v>122</v>
      </c>
      <c r="CI13" s="152"/>
      <c r="CJ13" s="152" t="s">
        <v>236</v>
      </c>
      <c r="CK13" s="152">
        <v>12</v>
      </c>
      <c r="CL13" s="152" t="s">
        <v>271</v>
      </c>
      <c r="CM13" s="186" t="s">
        <v>237</v>
      </c>
      <c r="CN13" s="154"/>
      <c r="CO13" s="154">
        <v>5</v>
      </c>
      <c r="CP13" s="152" t="s">
        <v>122</v>
      </c>
      <c r="CQ13" s="152"/>
      <c r="EB13" s="174">
        <f t="shared" ca="1" si="0"/>
        <v>46141</v>
      </c>
      <c r="EC13" s="175">
        <f ca="1">(7-WEEKDAY(IHD_Calc[[#This Row],[Order Date]],15))</f>
        <v>1</v>
      </c>
      <c r="ED13" s="174">
        <f ca="1">IHD_Calc[[#This Row],[Order Date]]+(7-WEEKDAY(IHD_Calc[[#This Row],[Order Date]],15))+IF(IHD_Calc[[#This Row],[Days]]&lt;3,7,0)</f>
        <v>46149</v>
      </c>
      <c r="EE13" s="174">
        <f ca="1">IHD_Calc[[#This Row],[Approval Date]]-5</f>
        <v>46144</v>
      </c>
      <c r="EF13" s="176" t="s">
        <v>30</v>
      </c>
      <c r="EG13" s="174">
        <f ca="1">IFERROR(IHD_Calc[[#This Row],[Approval Date]]+VLOOKUP(IHD_Calc[[#This Row],[Production Priority]],PriorityProduction[],4),"")</f>
        <v>46165</v>
      </c>
      <c r="EH13" s="174">
        <f ca="1">IFERROR(IHD_Calc[[#This Row],[In Transit]]+3,"")</f>
        <v>46168</v>
      </c>
      <c r="EI13" s="150">
        <f ca="1">IFERROR(IHD_Calc[[#This Row],[Est Ship Date]]+_xlfn.XLOOKUP(IHD_Calc[[#This Row],[Shipping]],ShipDays[Shipping Service],ShipDays[Ship Days]),0)</f>
        <v>46178</v>
      </c>
      <c r="EJ13" s="177" t="s">
        <v>216</v>
      </c>
      <c r="EK13" s="177" t="s">
        <v>256</v>
      </c>
      <c r="EL13" s="178" t="str">
        <f>"It appears we can meet your in hand date with "&amp;IHD_Calc[[#This Row],[Production]]&amp;" production and UPS "&amp;UPPER(IHD_Calc[[#This Row],[Shipping]])&amp;" delivery service."</f>
        <v>It appears we can meet your in hand date with STANDARD production and UPS GROUND delivery service.</v>
      </c>
    </row>
    <row r="14" spans="1:142">
      <c r="AF14" s="152" t="s">
        <v>173</v>
      </c>
      <c r="AG14" s="152"/>
      <c r="AH14" s="152" t="str">
        <f>Collar[[#This Row],[Collar]]&amp;IF(Collar[[#This Row],[Price]]="",""," (+"&amp;TEXT(Collar[[#This Row],[Price]],"$0.00"&amp;")"))</f>
        <v>Polo (+$5.00)</v>
      </c>
      <c r="AI14" s="157" t="s">
        <v>272</v>
      </c>
      <c r="AJ14" s="180">
        <v>5</v>
      </c>
      <c r="AK14" s="170" t="s">
        <v>192</v>
      </c>
      <c r="AL14" s="170" t="s">
        <v>109</v>
      </c>
      <c r="AM14" s="170" t="str">
        <f>Collar[[#This Row],[Collection]]&amp;Collar[[#This Row],[Sleeve]]</f>
        <v>PerformanceLong</v>
      </c>
      <c r="AU14" s="158" t="s">
        <v>153</v>
      </c>
      <c r="AV14" s="152">
        <v>12</v>
      </c>
      <c r="AW14" s="152" t="str">
        <f>Size[[#This Row],[Size]]&amp;IF(Size[[#This Row],[Price]]="",""," (+"&amp;TEXT(Size[[#This Row],[Price]],"$0.00")&amp;")")</f>
        <v>X-Small</v>
      </c>
      <c r="AX14" s="157" t="s">
        <v>154</v>
      </c>
      <c r="AZ14" s="145" t="s">
        <v>67</v>
      </c>
      <c r="BL14" s="152" t="s">
        <v>273</v>
      </c>
      <c r="BM14" s="152">
        <v>12</v>
      </c>
      <c r="BN14" s="152" t="str">
        <f>Logos[[#This Row],[Logos]]&amp;IF(Logos[[#This Row],[Use]]="Flat"," (+"&amp;TEXT(Logos[[#This Row],[Flat]],"$0.00")&amp;")"," (+"&amp;TEXT(Logos[[#This Row],[Pct]],"0%")&amp;" of base price)")</f>
        <v>Master (+$5.00)</v>
      </c>
      <c r="BO14" s="152" t="s">
        <v>273</v>
      </c>
      <c r="BP14" s="144">
        <v>0.1</v>
      </c>
      <c r="BQ14" s="183">
        <v>5</v>
      </c>
      <c r="BR14" s="153" t="s">
        <v>122</v>
      </c>
      <c r="BT14" s="152" t="s">
        <v>254</v>
      </c>
      <c r="BU14" s="152">
        <v>27</v>
      </c>
      <c r="BV14" s="152" t="str">
        <f>Chest[[#This Row],[Logos]]&amp;IF(Chest[[#This Row],[Use]]="Flat"," (+"&amp;TEXT(Chest[[#This Row],[Flat]],"$0.00")&amp;")"," (+"&amp;TEXT(Chest[[#This Row],[Pct]],"0%")&amp;" of base price)")</f>
        <v>Hammer (+$5.00)</v>
      </c>
      <c r="BW14" s="171" t="s">
        <v>254</v>
      </c>
      <c r="BX14" s="187">
        <v>0.1</v>
      </c>
      <c r="BY14" s="183">
        <v>5</v>
      </c>
      <c r="BZ14" s="153" t="s">
        <v>122</v>
      </c>
      <c r="CB14" s="152" t="s">
        <v>221</v>
      </c>
      <c r="CC14" s="152">
        <v>24</v>
      </c>
      <c r="CD14" s="152" t="str">
        <f>LeftSleeve[[#This Row],[Logos]]&amp;IF(LeftSleeve[[#This Row],[Use]]="Flat"," (+"&amp;TEXT(LeftSleeve[[#This Row],[Flat]],"$0.00")&amp;")"," (+"&amp;TEXT(LeftSleeve[[#This Row],[Pct]],"0%")&amp;" of base price)")</f>
        <v>Columbia (+$5.00)</v>
      </c>
      <c r="CE14" s="25" t="s">
        <v>221</v>
      </c>
      <c r="CF14" s="187">
        <v>0.1</v>
      </c>
      <c r="CG14" s="183">
        <v>5</v>
      </c>
      <c r="CH14" s="153" t="s">
        <v>122</v>
      </c>
      <c r="CI14" s="152"/>
      <c r="CJ14" s="152" t="s">
        <v>246</v>
      </c>
      <c r="CK14" s="152">
        <v>13</v>
      </c>
      <c r="CL14" s="152" t="s">
        <v>274</v>
      </c>
      <c r="CM14" s="186" t="s">
        <v>247</v>
      </c>
      <c r="CN14" s="154"/>
      <c r="CO14" s="154">
        <v>5</v>
      </c>
      <c r="CP14" s="152" t="s">
        <v>122</v>
      </c>
      <c r="CQ14" s="152"/>
      <c r="EG14" s="150"/>
      <c r="EL14" s="178"/>
    </row>
    <row r="15" spans="1:142">
      <c r="AF15" s="167" t="s">
        <v>194</v>
      </c>
      <c r="AG15" s="167"/>
      <c r="AH15" s="152" t="str">
        <f>Collar[[#This Row],[Collar]]&amp;IF(Collar[[#This Row],[Price]]="",""," (+"&amp;TEXT(Collar[[#This Row],[Price]],"$0.00"&amp;")"))</f>
        <v>V-Neck</v>
      </c>
      <c r="AI15" s="168" t="s">
        <v>275</v>
      </c>
      <c r="AJ15" s="169"/>
      <c r="AK15" s="165" t="s">
        <v>192</v>
      </c>
      <c r="AL15" s="170" t="s">
        <v>109</v>
      </c>
      <c r="AM15" s="165" t="str">
        <f>Collar[[#This Row],[Collection]]&amp;Collar[[#This Row],[Sleeve]]</f>
        <v>PerformanceLong</v>
      </c>
      <c r="AU15" s="158" t="s">
        <v>175</v>
      </c>
      <c r="AV15" s="152">
        <v>13</v>
      </c>
      <c r="AW15" s="152" t="str">
        <f>Size[[#This Row],[Size]]&amp;IF(Size[[#This Row],[Price]]="",""," (+"&amp;TEXT(Size[[#This Row],[Price]],"$0.00")&amp;")")</f>
        <v>Small</v>
      </c>
      <c r="AX15" s="157" t="s">
        <v>150</v>
      </c>
      <c r="AZ15" s="145" t="s">
        <v>67</v>
      </c>
      <c r="BL15" s="152" t="s">
        <v>276</v>
      </c>
      <c r="BM15" s="152">
        <v>13</v>
      </c>
      <c r="BN15" s="152" t="str">
        <f>Logos[[#This Row],[Logos]]&amp;IF(Logos[[#This Row],[Use]]="Flat"," (+"&amp;TEXT(Logos[[#This Row],[Flat]],"$0.00")&amp;")"," (+"&amp;TEXT(Logos[[#This Row],[Pct]],"0%")&amp;" of base price)")</f>
        <v>Motiv (+$5.00)</v>
      </c>
      <c r="BO15" s="152" t="s">
        <v>276</v>
      </c>
      <c r="BP15" s="144">
        <v>0.1</v>
      </c>
      <c r="BQ15" s="183">
        <v>5</v>
      </c>
      <c r="BR15" s="153" t="s">
        <v>122</v>
      </c>
      <c r="BT15" s="152" t="s">
        <v>260</v>
      </c>
      <c r="BU15" s="152">
        <v>28</v>
      </c>
      <c r="BV15" s="152" t="str">
        <f>Chest[[#This Row],[Logos]]&amp;IF(Chest[[#This Row],[Use]]="Flat"," (+"&amp;TEXT(Chest[[#This Row],[Flat]],"$0.00")&amp;")"," (+"&amp;TEXT(Chest[[#This Row],[Pct]],"0%")&amp;" of base price)")</f>
        <v>Lane Masters (+$5.00)</v>
      </c>
      <c r="BW15" s="171" t="s">
        <v>261</v>
      </c>
      <c r="BX15" s="187">
        <v>0.1</v>
      </c>
      <c r="BY15" s="183">
        <v>5</v>
      </c>
      <c r="BZ15" s="153" t="s">
        <v>122</v>
      </c>
      <c r="CB15" s="152" t="s">
        <v>235</v>
      </c>
      <c r="CC15" s="152">
        <v>25</v>
      </c>
      <c r="CD15" s="152" t="str">
        <f>LeftSleeve[[#This Row],[Logos]]&amp;IF(LeftSleeve[[#This Row],[Use]]="Flat"," (+"&amp;TEXT(LeftSleeve[[#This Row],[Flat]],"$0.00")&amp;")"," (+"&amp;TEXT(LeftSleeve[[#This Row],[Pct]],"0%")&amp;" of base price)")</f>
        <v>DV8 (+$5.00)</v>
      </c>
      <c r="CE15" s="188" t="s">
        <v>235</v>
      </c>
      <c r="CF15" s="187">
        <v>0.1</v>
      </c>
      <c r="CG15" s="183">
        <v>5</v>
      </c>
      <c r="CH15" s="153" t="s">
        <v>122</v>
      </c>
      <c r="CI15" s="152"/>
      <c r="CJ15" s="152" t="s">
        <v>156</v>
      </c>
      <c r="CK15" s="152">
        <v>20</v>
      </c>
      <c r="CL15" s="152" t="s">
        <v>277</v>
      </c>
      <c r="CM15" s="188" t="s">
        <v>156</v>
      </c>
      <c r="CN15" s="154"/>
      <c r="CO15" s="154"/>
      <c r="CP15" s="154"/>
      <c r="CQ15" s="152"/>
    </row>
    <row r="16" spans="1:142">
      <c r="AF16" s="152" t="s">
        <v>210</v>
      </c>
      <c r="AG16" s="152"/>
      <c r="AH16" s="152" t="str">
        <f>Collar[[#This Row],[Collar]]&amp;IF(Collar[[#This Row],[Price]]="",""," (+"&amp;TEXT(Collar[[#This Row],[Price]],"$0.00"&amp;")"))</f>
        <v>Crew</v>
      </c>
      <c r="AI16" s="157" t="s">
        <v>278</v>
      </c>
      <c r="AJ16" s="180"/>
      <c r="AK16" s="170" t="s">
        <v>192</v>
      </c>
      <c r="AL16" s="170" t="s">
        <v>109</v>
      </c>
      <c r="AM16" s="170" t="str">
        <f>Collar[[#This Row],[Collection]]&amp;Collar[[#This Row],[Sleeve]]</f>
        <v>PerformanceLong</v>
      </c>
      <c r="AO16" s="152"/>
      <c r="AP16" s="152"/>
      <c r="AQ16" s="152"/>
      <c r="AR16" s="152"/>
      <c r="AS16" s="152"/>
      <c r="AU16" s="158" t="s">
        <v>68</v>
      </c>
      <c r="AV16" s="152">
        <v>14</v>
      </c>
      <c r="AW16" s="152" t="str">
        <f>Size[[#This Row],[Size]]&amp;IF(Size[[#This Row],[Price]]="",""," (+"&amp;TEXT(Size[[#This Row],[Price]],"$0.00")&amp;")")</f>
        <v>Medium</v>
      </c>
      <c r="AX16" s="157" t="s">
        <v>147</v>
      </c>
      <c r="AZ16" s="145" t="s">
        <v>67</v>
      </c>
      <c r="BL16" s="152" t="s">
        <v>279</v>
      </c>
      <c r="BM16" s="152">
        <v>14</v>
      </c>
      <c r="BN16" s="152" t="str">
        <f>Logos[[#This Row],[Logos]]&amp;IF(Logos[[#This Row],[Use]]="Flat"," (+"&amp;TEXT(Logos[[#This Row],[Flat]],"$0.00")&amp;")"," (+"&amp;TEXT(Logos[[#This Row],[Pct]],"0%")&amp;" of base price)")</f>
        <v>Powerhouse (+$5.00)</v>
      </c>
      <c r="BO16" s="152" t="s">
        <v>279</v>
      </c>
      <c r="BP16" s="144">
        <v>0.1</v>
      </c>
      <c r="BQ16" s="183">
        <v>5</v>
      </c>
      <c r="BR16" s="153" t="s">
        <v>122</v>
      </c>
      <c r="BT16" s="152" t="s">
        <v>265</v>
      </c>
      <c r="BU16" s="152">
        <v>29</v>
      </c>
      <c r="BV16" s="152" t="str">
        <f>Chest[[#This Row],[Logos]]&amp;IF(Chest[[#This Row],[Use]]="Flat"," (+"&amp;TEXT(Chest[[#This Row],[Flat]],"$0.00")&amp;")"," (+"&amp;TEXT(Chest[[#This Row],[Pct]],"0%")&amp;" of base price)")</f>
        <v>Legends (+$5.00)</v>
      </c>
      <c r="BW16" s="171" t="s">
        <v>265</v>
      </c>
      <c r="BX16" s="187">
        <v>0.1</v>
      </c>
      <c r="BY16" s="183">
        <v>5</v>
      </c>
      <c r="BZ16" s="153" t="s">
        <v>122</v>
      </c>
      <c r="CB16" s="152" t="s">
        <v>245</v>
      </c>
      <c r="CC16" s="152">
        <v>26</v>
      </c>
      <c r="CD16" s="152" t="str">
        <f>LeftSleeve[[#This Row],[Logos]]&amp;IF(LeftSleeve[[#This Row],[Use]]="Flat"," (+"&amp;TEXT(LeftSleeve[[#This Row],[Flat]],"$0.00")&amp;")"," (+"&amp;TEXT(LeftSleeve[[#This Row],[Pct]],"0%")&amp;" of base price)")</f>
        <v>Ebonite (+$5.00)</v>
      </c>
      <c r="CE16" s="188" t="s">
        <v>245</v>
      </c>
      <c r="CF16" s="187">
        <v>0.1</v>
      </c>
      <c r="CG16" s="183">
        <v>5</v>
      </c>
      <c r="CH16" s="153" t="s">
        <v>122</v>
      </c>
      <c r="CI16" s="152"/>
      <c r="CJ16" s="152" t="s">
        <v>177</v>
      </c>
      <c r="CK16" s="152">
        <v>21</v>
      </c>
      <c r="CL16" s="152" t="s">
        <v>74</v>
      </c>
      <c r="CM16" s="188" t="s">
        <v>177</v>
      </c>
      <c r="CN16" s="154"/>
      <c r="CO16" s="154"/>
      <c r="CP16" s="154"/>
      <c r="CQ16" s="152"/>
      <c r="EL16" s="190"/>
    </row>
    <row r="17" spans="29:142">
      <c r="AF17" s="167" t="s">
        <v>242</v>
      </c>
      <c r="AG17" s="167"/>
      <c r="AH17" s="152" t="str">
        <f>Collar[[#This Row],[Collar]]&amp;IF(Collar[[#This Row],[Price]]="",""," (+"&amp;TEXT(Collar[[#This Row],[Price]],"$0.00"&amp;")"))</f>
        <v>1/4 Zip Polo (+$5.00)</v>
      </c>
      <c r="AI17" s="168" t="s">
        <v>280</v>
      </c>
      <c r="AJ17" s="169">
        <v>5</v>
      </c>
      <c r="AK17" s="165" t="s">
        <v>192</v>
      </c>
      <c r="AL17" s="170" t="s">
        <v>109</v>
      </c>
      <c r="AM17" s="165" t="str">
        <f>Collar[[#This Row],[Collection]]&amp;Collar[[#This Row],[Sleeve]]</f>
        <v>PerformanceLong</v>
      </c>
      <c r="AO17" s="152"/>
      <c r="AP17" s="152"/>
      <c r="AQ17" s="152"/>
      <c r="AR17" s="152"/>
      <c r="AS17" s="152"/>
      <c r="AU17" s="158" t="s">
        <v>76</v>
      </c>
      <c r="AV17" s="152">
        <v>15</v>
      </c>
      <c r="AW17" s="152" t="str">
        <f>Size[[#This Row],[Size]]&amp;IF(Size[[#This Row],[Price]]="",""," (+"&amp;TEXT(Size[[#This Row],[Price]],"$0.00")&amp;")")</f>
        <v>Large</v>
      </c>
      <c r="AX17" s="157" t="s">
        <v>193</v>
      </c>
      <c r="AZ17" s="145" t="s">
        <v>67</v>
      </c>
      <c r="BL17" s="152" t="s">
        <v>281</v>
      </c>
      <c r="BM17" s="152">
        <v>15</v>
      </c>
      <c r="BN17" s="152" t="str">
        <f>Logos[[#This Row],[Logos]]&amp;IF(Logos[[#This Row],[Use]]="Flat"," (+"&amp;TEXT(Logos[[#This Row],[Flat]],"$0.00")&amp;")"," (+"&amp;TEXT(Logos[[#This Row],[Pct]],"0%")&amp;" of base price)")</f>
        <v>Radical (+$5.00)</v>
      </c>
      <c r="BO17" s="152" t="s">
        <v>281</v>
      </c>
      <c r="BP17" s="144">
        <v>0.1</v>
      </c>
      <c r="BQ17" s="183">
        <v>5</v>
      </c>
      <c r="BR17" s="153" t="s">
        <v>122</v>
      </c>
      <c r="BT17" s="152" t="s">
        <v>269</v>
      </c>
      <c r="BU17" s="152">
        <v>30</v>
      </c>
      <c r="BV17" s="152" t="str">
        <f>Chest[[#This Row],[Logos]]&amp;IF(Chest[[#This Row],[Use]]="Flat"," (+"&amp;TEXT(Chest[[#This Row],[Flat]],"$0.00")&amp;")"," (+"&amp;TEXT(Chest[[#This Row],[Pct]],"0%")&amp;" of base price)")</f>
        <v>Lord Field (+$5.00)</v>
      </c>
      <c r="BW17" s="171" t="s">
        <v>270</v>
      </c>
      <c r="BX17" s="187">
        <v>0.1</v>
      </c>
      <c r="BY17" s="183">
        <v>5</v>
      </c>
      <c r="BZ17" s="153" t="s">
        <v>122</v>
      </c>
      <c r="CB17" s="152" t="s">
        <v>254</v>
      </c>
      <c r="CC17" s="152">
        <v>27</v>
      </c>
      <c r="CD17" s="152" t="str">
        <f>LeftSleeve[[#This Row],[Logos]]&amp;IF(LeftSleeve[[#This Row],[Use]]="Flat"," (+"&amp;TEXT(LeftSleeve[[#This Row],[Flat]],"$0.00")&amp;")"," (+"&amp;TEXT(LeftSleeve[[#This Row],[Pct]],"0%")&amp;" of base price)")</f>
        <v>Hammer (+$5.00)</v>
      </c>
      <c r="CE17" s="188" t="s">
        <v>254</v>
      </c>
      <c r="CF17" s="187">
        <v>0.1</v>
      </c>
      <c r="CG17" s="183">
        <v>5</v>
      </c>
      <c r="CH17" s="153" t="s">
        <v>122</v>
      </c>
      <c r="CI17" s="152"/>
      <c r="CJ17" s="152" t="s">
        <v>197</v>
      </c>
      <c r="CK17" s="152">
        <v>22</v>
      </c>
      <c r="CL17" s="152" t="s">
        <v>282</v>
      </c>
      <c r="CM17" s="188" t="s">
        <v>198</v>
      </c>
      <c r="CN17" s="183">
        <v>0.1</v>
      </c>
      <c r="CO17" s="183">
        <v>5</v>
      </c>
      <c r="CP17" s="153" t="s">
        <v>122</v>
      </c>
      <c r="CQ17" s="152"/>
    </row>
    <row r="18" spans="29:142">
      <c r="AC18" s="152"/>
      <c r="AF18" s="152" t="s">
        <v>283</v>
      </c>
      <c r="AG18" s="152"/>
      <c r="AH18" s="152" t="str">
        <f>Collar[[#This Row],[Collar]]&amp;IF(Collar[[#This Row],[Price]]="",""," (+"&amp;TEXT(Collar[[#This Row],[Price]],"$0.00"&amp;")"))</f>
        <v>1/4 Zip Pullover (+$5.00)</v>
      </c>
      <c r="AI18" s="157" t="s">
        <v>284</v>
      </c>
      <c r="AJ18" s="180">
        <v>5</v>
      </c>
      <c r="AK18" s="170" t="s">
        <v>192</v>
      </c>
      <c r="AL18" s="170" t="s">
        <v>109</v>
      </c>
      <c r="AM18" s="170" t="str">
        <f>Collar[[#This Row],[Collection]]&amp;Collar[[#This Row],[Sleeve]]</f>
        <v>PerformanceLong</v>
      </c>
      <c r="AN18" s="152"/>
      <c r="AP18" s="152"/>
      <c r="AQ18" s="152"/>
      <c r="AR18" s="152"/>
      <c r="AS18" s="152"/>
      <c r="AU18" s="158" t="s">
        <v>78</v>
      </c>
      <c r="AV18" s="152">
        <v>16</v>
      </c>
      <c r="AW18" s="152" t="str">
        <f>Size[[#This Row],[Size]]&amp;IF(Size[[#This Row],[Price]]="",""," (+"&amp;TEXT(Size[[#This Row],[Price]],"$0.00")&amp;")")</f>
        <v>X-Large</v>
      </c>
      <c r="AX18" s="157" t="s">
        <v>220</v>
      </c>
      <c r="AZ18" s="145" t="s">
        <v>67</v>
      </c>
      <c r="BL18" s="152" t="s">
        <v>285</v>
      </c>
      <c r="BM18" s="152">
        <v>16</v>
      </c>
      <c r="BN18" s="152" t="str">
        <f>Logos[[#This Row],[Logos]]&amp;IF(Logos[[#This Row],[Use]]="Flat"," (+"&amp;TEXT(Logos[[#This Row],[Flat]],"$0.00")&amp;")"," (+"&amp;TEXT(Logos[[#This Row],[Pct]],"0%")&amp;" of base price)")</f>
        <v>Robby's  (+$5.00)</v>
      </c>
      <c r="BO18" s="152" t="s">
        <v>286</v>
      </c>
      <c r="BP18" s="144">
        <v>0.1</v>
      </c>
      <c r="BQ18" s="183">
        <v>5</v>
      </c>
      <c r="BR18" s="153" t="s">
        <v>122</v>
      </c>
      <c r="BT18" s="152" t="s">
        <v>273</v>
      </c>
      <c r="BU18" s="152">
        <v>31</v>
      </c>
      <c r="BV18" s="152" t="str">
        <f>Chest[[#This Row],[Logos]]&amp;IF(Chest[[#This Row],[Use]]="Flat"," (+"&amp;TEXT(Chest[[#This Row],[Flat]],"$0.00")&amp;")"," (+"&amp;TEXT(Chest[[#This Row],[Pct]],"0%")&amp;" of base price)")</f>
        <v>Master (+$5.00)</v>
      </c>
      <c r="BW18" s="171" t="s">
        <v>273</v>
      </c>
      <c r="BX18" s="187">
        <v>0.1</v>
      </c>
      <c r="BY18" s="183">
        <v>5</v>
      </c>
      <c r="BZ18" s="153" t="s">
        <v>122</v>
      </c>
      <c r="CB18" s="152" t="s">
        <v>260</v>
      </c>
      <c r="CC18" s="152">
        <v>28</v>
      </c>
      <c r="CD18" s="152" t="str">
        <f>LeftSleeve[[#This Row],[Logos]]&amp;IF(LeftSleeve[[#This Row],[Use]]="Flat"," (+"&amp;TEXT(LeftSleeve[[#This Row],[Flat]],"$0.00")&amp;")"," (+"&amp;TEXT(LeftSleeve[[#This Row],[Pct]],"0%")&amp;" of base price)")</f>
        <v>Lane Masters (+$5.00)</v>
      </c>
      <c r="CE18" s="188" t="s">
        <v>261</v>
      </c>
      <c r="CF18" s="187">
        <v>0.1</v>
      </c>
      <c r="CG18" s="183">
        <v>5</v>
      </c>
      <c r="CH18" s="153" t="s">
        <v>122</v>
      </c>
      <c r="CI18" s="152"/>
      <c r="CJ18" s="152" t="s">
        <v>212</v>
      </c>
      <c r="CK18" s="152">
        <v>23</v>
      </c>
      <c r="CL18" s="152" t="s">
        <v>287</v>
      </c>
      <c r="CM18" s="188" t="s">
        <v>212</v>
      </c>
      <c r="CN18" s="183">
        <v>0.1</v>
      </c>
      <c r="CO18" s="183">
        <v>5</v>
      </c>
      <c r="CP18" s="153" t="s">
        <v>122</v>
      </c>
      <c r="CQ18" s="152"/>
    </row>
    <row r="19" spans="29:142">
      <c r="AF19" s="167" t="s">
        <v>262</v>
      </c>
      <c r="AG19" s="167"/>
      <c r="AH19" s="152" t="str">
        <f>Collar[[#This Row],[Collar]]&amp;IF(Collar[[#This Row],[Price]]="",""," (+"&amp;TEXT(Collar[[#This Row],[Price]],"$0.00"&amp;")"))</f>
        <v>Lightweight Hoodie (+$5.00)</v>
      </c>
      <c r="AI19" s="168" t="s">
        <v>288</v>
      </c>
      <c r="AJ19" s="169">
        <v>5</v>
      </c>
      <c r="AK19" s="165" t="s">
        <v>192</v>
      </c>
      <c r="AL19" s="170" t="s">
        <v>109</v>
      </c>
      <c r="AM19" s="165" t="str">
        <f>Collar[[#This Row],[Collection]]&amp;Collar[[#This Row],[Sleeve]]</f>
        <v>PerformanceLong</v>
      </c>
      <c r="AN19" s="152"/>
      <c r="AO19" s="152"/>
      <c r="AP19" s="152"/>
      <c r="AQ19" s="152"/>
      <c r="AR19" s="152"/>
      <c r="AS19" s="152"/>
      <c r="AU19" s="158" t="s">
        <v>234</v>
      </c>
      <c r="AV19" s="152">
        <v>17</v>
      </c>
      <c r="AW19" s="152" t="str">
        <f>Size[[#This Row],[Size]]&amp;IF(Size[[#This Row],[Price]]="",""," (+"&amp;TEXT(Size[[#This Row],[Price]],"$0.00")&amp;")")</f>
        <v>2X-Large (+$2.00)</v>
      </c>
      <c r="AX19" s="146">
        <v>2</v>
      </c>
      <c r="AY19" s="145">
        <v>2</v>
      </c>
      <c r="AZ19" s="145" t="s">
        <v>67</v>
      </c>
      <c r="BL19" s="152" t="s">
        <v>289</v>
      </c>
      <c r="BM19" s="152">
        <v>17</v>
      </c>
      <c r="BN19" s="152" t="str">
        <f>Logos[[#This Row],[Logos]]&amp;IF(Logos[[#This Row],[Use]]="Flat"," (+"&amp;TEXT(Logos[[#This Row],[Flat]],"$0.00")&amp;")"," (+"&amp;TEXT(Logos[[#This Row],[Pct]],"0%")&amp;" of base price)")</f>
        <v>Roto-Grip (+$5.00)</v>
      </c>
      <c r="BO19" s="152" t="s">
        <v>290</v>
      </c>
      <c r="BP19" s="144">
        <v>0.1</v>
      </c>
      <c r="BQ19" s="183">
        <v>5</v>
      </c>
      <c r="BR19" s="153" t="s">
        <v>122</v>
      </c>
      <c r="BT19" s="152" t="s">
        <v>276</v>
      </c>
      <c r="BU19" s="152">
        <v>32</v>
      </c>
      <c r="BV19" s="152" t="str">
        <f>Chest[[#This Row],[Logos]]&amp;IF(Chest[[#This Row],[Use]]="Flat"," (+"&amp;TEXT(Chest[[#This Row],[Flat]],"$0.00")&amp;")"," (+"&amp;TEXT(Chest[[#This Row],[Pct]],"0%")&amp;" of base price)")</f>
        <v>Motiv (+$5.00)</v>
      </c>
      <c r="BW19" s="171" t="s">
        <v>276</v>
      </c>
      <c r="BX19" s="187">
        <v>0.1</v>
      </c>
      <c r="BY19" s="183">
        <v>5</v>
      </c>
      <c r="BZ19" s="153" t="s">
        <v>122</v>
      </c>
      <c r="CB19" s="152" t="s">
        <v>265</v>
      </c>
      <c r="CC19" s="152">
        <v>29</v>
      </c>
      <c r="CD19" s="152" t="str">
        <f>LeftSleeve[[#This Row],[Logos]]&amp;IF(LeftSleeve[[#This Row],[Use]]="Flat"," (+"&amp;TEXT(LeftSleeve[[#This Row],[Flat]],"$0.00")&amp;")"," (+"&amp;TEXT(LeftSleeve[[#This Row],[Pct]],"0%")&amp;" of base price)")</f>
        <v>Legends (+$5.00)</v>
      </c>
      <c r="CE19" s="188" t="s">
        <v>265</v>
      </c>
      <c r="CF19" s="187">
        <v>0.1</v>
      </c>
      <c r="CG19" s="183">
        <v>5</v>
      </c>
      <c r="CH19" s="153" t="s">
        <v>122</v>
      </c>
      <c r="CI19" s="152"/>
      <c r="CJ19" s="152" t="s">
        <v>221</v>
      </c>
      <c r="CK19" s="152">
        <v>24</v>
      </c>
      <c r="CL19" s="152" t="s">
        <v>291</v>
      </c>
      <c r="CM19" s="25" t="s">
        <v>221</v>
      </c>
      <c r="CN19" s="183">
        <v>0.1</v>
      </c>
      <c r="CO19" s="183">
        <v>5</v>
      </c>
      <c r="CP19" s="153" t="s">
        <v>122</v>
      </c>
      <c r="CQ19" s="152"/>
      <c r="EL19" s="190"/>
    </row>
    <row r="20" spans="29:142">
      <c r="AF20" s="152" t="s">
        <v>292</v>
      </c>
      <c r="AG20" s="152"/>
      <c r="AH20" s="152" t="str">
        <f>Collar[[#This Row],[Collar]]&amp;IF(Collar[[#This Row],[Price]]="",""," (+"&amp;TEXT(Collar[[#This Row],[Price]],"$0.00"&amp;")"))</f>
        <v>Lightweight 1/4 Zip Hoodie (+$10.00)</v>
      </c>
      <c r="AI20" s="157" t="s">
        <v>293</v>
      </c>
      <c r="AJ20" s="180">
        <v>10</v>
      </c>
      <c r="AK20" s="170" t="s">
        <v>192</v>
      </c>
      <c r="AL20" s="170" t="s">
        <v>109</v>
      </c>
      <c r="AM20" s="170" t="str">
        <f>Collar[[#This Row],[Collection]]&amp;Collar[[#This Row],[Sleeve]]</f>
        <v>PerformanceLong</v>
      </c>
      <c r="AN20" s="152"/>
      <c r="AO20" s="152"/>
      <c r="AP20" s="152"/>
      <c r="AQ20" s="152"/>
      <c r="AR20" s="152"/>
      <c r="AS20" s="152"/>
      <c r="AU20" s="158" t="s">
        <v>244</v>
      </c>
      <c r="AV20" s="152">
        <v>18</v>
      </c>
      <c r="AW20" s="152" t="str">
        <f>Size[[#This Row],[Size]]&amp;IF(Size[[#This Row],[Price]]="",""," (+"&amp;TEXT(Size[[#This Row],[Price]],"$0.00")&amp;")")</f>
        <v>3X-Large (+$4.00)</v>
      </c>
      <c r="AX20" s="146">
        <v>3</v>
      </c>
      <c r="AY20" s="145">
        <v>4</v>
      </c>
      <c r="AZ20" s="145" t="s">
        <v>67</v>
      </c>
      <c r="BL20" s="152" t="s">
        <v>294</v>
      </c>
      <c r="BM20" s="152">
        <v>18</v>
      </c>
      <c r="BN20" s="152" t="str">
        <f>Logos[[#This Row],[Logos]]&amp;IF(Logos[[#This Row],[Use]]="Flat"," (+"&amp;TEXT(Logos[[#This Row],[Flat]],"$0.00")&amp;")"," (+"&amp;TEXT(Logos[[#This Row],[Pct]],"0%")&amp;" of base price)")</f>
        <v>Storm (+$5.00)</v>
      </c>
      <c r="BO20" s="152" t="s">
        <v>294</v>
      </c>
      <c r="BP20" s="144">
        <v>0.1</v>
      </c>
      <c r="BQ20" s="183">
        <v>5</v>
      </c>
      <c r="BR20" s="153" t="s">
        <v>122</v>
      </c>
      <c r="BT20" s="152" t="s">
        <v>279</v>
      </c>
      <c r="BU20" s="152">
        <v>33</v>
      </c>
      <c r="BV20" s="152" t="str">
        <f>Chest[[#This Row],[Logos]]&amp;IF(Chest[[#This Row],[Use]]="Flat"," (+"&amp;TEXT(Chest[[#This Row],[Flat]],"$0.00")&amp;")"," (+"&amp;TEXT(Chest[[#This Row],[Pct]],"0%")&amp;" of base price)")</f>
        <v>Powerhouse (+$5.00)</v>
      </c>
      <c r="BW20" s="171" t="s">
        <v>279</v>
      </c>
      <c r="BX20" s="187">
        <v>0.1</v>
      </c>
      <c r="BY20" s="183">
        <v>5</v>
      </c>
      <c r="BZ20" s="153" t="s">
        <v>122</v>
      </c>
      <c r="CB20" s="152" t="s">
        <v>269</v>
      </c>
      <c r="CC20" s="152">
        <v>30</v>
      </c>
      <c r="CD20" s="152" t="str">
        <f>LeftSleeve[[#This Row],[Logos]]&amp;IF(LeftSleeve[[#This Row],[Use]]="Flat"," (+"&amp;TEXT(LeftSleeve[[#This Row],[Flat]],"$0.00")&amp;")"," (+"&amp;TEXT(LeftSleeve[[#This Row],[Pct]],"0%")&amp;" of base price)")</f>
        <v>Lord Field (+$5.00)</v>
      </c>
      <c r="CE20" s="188" t="s">
        <v>270</v>
      </c>
      <c r="CF20" s="187">
        <v>0.1</v>
      </c>
      <c r="CG20" s="183">
        <v>5</v>
      </c>
      <c r="CH20" s="153" t="s">
        <v>122</v>
      </c>
      <c r="CI20" s="152"/>
      <c r="CJ20" s="152" t="s">
        <v>235</v>
      </c>
      <c r="CK20" s="152">
        <v>25</v>
      </c>
      <c r="CL20" s="152" t="s">
        <v>295</v>
      </c>
      <c r="CM20" s="188" t="s">
        <v>235</v>
      </c>
      <c r="CN20" s="183">
        <v>0.1</v>
      </c>
      <c r="CO20" s="183">
        <v>5</v>
      </c>
      <c r="CP20" s="153" t="s">
        <v>122</v>
      </c>
      <c r="CQ20" s="152"/>
    </row>
    <row r="21" spans="29:142">
      <c r="AF21" s="167" t="s">
        <v>151</v>
      </c>
      <c r="AG21" s="167"/>
      <c r="AH21" s="152" t="str">
        <f>Collar[[#This Row],[Collar]]&amp;IF(Collar[[#This Row],[Price]]="",""," (+"&amp;TEXT(Collar[[#This Row],[Price]],"$0.00"&amp;")"))</f>
        <v>1/4 Zip Sash (+$10.00)</v>
      </c>
      <c r="AI21" s="168" t="s">
        <v>296</v>
      </c>
      <c r="AJ21" s="169">
        <v>10</v>
      </c>
      <c r="AK21" s="165" t="s">
        <v>171</v>
      </c>
      <c r="AL21" s="170" t="s">
        <v>109</v>
      </c>
      <c r="AM21" s="165" t="str">
        <f>Collar[[#This Row],[Collection]]&amp;Collar[[#This Row],[Sleeve]]</f>
        <v>PerformanceSleeveless</v>
      </c>
      <c r="AN21" s="152"/>
      <c r="AO21" s="152"/>
      <c r="AP21" s="152"/>
      <c r="AQ21" s="152"/>
      <c r="AR21" s="152"/>
      <c r="AS21" s="152"/>
      <c r="AU21" s="158" t="s">
        <v>253</v>
      </c>
      <c r="AV21" s="152">
        <v>19</v>
      </c>
      <c r="AW21" s="152" t="str">
        <f>Size[[#This Row],[Size]]&amp;IF(Size[[#This Row],[Price]]="",""," (+"&amp;TEXT(Size[[#This Row],[Price]],"$0.00")&amp;")")</f>
        <v>4X-Large (+$6.00)</v>
      </c>
      <c r="AX21" s="146">
        <v>4</v>
      </c>
      <c r="AY21" s="145">
        <v>6</v>
      </c>
      <c r="AZ21" s="145" t="s">
        <v>67</v>
      </c>
      <c r="BL21" s="152" t="s">
        <v>297</v>
      </c>
      <c r="BM21" s="152">
        <v>19</v>
      </c>
      <c r="BN21" s="152" t="str">
        <f>Logos[[#This Row],[Logos]]&amp;IF(Logos[[#This Row],[Use]]="Flat"," (+"&amp;TEXT(Logos[[#This Row],[Flat]],"$0.00")&amp;")"," (+"&amp;TEXT(Logos[[#This Row],[Pct]],"0%")&amp;" of base price)")</f>
        <v>SWAG (+$5.00)</v>
      </c>
      <c r="BO21" s="152" t="s">
        <v>297</v>
      </c>
      <c r="BP21" s="144">
        <v>0.1</v>
      </c>
      <c r="BQ21" s="183">
        <v>5</v>
      </c>
      <c r="BR21" s="153" t="s">
        <v>122</v>
      </c>
      <c r="BT21" s="152" t="s">
        <v>281</v>
      </c>
      <c r="BU21" s="152">
        <v>34</v>
      </c>
      <c r="BV21" s="152" t="str">
        <f>Chest[[#This Row],[Logos]]&amp;IF(Chest[[#This Row],[Use]]="Flat"," (+"&amp;TEXT(Chest[[#This Row],[Flat]],"$0.00")&amp;")"," (+"&amp;TEXT(Chest[[#This Row],[Pct]],"0%")&amp;" of base price)")</f>
        <v>Radical (+$5.00)</v>
      </c>
      <c r="BW21" s="171" t="s">
        <v>281</v>
      </c>
      <c r="BX21" s="187">
        <v>0.1</v>
      </c>
      <c r="BY21" s="183">
        <v>5</v>
      </c>
      <c r="BZ21" s="153" t="s">
        <v>122</v>
      </c>
      <c r="CB21" s="152" t="s">
        <v>273</v>
      </c>
      <c r="CC21" s="152">
        <v>31</v>
      </c>
      <c r="CD21" s="152" t="str">
        <f>LeftSleeve[[#This Row],[Logos]]&amp;IF(LeftSleeve[[#This Row],[Use]]="Flat"," (+"&amp;TEXT(LeftSleeve[[#This Row],[Flat]],"$0.00")&amp;")"," (+"&amp;TEXT(LeftSleeve[[#This Row],[Pct]],"0%")&amp;" of base price)")</f>
        <v>Master (+$5.00)</v>
      </c>
      <c r="CE21" s="188" t="s">
        <v>273</v>
      </c>
      <c r="CF21" s="187">
        <v>0.1</v>
      </c>
      <c r="CG21" s="183">
        <v>5</v>
      </c>
      <c r="CH21" s="153" t="s">
        <v>122</v>
      </c>
      <c r="CI21" s="152"/>
      <c r="CJ21" s="152" t="s">
        <v>245</v>
      </c>
      <c r="CK21" s="152">
        <v>26</v>
      </c>
      <c r="CL21" s="152" t="s">
        <v>298</v>
      </c>
      <c r="CM21" s="188" t="s">
        <v>245</v>
      </c>
      <c r="CN21" s="183">
        <v>0.1</v>
      </c>
      <c r="CO21" s="183">
        <v>5</v>
      </c>
      <c r="CP21" s="153" t="s">
        <v>122</v>
      </c>
      <c r="CQ21" s="152"/>
    </row>
    <row r="22" spans="29:142">
      <c r="AF22" s="152" t="s">
        <v>173</v>
      </c>
      <c r="AG22" s="152"/>
      <c r="AH22" s="152" t="str">
        <f>Collar[[#This Row],[Collar]]&amp;IF(Collar[[#This Row],[Price]]="",""," (+"&amp;TEXT(Collar[[#This Row],[Price]],"$0.00"&amp;")"))</f>
        <v>Polo (+$10.00)</v>
      </c>
      <c r="AI22" s="157" t="s">
        <v>299</v>
      </c>
      <c r="AJ22" s="180">
        <v>10</v>
      </c>
      <c r="AK22" s="170" t="s">
        <v>171</v>
      </c>
      <c r="AL22" s="170" t="s">
        <v>109</v>
      </c>
      <c r="AM22" s="170" t="str">
        <f>Collar[[#This Row],[Collection]]&amp;Collar[[#This Row],[Sleeve]]</f>
        <v>PerformanceSleeveless</v>
      </c>
      <c r="AN22" s="152"/>
      <c r="AO22" s="152"/>
      <c r="AP22" s="152"/>
      <c r="AQ22" s="152"/>
      <c r="AR22" s="152"/>
      <c r="AS22" s="152"/>
      <c r="AU22" s="158" t="s">
        <v>259</v>
      </c>
      <c r="AV22" s="152">
        <v>20</v>
      </c>
      <c r="AW22" s="152" t="str">
        <f>Size[[#This Row],[Size]]&amp;IF(Size[[#This Row],[Price]]="",""," (+"&amp;TEXT(Size[[#This Row],[Price]],"$0.00")&amp;")")</f>
        <v>5X-Large (+$9.00)</v>
      </c>
      <c r="AX22" s="146">
        <v>5</v>
      </c>
      <c r="AY22" s="145">
        <v>9</v>
      </c>
      <c r="AZ22" s="145" t="s">
        <v>67</v>
      </c>
      <c r="BL22" s="152" t="s">
        <v>300</v>
      </c>
      <c r="BM22" s="152">
        <v>20</v>
      </c>
      <c r="BN22" s="152" t="str">
        <f>Logos[[#This Row],[Logos]]&amp;IF(Logos[[#This Row],[Use]]="Flat"," (+"&amp;TEXT(Logos[[#This Row],[Flat]],"$0.00")&amp;")"," (+"&amp;TEXT(Logos[[#This Row],[Pct]],"0%")&amp;" of base price)")</f>
        <v>Track (+$5.00)</v>
      </c>
      <c r="BO22" s="152" t="s">
        <v>300</v>
      </c>
      <c r="BP22" s="144">
        <v>0.1</v>
      </c>
      <c r="BQ22" s="183">
        <v>5</v>
      </c>
      <c r="BR22" s="153" t="s">
        <v>122</v>
      </c>
      <c r="BT22" s="152" t="s">
        <v>285</v>
      </c>
      <c r="BU22" s="152">
        <v>35</v>
      </c>
      <c r="BV22" s="152" t="str">
        <f>Chest[[#This Row],[Logos]]&amp;IF(Chest[[#This Row],[Use]]="Flat"," (+"&amp;TEXT(Chest[[#This Row],[Flat]],"$0.00")&amp;")"," (+"&amp;TEXT(Chest[[#This Row],[Pct]],"0%")&amp;" of base price)")</f>
        <v>Robby's  (+$5.00)</v>
      </c>
      <c r="BW22" s="171" t="s">
        <v>286</v>
      </c>
      <c r="BX22" s="187">
        <v>0.1</v>
      </c>
      <c r="BY22" s="183">
        <v>5</v>
      </c>
      <c r="BZ22" s="153" t="s">
        <v>122</v>
      </c>
      <c r="CB22" s="152" t="s">
        <v>276</v>
      </c>
      <c r="CC22" s="152">
        <v>32</v>
      </c>
      <c r="CD22" s="152" t="str">
        <f>LeftSleeve[[#This Row],[Logos]]&amp;IF(LeftSleeve[[#This Row],[Use]]="Flat"," (+"&amp;TEXT(LeftSleeve[[#This Row],[Flat]],"$0.00")&amp;")"," (+"&amp;TEXT(LeftSleeve[[#This Row],[Pct]],"0%")&amp;" of base price)")</f>
        <v>Motiv (+$5.00)</v>
      </c>
      <c r="CE22" s="188" t="s">
        <v>276</v>
      </c>
      <c r="CF22" s="187">
        <v>0.1</v>
      </c>
      <c r="CG22" s="183">
        <v>5</v>
      </c>
      <c r="CH22" s="153" t="s">
        <v>122</v>
      </c>
      <c r="CI22" s="152"/>
      <c r="CJ22" s="152" t="s">
        <v>254</v>
      </c>
      <c r="CK22" s="152">
        <v>27</v>
      </c>
      <c r="CL22" s="152" t="s">
        <v>301</v>
      </c>
      <c r="CM22" s="188" t="s">
        <v>254</v>
      </c>
      <c r="CN22" s="183">
        <v>0.1</v>
      </c>
      <c r="CO22" s="183">
        <v>5</v>
      </c>
      <c r="CP22" s="153" t="s">
        <v>122</v>
      </c>
      <c r="CQ22" s="152"/>
      <c r="EL22" s="190"/>
    </row>
    <row r="23" spans="29:142">
      <c r="AF23" s="167" t="s">
        <v>194</v>
      </c>
      <c r="AG23" s="167"/>
      <c r="AH23" s="152" t="str">
        <f>Collar[[#This Row],[Collar]]&amp;IF(Collar[[#This Row],[Price]]="",""," (+"&amp;TEXT(Collar[[#This Row],[Price]],"$0.00"&amp;")"))</f>
        <v>V-Neck</v>
      </c>
      <c r="AI23" s="168" t="s">
        <v>302</v>
      </c>
      <c r="AJ23" s="169"/>
      <c r="AK23" s="165" t="s">
        <v>171</v>
      </c>
      <c r="AL23" s="170" t="s">
        <v>109</v>
      </c>
      <c r="AM23" s="165" t="str">
        <f>Collar[[#This Row],[Collection]]&amp;Collar[[#This Row],[Sleeve]]</f>
        <v>PerformanceSleeveless</v>
      </c>
      <c r="AN23" s="152"/>
      <c r="AO23" s="152"/>
      <c r="AP23" s="152"/>
      <c r="AQ23" s="152"/>
      <c r="AR23" s="152"/>
      <c r="AS23" s="152"/>
      <c r="AU23" s="158" t="s">
        <v>264</v>
      </c>
      <c r="AV23" s="152">
        <v>21</v>
      </c>
      <c r="AW23" s="152" t="str">
        <f>Size[[#This Row],[Size]]&amp;IF(Size[[#This Row],[Price]]="",""," (+"&amp;TEXT(Size[[#This Row],[Price]],"$0.00")&amp;")")</f>
        <v>6X-Large (+$12.00)</v>
      </c>
      <c r="AX23" s="146">
        <v>6</v>
      </c>
      <c r="AY23" s="145">
        <v>12</v>
      </c>
      <c r="AZ23" s="145" t="s">
        <v>67</v>
      </c>
      <c r="BL23" s="152" t="s">
        <v>178</v>
      </c>
      <c r="BM23" s="152">
        <v>21</v>
      </c>
      <c r="BN23" s="152" t="s">
        <v>178</v>
      </c>
      <c r="BO23" s="152" t="s">
        <v>179</v>
      </c>
      <c r="BP23" s="145"/>
      <c r="BQ23" s="154"/>
      <c r="BR23" s="152"/>
      <c r="BT23" s="152" t="s">
        <v>289</v>
      </c>
      <c r="BU23" s="152">
        <v>36</v>
      </c>
      <c r="BV23" s="152" t="str">
        <f>Chest[[#This Row],[Logos]]&amp;IF(Chest[[#This Row],[Use]]="Flat"," (+"&amp;TEXT(Chest[[#This Row],[Flat]],"$0.00")&amp;")"," (+"&amp;TEXT(Chest[[#This Row],[Pct]],"0%")&amp;" of base price)")</f>
        <v>Roto-Grip (+$5.00)</v>
      </c>
      <c r="BW23" s="171" t="s">
        <v>290</v>
      </c>
      <c r="BX23" s="187">
        <v>0.1</v>
      </c>
      <c r="BY23" s="183">
        <v>5</v>
      </c>
      <c r="BZ23" s="153" t="s">
        <v>122</v>
      </c>
      <c r="CB23" s="152" t="s">
        <v>279</v>
      </c>
      <c r="CC23" s="152">
        <v>33</v>
      </c>
      <c r="CD23" s="152" t="str">
        <f>LeftSleeve[[#This Row],[Logos]]&amp;IF(LeftSleeve[[#This Row],[Use]]="Flat"," (+"&amp;TEXT(LeftSleeve[[#This Row],[Flat]],"$0.00")&amp;")"," (+"&amp;TEXT(LeftSleeve[[#This Row],[Pct]],"0%")&amp;" of base price)")</f>
        <v>Powerhouse (+$5.00)</v>
      </c>
      <c r="CE23" s="188" t="s">
        <v>279</v>
      </c>
      <c r="CF23" s="187">
        <v>0.1</v>
      </c>
      <c r="CG23" s="183">
        <v>5</v>
      </c>
      <c r="CH23" s="153" t="s">
        <v>122</v>
      </c>
      <c r="CI23" s="152"/>
      <c r="CJ23" s="152" t="s">
        <v>260</v>
      </c>
      <c r="CK23" s="152">
        <v>28</v>
      </c>
      <c r="CL23" s="152" t="s">
        <v>303</v>
      </c>
      <c r="CM23" s="188" t="s">
        <v>261</v>
      </c>
      <c r="CN23" s="183">
        <v>0.1</v>
      </c>
      <c r="CO23" s="183">
        <v>5</v>
      </c>
      <c r="CP23" s="153" t="s">
        <v>122</v>
      </c>
      <c r="CQ23" s="152"/>
    </row>
    <row r="24" spans="29:142">
      <c r="AF24" s="152" t="s">
        <v>210</v>
      </c>
      <c r="AG24" s="152"/>
      <c r="AH24" s="152" t="str">
        <f>Collar[[#This Row],[Collar]]&amp;IF(Collar[[#This Row],[Price]]="",""," (+"&amp;TEXT(Collar[[#This Row],[Price]],"$0.00"&amp;")"))</f>
        <v>Crew</v>
      </c>
      <c r="AI24" s="157" t="s">
        <v>304</v>
      </c>
      <c r="AJ24" s="180"/>
      <c r="AK24" s="170" t="s">
        <v>171</v>
      </c>
      <c r="AL24" s="170" t="s">
        <v>109</v>
      </c>
      <c r="AM24" s="170" t="str">
        <f>Collar[[#This Row],[Collection]]&amp;Collar[[#This Row],[Sleeve]]</f>
        <v>PerformanceSleeveless</v>
      </c>
      <c r="AN24" s="152"/>
      <c r="AO24" s="152"/>
      <c r="AP24" s="152"/>
      <c r="AQ24" s="152"/>
      <c r="AR24" s="152"/>
      <c r="AS24" s="152"/>
      <c r="AU24" s="158" t="s">
        <v>268</v>
      </c>
      <c r="AV24" s="152">
        <v>22</v>
      </c>
      <c r="AW24" s="152" t="str">
        <f>Size[[#This Row],[Size]]&amp;IF(Size[[#This Row],[Price]]="",""," (+"&amp;TEXT(Size[[#This Row],[Price]],"$0.00")&amp;")")</f>
        <v>7X-Large (+$12.00)</v>
      </c>
      <c r="AX24" s="146">
        <v>7</v>
      </c>
      <c r="AY24" s="145">
        <v>12</v>
      </c>
      <c r="AZ24" s="145" t="s">
        <v>67</v>
      </c>
      <c r="BT24" s="152" t="s">
        <v>294</v>
      </c>
      <c r="BU24" s="152">
        <v>37</v>
      </c>
      <c r="BV24" s="152" t="str">
        <f>Chest[[#This Row],[Logos]]&amp;IF(Chest[[#This Row],[Use]]="Flat"," (+"&amp;TEXT(Chest[[#This Row],[Flat]],"$0.00")&amp;")"," (+"&amp;TEXT(Chest[[#This Row],[Pct]],"0%")&amp;" of base price)")</f>
        <v>Storm (+$5.00)</v>
      </c>
      <c r="BW24" s="171" t="s">
        <v>294</v>
      </c>
      <c r="BX24" s="187">
        <v>0.1</v>
      </c>
      <c r="BY24" s="183">
        <v>5</v>
      </c>
      <c r="BZ24" s="153" t="s">
        <v>122</v>
      </c>
      <c r="CB24" s="152" t="s">
        <v>281</v>
      </c>
      <c r="CC24" s="152">
        <v>34</v>
      </c>
      <c r="CD24" s="152" t="str">
        <f>LeftSleeve[[#This Row],[Logos]]&amp;IF(LeftSleeve[[#This Row],[Use]]="Flat"," (+"&amp;TEXT(LeftSleeve[[#This Row],[Flat]],"$0.00")&amp;")"," (+"&amp;TEXT(LeftSleeve[[#This Row],[Pct]],"0%")&amp;" of base price)")</f>
        <v>Radical (+$5.00)</v>
      </c>
      <c r="CE24" s="188" t="s">
        <v>281</v>
      </c>
      <c r="CF24" s="187">
        <v>0.1</v>
      </c>
      <c r="CG24" s="183">
        <v>5</v>
      </c>
      <c r="CH24" s="153" t="s">
        <v>122</v>
      </c>
      <c r="CJ24" s="152" t="s">
        <v>265</v>
      </c>
      <c r="CK24" s="152">
        <v>29</v>
      </c>
      <c r="CL24" s="152" t="s">
        <v>305</v>
      </c>
      <c r="CM24" s="188" t="s">
        <v>265</v>
      </c>
      <c r="CN24" s="183">
        <v>0.1</v>
      </c>
      <c r="CO24" s="183">
        <v>5</v>
      </c>
      <c r="CP24" s="153" t="s">
        <v>122</v>
      </c>
      <c r="CQ24" s="152"/>
    </row>
    <row r="25" spans="29:142">
      <c r="AF25" s="167" t="s">
        <v>262</v>
      </c>
      <c r="AG25" s="167"/>
      <c r="AH25" s="152" t="str">
        <f>Collar[[#This Row],[Collar]]&amp;IF(Collar[[#This Row],[Price]]="",""," (+"&amp;TEXT(Collar[[#This Row],[Price]],"$0.00"&amp;")"))</f>
        <v>Lightweight Hoodie (+$15.00)</v>
      </c>
      <c r="AI25" s="168" t="s">
        <v>306</v>
      </c>
      <c r="AJ25" s="169">
        <v>15</v>
      </c>
      <c r="AK25" s="165" t="s">
        <v>171</v>
      </c>
      <c r="AL25" s="170" t="s">
        <v>109</v>
      </c>
      <c r="AM25" s="165" t="str">
        <f>Collar[[#This Row],[Collection]]&amp;Collar[[#This Row],[Sleeve]]</f>
        <v>PerformanceSleeveless</v>
      </c>
      <c r="AN25" s="152"/>
      <c r="AO25" s="152"/>
      <c r="AP25" s="152"/>
      <c r="AQ25" s="152"/>
      <c r="AR25" s="152"/>
      <c r="AS25" s="152"/>
      <c r="AU25" s="158" t="s">
        <v>153</v>
      </c>
      <c r="AV25" s="152">
        <v>23</v>
      </c>
      <c r="AW25" s="152" t="str">
        <f>Size[[#This Row],[Size]]&amp;IF(Size[[#This Row],[Price]]="",""," (+"&amp;TEXT(Size[[#This Row],[Price]],"$0.00")&amp;")")</f>
        <v>X-Small</v>
      </c>
      <c r="AX25" s="157" t="s">
        <v>154</v>
      </c>
      <c r="AZ25" s="145" t="s">
        <v>104</v>
      </c>
      <c r="BT25" s="152" t="s">
        <v>297</v>
      </c>
      <c r="BU25" s="152">
        <v>38</v>
      </c>
      <c r="BV25" s="152" t="str">
        <f>Chest[[#This Row],[Logos]]&amp;IF(Chest[[#This Row],[Use]]="Flat"," (+"&amp;TEXT(Chest[[#This Row],[Flat]],"$0.00")&amp;")"," (+"&amp;TEXT(Chest[[#This Row],[Pct]],"0%")&amp;" of base price)")</f>
        <v>SWAG (+$5.00)</v>
      </c>
      <c r="BW25" s="171" t="s">
        <v>297</v>
      </c>
      <c r="BX25" s="187">
        <v>0.1</v>
      </c>
      <c r="BY25" s="183">
        <v>5</v>
      </c>
      <c r="BZ25" s="153" t="s">
        <v>122</v>
      </c>
      <c r="CB25" s="152" t="s">
        <v>285</v>
      </c>
      <c r="CC25" s="152">
        <v>35</v>
      </c>
      <c r="CD25" s="152" t="str">
        <f>LeftSleeve[[#This Row],[Logos]]&amp;IF(LeftSleeve[[#This Row],[Use]]="Flat"," (+"&amp;TEXT(LeftSleeve[[#This Row],[Flat]],"$0.00")&amp;")"," (+"&amp;TEXT(LeftSleeve[[#This Row],[Pct]],"0%")&amp;" of base price)")</f>
        <v>Robby's  (+$5.00)</v>
      </c>
      <c r="CE25" s="188" t="s">
        <v>286</v>
      </c>
      <c r="CF25" s="187">
        <v>0.1</v>
      </c>
      <c r="CG25" s="183">
        <v>5</v>
      </c>
      <c r="CH25" s="153" t="s">
        <v>122</v>
      </c>
      <c r="CJ25" s="152" t="s">
        <v>269</v>
      </c>
      <c r="CK25" s="152">
        <v>30</v>
      </c>
      <c r="CL25" s="152" t="s">
        <v>307</v>
      </c>
      <c r="CM25" s="188" t="s">
        <v>270</v>
      </c>
      <c r="CN25" s="183">
        <v>0.1</v>
      </c>
      <c r="CO25" s="183">
        <v>5</v>
      </c>
      <c r="CP25" s="153" t="s">
        <v>122</v>
      </c>
      <c r="CQ25" s="152"/>
    </row>
    <row r="26" spans="29:142">
      <c r="AF26" s="152" t="s">
        <v>151</v>
      </c>
      <c r="AG26" s="152"/>
      <c r="AH26" s="152" t="str">
        <f>Collar[[#This Row],[Collar]]&amp;IF(Collar[[#This Row],[Price]]="",""," (+"&amp;TEXT(Collar[[#This Row],[Price]],"$0.00"&amp;")"))</f>
        <v>1/4 Zip Sash (+$10.00)</v>
      </c>
      <c r="AI26" s="157" t="s">
        <v>308</v>
      </c>
      <c r="AJ26" s="180">
        <v>10</v>
      </c>
      <c r="AK26" s="170" t="s">
        <v>70</v>
      </c>
      <c r="AL26" s="170" t="s">
        <v>110</v>
      </c>
      <c r="AM26" s="170" t="str">
        <f>Collar[[#This Row],[Collection]]&amp;Collar[[#This Row],[Sleeve]]</f>
        <v>TourShort</v>
      </c>
      <c r="AN26" s="152"/>
      <c r="AO26" s="152"/>
      <c r="AP26" s="152"/>
      <c r="AQ26" s="152"/>
      <c r="AR26" s="152"/>
      <c r="AS26" s="152"/>
      <c r="AU26" s="158" t="s">
        <v>175</v>
      </c>
      <c r="AV26" s="152">
        <v>24</v>
      </c>
      <c r="AW26" s="152" t="str">
        <f>Size[[#This Row],[Size]]&amp;IF(Size[[#This Row],[Price]]="",""," (+"&amp;TEXT(Size[[#This Row],[Price]],"$0.00")&amp;")")</f>
        <v>Small</v>
      </c>
      <c r="AX26" s="157" t="s">
        <v>150</v>
      </c>
      <c r="AZ26" s="145" t="s">
        <v>104</v>
      </c>
      <c r="BT26" s="152" t="s">
        <v>300</v>
      </c>
      <c r="BU26" s="152">
        <v>39</v>
      </c>
      <c r="BV26" s="152" t="str">
        <f>Chest[[#This Row],[Logos]]&amp;IF(Chest[[#This Row],[Use]]="Flat"," (+"&amp;TEXT(Chest[[#This Row],[Flat]],"$0.00")&amp;")"," (+"&amp;TEXT(Chest[[#This Row],[Pct]],"0%")&amp;" of base price)")</f>
        <v>Track (+$5.00)</v>
      </c>
      <c r="BW26" s="171" t="s">
        <v>300</v>
      </c>
      <c r="BX26" s="187">
        <v>0.1</v>
      </c>
      <c r="BY26" s="183">
        <v>5</v>
      </c>
      <c r="BZ26" s="153" t="s">
        <v>122</v>
      </c>
      <c r="CB26" s="152" t="s">
        <v>289</v>
      </c>
      <c r="CC26" s="152">
        <v>36</v>
      </c>
      <c r="CD26" s="152" t="str">
        <f>LeftSleeve[[#This Row],[Logos]]&amp;IF(LeftSleeve[[#This Row],[Use]]="Flat"," (+"&amp;TEXT(LeftSleeve[[#This Row],[Flat]],"$0.00")&amp;")"," (+"&amp;TEXT(LeftSleeve[[#This Row],[Pct]],"0%")&amp;" of base price)")</f>
        <v>Roto-Grip (+$5.00)</v>
      </c>
      <c r="CE26" s="188" t="s">
        <v>290</v>
      </c>
      <c r="CF26" s="187">
        <v>0.1</v>
      </c>
      <c r="CG26" s="183">
        <v>5</v>
      </c>
      <c r="CH26" s="153" t="s">
        <v>122</v>
      </c>
      <c r="CJ26" s="152" t="s">
        <v>273</v>
      </c>
      <c r="CK26" s="152">
        <v>31</v>
      </c>
      <c r="CL26" s="152" t="s">
        <v>309</v>
      </c>
      <c r="CM26" s="188" t="s">
        <v>273</v>
      </c>
      <c r="CN26" s="183">
        <v>0.1</v>
      </c>
      <c r="CO26" s="183">
        <v>5</v>
      </c>
      <c r="CP26" s="153" t="s">
        <v>122</v>
      </c>
      <c r="CQ26" s="152"/>
    </row>
    <row r="27" spans="29:142">
      <c r="AF27" s="167" t="s">
        <v>173</v>
      </c>
      <c r="AG27" s="167"/>
      <c r="AH27" s="152" t="str">
        <f>Collar[[#This Row],[Collar]]&amp;IF(Collar[[#This Row],[Price]]="",""," (+"&amp;TEXT(Collar[[#This Row],[Price]],"$0.00"&amp;")"))</f>
        <v>Polo (+$10.00)</v>
      </c>
      <c r="AI27" s="168" t="s">
        <v>310</v>
      </c>
      <c r="AJ27" s="169">
        <v>10</v>
      </c>
      <c r="AK27" s="165" t="s">
        <v>70</v>
      </c>
      <c r="AL27" s="170" t="s">
        <v>110</v>
      </c>
      <c r="AM27" s="165" t="str">
        <f>Collar[[#This Row],[Collection]]&amp;Collar[[#This Row],[Sleeve]]</f>
        <v>TourShort</v>
      </c>
      <c r="AN27" s="152"/>
      <c r="AO27" s="152"/>
      <c r="AP27" s="152"/>
      <c r="AQ27" s="152"/>
      <c r="AR27" s="152"/>
      <c r="AS27" s="152"/>
      <c r="AU27" s="158" t="s">
        <v>68</v>
      </c>
      <c r="AV27" s="152">
        <v>25</v>
      </c>
      <c r="AW27" s="152" t="str">
        <f>Size[[#This Row],[Size]]&amp;IF(Size[[#This Row],[Price]]="",""," (+"&amp;TEXT(Size[[#This Row],[Price]],"$0.00")&amp;")")</f>
        <v>Medium</v>
      </c>
      <c r="AX27" s="157" t="s">
        <v>147</v>
      </c>
      <c r="AZ27" s="145" t="s">
        <v>104</v>
      </c>
      <c r="BT27" s="152" t="s">
        <v>311</v>
      </c>
      <c r="BU27" s="152">
        <v>50</v>
      </c>
      <c r="BV27" s="152" t="str">
        <f>Chest[[#This Row],[Logos]]&amp;IF(BZ27="","",IF(Chest[[#This Row],[Use]]="Flat"," (+"&amp;TEXT(Chest[[#This Row],[Flat]],"$0.00")&amp;")"," (+"&amp;TEXT(Chest[[#This Row],[Pct]],"0%")&amp;" of base price)"))</f>
        <v>Genesis (+$15.00)</v>
      </c>
      <c r="BW27" s="171" t="s">
        <v>311</v>
      </c>
      <c r="BX27" s="145"/>
      <c r="BY27" s="154">
        <v>15</v>
      </c>
      <c r="BZ27" s="152" t="s">
        <v>122</v>
      </c>
      <c r="CB27" s="152" t="s">
        <v>294</v>
      </c>
      <c r="CC27" s="152">
        <v>37</v>
      </c>
      <c r="CD27" s="152" t="str">
        <f>LeftSleeve[[#This Row],[Logos]]&amp;IF(LeftSleeve[[#This Row],[Use]]="Flat"," (+"&amp;TEXT(LeftSleeve[[#This Row],[Flat]],"$0.00")&amp;")"," (+"&amp;TEXT(LeftSleeve[[#This Row],[Pct]],"0%")&amp;" of base price)")</f>
        <v>Storm (+$5.00)</v>
      </c>
      <c r="CE27" s="188" t="s">
        <v>294</v>
      </c>
      <c r="CF27" s="187">
        <v>0.1</v>
      </c>
      <c r="CG27" s="183">
        <v>5</v>
      </c>
      <c r="CH27" s="153" t="s">
        <v>122</v>
      </c>
      <c r="CJ27" s="152" t="s">
        <v>276</v>
      </c>
      <c r="CK27" s="152">
        <v>32</v>
      </c>
      <c r="CL27" s="152" t="s">
        <v>312</v>
      </c>
      <c r="CM27" s="188" t="s">
        <v>276</v>
      </c>
      <c r="CN27" s="183">
        <v>0.1</v>
      </c>
      <c r="CO27" s="183">
        <v>5</v>
      </c>
      <c r="CP27" s="153" t="s">
        <v>122</v>
      </c>
      <c r="CQ27" s="152"/>
    </row>
    <row r="28" spans="29:142">
      <c r="AF28" s="152" t="s">
        <v>194</v>
      </c>
      <c r="AG28" s="152"/>
      <c r="AH28" s="152" t="str">
        <f>Collar[[#This Row],[Collar]]&amp;IF(Collar[[#This Row],[Price]]="",""," (+"&amp;TEXT(Collar[[#This Row],[Price]],"$0.00"&amp;")"))</f>
        <v>V-Neck</v>
      </c>
      <c r="AI28" s="157" t="s">
        <v>313</v>
      </c>
      <c r="AJ28" s="180"/>
      <c r="AK28" s="170" t="s">
        <v>70</v>
      </c>
      <c r="AL28" s="170" t="s">
        <v>110</v>
      </c>
      <c r="AM28" s="170" t="str">
        <f>Collar[[#This Row],[Collection]]&amp;Collar[[#This Row],[Sleeve]]</f>
        <v>TourShort</v>
      </c>
      <c r="AN28" s="152"/>
      <c r="AO28" s="152"/>
      <c r="AP28" s="152"/>
      <c r="AQ28" s="152"/>
      <c r="AR28" s="152"/>
      <c r="AS28" s="152"/>
      <c r="AU28" s="158" t="s">
        <v>76</v>
      </c>
      <c r="AV28" s="152">
        <v>26</v>
      </c>
      <c r="AW28" s="152" t="str">
        <f>Size[[#This Row],[Size]]&amp;IF(Size[[#This Row],[Price]]="",""," (+"&amp;TEXT(Size[[#This Row],[Price]],"$0.00")&amp;")")</f>
        <v>Large</v>
      </c>
      <c r="AX28" s="157" t="s">
        <v>193</v>
      </c>
      <c r="AZ28" s="145" t="s">
        <v>104</v>
      </c>
      <c r="BT28" s="152" t="s">
        <v>314</v>
      </c>
      <c r="BU28" s="152">
        <v>51</v>
      </c>
      <c r="BV28" s="152" t="str">
        <f>Chest[[#This Row],[Logos]]&amp;IF(BZ28="","",IF(Chest[[#This Row],[Use]]="Flat"," (+"&amp;TEXT(Chest[[#This Row],[Flat]],"$0.00")&amp;")"," (+"&amp;TEXT(Chest[[#This Row],[Pct]],"0%")&amp;" of base price)"))</f>
        <v>Mongoose</v>
      </c>
      <c r="BW28" s="171" t="s">
        <v>314</v>
      </c>
      <c r="BX28" s="145"/>
      <c r="BY28" s="154"/>
      <c r="BZ28" s="152"/>
      <c r="CB28" s="152" t="s">
        <v>297</v>
      </c>
      <c r="CC28" s="152">
        <v>38</v>
      </c>
      <c r="CD28" s="152" t="str">
        <f>LeftSleeve[[#This Row],[Logos]]&amp;IF(LeftSleeve[[#This Row],[Use]]="Flat"," (+"&amp;TEXT(LeftSleeve[[#This Row],[Flat]],"$0.00")&amp;")"," (+"&amp;TEXT(LeftSleeve[[#This Row],[Pct]],"0%")&amp;" of base price)")</f>
        <v>SWAG (+$5.00)</v>
      </c>
      <c r="CE28" s="188" t="s">
        <v>297</v>
      </c>
      <c r="CF28" s="187">
        <v>0.1</v>
      </c>
      <c r="CG28" s="183">
        <v>5</v>
      </c>
      <c r="CH28" s="153" t="s">
        <v>122</v>
      </c>
      <c r="CJ28" s="152" t="s">
        <v>279</v>
      </c>
      <c r="CK28" s="152">
        <v>33</v>
      </c>
      <c r="CL28" s="152" t="s">
        <v>315</v>
      </c>
      <c r="CM28" s="188" t="s">
        <v>279</v>
      </c>
      <c r="CN28" s="183">
        <v>0.1</v>
      </c>
      <c r="CO28" s="183">
        <v>5</v>
      </c>
      <c r="CP28" s="153" t="s">
        <v>122</v>
      </c>
      <c r="CQ28" s="152"/>
    </row>
    <row r="29" spans="29:142">
      <c r="AF29" s="167" t="s">
        <v>210</v>
      </c>
      <c r="AG29" s="167"/>
      <c r="AH29" s="152" t="str">
        <f>Collar[[#This Row],[Collar]]&amp;IF(Collar[[#This Row],[Price]]="",""," (+"&amp;TEXT(Collar[[#This Row],[Price]],"$0.00"&amp;")"))</f>
        <v>Crew</v>
      </c>
      <c r="AI29" s="168" t="s">
        <v>316</v>
      </c>
      <c r="AJ29" s="169"/>
      <c r="AK29" s="165" t="s">
        <v>70</v>
      </c>
      <c r="AL29" s="170" t="s">
        <v>110</v>
      </c>
      <c r="AM29" s="165" t="str">
        <f>Collar[[#This Row],[Collection]]&amp;Collar[[#This Row],[Sleeve]]</f>
        <v>TourShort</v>
      </c>
      <c r="AN29" s="152"/>
      <c r="AO29" s="152"/>
      <c r="AP29" s="152"/>
      <c r="AQ29" s="152"/>
      <c r="AR29" s="152"/>
      <c r="AS29" s="152"/>
      <c r="AU29" s="158" t="s">
        <v>78</v>
      </c>
      <c r="AV29" s="152">
        <v>27</v>
      </c>
      <c r="AW29" s="152" t="str">
        <f>Size[[#This Row],[Size]]&amp;IF(Size[[#This Row],[Price]]="",""," (+"&amp;TEXT(Size[[#This Row],[Price]],"$0.00")&amp;")")</f>
        <v>X-Large</v>
      </c>
      <c r="AX29" s="157" t="s">
        <v>220</v>
      </c>
      <c r="AZ29" s="154" t="s">
        <v>104</v>
      </c>
      <c r="BT29" s="152" t="s">
        <v>317</v>
      </c>
      <c r="BU29" s="152">
        <v>52</v>
      </c>
      <c r="BV29" s="152" t="str">
        <f>Chest[[#This Row],[Logos]]&amp;IF(BZ29="","",IF(Chest[[#This Row],[Use]]="Flat"," (+"&amp;TEXT(Chest[[#This Row],[Flat]],"$0.00")&amp;")"," (+"&amp;TEXT(Chest[[#This Row],[Pct]],"0%")&amp;" of base price)"))</f>
        <v>Real Bowlers Tape</v>
      </c>
      <c r="BW29" s="171" t="s">
        <v>317</v>
      </c>
      <c r="BX29" s="145"/>
      <c r="BY29" s="154"/>
      <c r="BZ29" s="152"/>
      <c r="CB29" s="152" t="s">
        <v>300</v>
      </c>
      <c r="CC29" s="152">
        <v>39</v>
      </c>
      <c r="CD29" s="152" t="str">
        <f>LeftSleeve[[#This Row],[Logos]]&amp;IF(LeftSleeve[[#This Row],[Use]]="Flat"," (+"&amp;TEXT(LeftSleeve[[#This Row],[Flat]],"$0.00")&amp;")"," (+"&amp;TEXT(LeftSleeve[[#This Row],[Pct]],"0%")&amp;" of base price)")</f>
        <v>Track (+$5.00)</v>
      </c>
      <c r="CE29" s="188" t="s">
        <v>300</v>
      </c>
      <c r="CF29" s="187">
        <v>0.1</v>
      </c>
      <c r="CG29" s="183">
        <v>5</v>
      </c>
      <c r="CH29" s="153" t="s">
        <v>122</v>
      </c>
      <c r="CJ29" s="152" t="s">
        <v>281</v>
      </c>
      <c r="CK29" s="152">
        <v>34</v>
      </c>
      <c r="CL29" s="152" t="s">
        <v>318</v>
      </c>
      <c r="CM29" s="188" t="s">
        <v>281</v>
      </c>
      <c r="CN29" s="183">
        <v>0.1</v>
      </c>
      <c r="CO29" s="183">
        <v>5</v>
      </c>
      <c r="CP29" s="153" t="s">
        <v>122</v>
      </c>
    </row>
    <row r="30" spans="29:142">
      <c r="AF30" s="152" t="s">
        <v>218</v>
      </c>
      <c r="AG30" s="152"/>
      <c r="AH30" s="152" t="str">
        <f>Collar[[#This Row],[Collar]]&amp;IF(Collar[[#This Row],[Price]]="",""," (+"&amp;TEXT(Collar[[#This Row],[Price]],"$0.00"&amp;")"))</f>
        <v>1/4 Zip Blade (+$10.00)</v>
      </c>
      <c r="AI30" s="157" t="s">
        <v>319</v>
      </c>
      <c r="AJ30" s="180">
        <v>10</v>
      </c>
      <c r="AK30" s="170" t="s">
        <v>70</v>
      </c>
      <c r="AL30" s="170" t="s">
        <v>110</v>
      </c>
      <c r="AM30" s="170" t="str">
        <f>Collar[[#This Row],[Collection]]&amp;Collar[[#This Row],[Sleeve]]</f>
        <v>TourShort</v>
      </c>
      <c r="AN30" s="152"/>
      <c r="AO30" s="152"/>
      <c r="AP30" s="152"/>
      <c r="AQ30" s="152"/>
      <c r="AR30" s="152"/>
      <c r="AS30" s="152"/>
      <c r="AU30" s="158" t="s">
        <v>320</v>
      </c>
      <c r="AV30" s="152">
        <v>28</v>
      </c>
      <c r="AW30" s="152" t="str">
        <f>Size[[#This Row],[Size]]&amp;IF(Size[[#This Row],[Price]]="",""," (+"&amp;TEXT(Size[[#This Row],[Price]],"$0.00")&amp;")")</f>
        <v>2T</v>
      </c>
      <c r="AX30" s="155" t="str">
        <f>Size[[#This Row],[Size]]&amp;IF(Size[[#This Row],[Price]]="",""," (+"&amp;TEXT(Size[[#This Row],[Price]],"$0.00")&amp;")")</f>
        <v>2T</v>
      </c>
      <c r="AZ30" s="145" t="s">
        <v>105</v>
      </c>
      <c r="BT30" s="152" t="s">
        <v>321</v>
      </c>
      <c r="BU30" s="152">
        <v>53</v>
      </c>
      <c r="BV30" s="152" t="str">
        <f>Chest[[#This Row],[Logos]]&amp;IF(BZ30="","",IF(Chest[[#This Row],[Use]]="Flat"," (+"&amp;TEXT(Chest[[#This Row],[Flat]],"$0.00")&amp;")"," (+"&amp;TEXT(Chest[[#This Row],[Pct]],"0%")&amp;" of base price)"))</f>
        <v>Ultimate (+$5.00)</v>
      </c>
      <c r="BW30" s="191" t="s">
        <v>321</v>
      </c>
      <c r="BX30" s="145"/>
      <c r="BY30" s="154">
        <v>5</v>
      </c>
      <c r="BZ30" s="152" t="s">
        <v>122</v>
      </c>
      <c r="CB30" s="152" t="s">
        <v>311</v>
      </c>
      <c r="CC30" s="152">
        <v>50</v>
      </c>
      <c r="CD30" s="152" t="str">
        <f>LeftSleeve[[#This Row],[Logos]]&amp;IF(LeftSleeve[[#This Row],[Use]]="Flat"," (+"&amp;TEXT(LeftSleeve[[#This Row],[Flat]],"$0.00")&amp;")"," (+"&amp;TEXT(LeftSleeve[[#This Row],[Pct]],"0%")&amp;" of base price)")</f>
        <v>Genesis (+$15.00)</v>
      </c>
      <c r="CE30" s="188" t="s">
        <v>311</v>
      </c>
      <c r="CF30" s="145"/>
      <c r="CG30" s="154">
        <v>15</v>
      </c>
      <c r="CH30" s="152" t="s">
        <v>122</v>
      </c>
      <c r="CJ30" s="152" t="s">
        <v>285</v>
      </c>
      <c r="CK30" s="152">
        <v>35</v>
      </c>
      <c r="CL30" s="152" t="s">
        <v>322</v>
      </c>
      <c r="CM30" s="188" t="s">
        <v>286</v>
      </c>
      <c r="CN30" s="183">
        <v>0.1</v>
      </c>
      <c r="CO30" s="183">
        <v>5</v>
      </c>
      <c r="CP30" s="153" t="s">
        <v>122</v>
      </c>
    </row>
    <row r="31" spans="29:142">
      <c r="AF31" s="167" t="s">
        <v>232</v>
      </c>
      <c r="AG31" s="167"/>
      <c r="AH31" s="152" t="str">
        <f>Collar[[#This Row],[Collar]]&amp;IF(Collar[[#This Row],[Price]]="",""," (+"&amp;TEXT(Collar[[#This Row],[Price]],"$0.00"&amp;")"))</f>
        <v>3 Button Blade (+$10.00)</v>
      </c>
      <c r="AI31" s="168" t="s">
        <v>323</v>
      </c>
      <c r="AJ31" s="169">
        <v>10</v>
      </c>
      <c r="AK31" s="165" t="s">
        <v>70</v>
      </c>
      <c r="AL31" s="170" t="s">
        <v>110</v>
      </c>
      <c r="AM31" s="165" t="str">
        <f>Collar[[#This Row],[Collection]]&amp;Collar[[#This Row],[Sleeve]]</f>
        <v>TourShort</v>
      </c>
      <c r="AN31" s="152"/>
      <c r="AO31" s="152"/>
      <c r="AP31" s="152"/>
      <c r="AQ31" s="152"/>
      <c r="AR31" s="152"/>
      <c r="AS31" s="152"/>
      <c r="AU31" s="158" t="s">
        <v>324</v>
      </c>
      <c r="AV31" s="152">
        <v>29</v>
      </c>
      <c r="AW31" s="152" t="str">
        <f>Size[[#This Row],[Size]]&amp;IF(Size[[#This Row],[Price]]="",""," (+"&amp;TEXT(Size[[#This Row],[Price]],"$0.00")&amp;")")</f>
        <v>3T</v>
      </c>
      <c r="AX31" s="155" t="str">
        <f>Size[[#This Row],[Size]]&amp;IF(Size[[#This Row],[Price]]="",""," (+"&amp;TEXT(Size[[#This Row],[Price]],"$0.00")&amp;")")</f>
        <v>3T</v>
      </c>
      <c r="AZ31" s="145" t="s">
        <v>105</v>
      </c>
      <c r="CB31" s="152" t="s">
        <v>314</v>
      </c>
      <c r="CC31" s="152">
        <v>51</v>
      </c>
      <c r="CD31" s="152" t="s">
        <v>314</v>
      </c>
      <c r="CE31" s="188" t="s">
        <v>314</v>
      </c>
      <c r="CF31" s="145"/>
      <c r="CG31" s="154"/>
      <c r="CH31" s="152"/>
      <c r="CJ31" s="152" t="s">
        <v>289</v>
      </c>
      <c r="CK31" s="152">
        <v>36</v>
      </c>
      <c r="CL31" s="152" t="s">
        <v>325</v>
      </c>
      <c r="CM31" s="188" t="s">
        <v>290</v>
      </c>
      <c r="CN31" s="183">
        <v>0.1</v>
      </c>
      <c r="CO31" s="183">
        <v>5</v>
      </c>
      <c r="CP31" s="153" t="s">
        <v>122</v>
      </c>
    </row>
    <row r="32" spans="29:142">
      <c r="AF32" s="152" t="s">
        <v>242</v>
      </c>
      <c r="AG32" s="152"/>
      <c r="AH32" s="152" t="str">
        <f>Collar[[#This Row],[Collar]]&amp;IF(Collar[[#This Row],[Price]]="",""," (+"&amp;TEXT(Collar[[#This Row],[Price]],"$0.00"&amp;")"))</f>
        <v>1/4 Zip Polo (+$10.00)</v>
      </c>
      <c r="AI32" s="157" t="s">
        <v>326</v>
      </c>
      <c r="AJ32" s="180">
        <v>10</v>
      </c>
      <c r="AK32" s="170" t="s">
        <v>70</v>
      </c>
      <c r="AL32" s="170" t="s">
        <v>110</v>
      </c>
      <c r="AM32" s="170" t="str">
        <f>Collar[[#This Row],[Collection]]&amp;Collar[[#This Row],[Sleeve]]</f>
        <v>TourShort</v>
      </c>
      <c r="AN32" s="152"/>
      <c r="AO32" s="152"/>
      <c r="AP32" s="152"/>
      <c r="AQ32" s="152"/>
      <c r="AR32" s="152"/>
      <c r="AS32" s="152"/>
      <c r="AU32" s="158" t="s">
        <v>327</v>
      </c>
      <c r="AV32" s="152">
        <v>30</v>
      </c>
      <c r="AW32" s="152" t="str">
        <f>Size[[#This Row],[Size]]&amp;IF(Size[[#This Row],[Price]]="",""," (+"&amp;TEXT(Size[[#This Row],[Price]],"$0.00")&amp;")")</f>
        <v>4T</v>
      </c>
      <c r="AX32" s="155" t="str">
        <f>Size[[#This Row],[Size]]&amp;IF(Size[[#This Row],[Price]]="",""," (+"&amp;TEXT(Size[[#This Row],[Price]],"$0.00")&amp;")")</f>
        <v>4T</v>
      </c>
      <c r="AZ32" s="145" t="s">
        <v>105</v>
      </c>
      <c r="CB32" s="152" t="s">
        <v>317</v>
      </c>
      <c r="CC32" s="152">
        <v>52</v>
      </c>
      <c r="CD32" s="152" t="s">
        <v>317</v>
      </c>
      <c r="CE32" s="188" t="s">
        <v>317</v>
      </c>
      <c r="CF32" s="145"/>
      <c r="CG32" s="154"/>
      <c r="CH32" s="152"/>
      <c r="CJ32" s="152" t="s">
        <v>294</v>
      </c>
      <c r="CK32" s="152">
        <v>37</v>
      </c>
      <c r="CL32" s="152" t="s">
        <v>328</v>
      </c>
      <c r="CM32" s="188" t="s">
        <v>294</v>
      </c>
      <c r="CN32" s="183">
        <v>0.1</v>
      </c>
      <c r="CO32" s="183">
        <v>5</v>
      </c>
      <c r="CP32" s="153" t="s">
        <v>122</v>
      </c>
    </row>
    <row r="33" spans="32:94">
      <c r="AF33" s="167" t="s">
        <v>251</v>
      </c>
      <c r="AG33" s="167"/>
      <c r="AH33" s="152" t="str">
        <f>Collar[[#This Row],[Collar]]&amp;IF(Collar[[#This Row],[Price]]="",""," (+"&amp;TEXT(Collar[[#This Row],[Price]],"$0.00"&amp;")"))</f>
        <v>Mock Turtleneck (+$5.00)</v>
      </c>
      <c r="AI33" s="168" t="s">
        <v>329</v>
      </c>
      <c r="AJ33" s="169">
        <v>5</v>
      </c>
      <c r="AK33" s="165" t="s">
        <v>70</v>
      </c>
      <c r="AL33" s="170" t="s">
        <v>110</v>
      </c>
      <c r="AM33" s="165" t="str">
        <f>Collar[[#This Row],[Collection]]&amp;Collar[[#This Row],[Sleeve]]</f>
        <v>TourShort</v>
      </c>
      <c r="AN33" s="152"/>
      <c r="AO33" s="152"/>
      <c r="AP33" s="152"/>
      <c r="AQ33" s="152"/>
      <c r="AR33" s="152"/>
      <c r="AS33" s="152"/>
      <c r="AU33" s="158" t="s">
        <v>330</v>
      </c>
      <c r="AV33" s="152">
        <v>31</v>
      </c>
      <c r="AW33" s="152" t="str">
        <f>Size[[#This Row],[Size]]&amp;IF(Size[[#This Row],[Price]]="",""," (+"&amp;TEXT(Size[[#This Row],[Price]],"$0.00")&amp;")")</f>
        <v>5T</v>
      </c>
      <c r="AX33" s="155" t="str">
        <f>Size[[#This Row],[Size]]&amp;IF(Size[[#This Row],[Price]]="",""," (+"&amp;TEXT(Size[[#This Row],[Price]],"$0.00")&amp;")")</f>
        <v>5T</v>
      </c>
      <c r="AZ33" s="145" t="s">
        <v>105</v>
      </c>
      <c r="CB33" s="152" t="s">
        <v>321</v>
      </c>
      <c r="CC33" s="152">
        <v>53</v>
      </c>
      <c r="CD33" s="152" t="str">
        <f>LeftSleeve[[#This Row],[Logos]]&amp;IF(LeftSleeve[[#This Row],[Use]]="Flat"," (+"&amp;TEXT(LeftSleeve[[#This Row],[Flat]],"$0.00")&amp;")"," (+"&amp;TEXT(LeftSleeve[[#This Row],[Pct]],"0%")&amp;" of base price)")</f>
        <v>Ultimate (+$5.00)</v>
      </c>
      <c r="CE33" s="192" t="s">
        <v>321</v>
      </c>
      <c r="CF33" s="145"/>
      <c r="CG33" s="154">
        <v>5</v>
      </c>
      <c r="CH33" s="152" t="s">
        <v>122</v>
      </c>
      <c r="CJ33" s="152" t="s">
        <v>297</v>
      </c>
      <c r="CK33" s="152">
        <v>38</v>
      </c>
      <c r="CL33" s="152" t="s">
        <v>331</v>
      </c>
      <c r="CM33" s="188" t="s">
        <v>297</v>
      </c>
      <c r="CN33" s="183">
        <v>0.1</v>
      </c>
      <c r="CO33" s="183">
        <v>5</v>
      </c>
      <c r="CP33" s="153" t="s">
        <v>122</v>
      </c>
    </row>
    <row r="34" spans="32:94">
      <c r="AF34" s="152" t="s">
        <v>151</v>
      </c>
      <c r="AG34" s="152"/>
      <c r="AH34" s="152" t="str">
        <f>Collar[[#This Row],[Collar]]&amp;IF(Collar[[#This Row],[Price]]="",""," (+"&amp;TEXT(Collar[[#This Row],[Price]],"$0.00"&amp;")"))</f>
        <v>1/4 Zip Sash (+$10.00)</v>
      </c>
      <c r="AI34" s="157" t="s">
        <v>332</v>
      </c>
      <c r="AJ34" s="180">
        <v>10</v>
      </c>
      <c r="AK34" s="170" t="s">
        <v>192</v>
      </c>
      <c r="AL34" s="170" t="s">
        <v>110</v>
      </c>
      <c r="AM34" s="170" t="str">
        <f>Collar[[#This Row],[Collection]]&amp;Collar[[#This Row],[Sleeve]]</f>
        <v>TourLong</v>
      </c>
      <c r="AN34" s="152"/>
      <c r="AO34" s="152"/>
      <c r="AP34" s="152"/>
      <c r="AQ34" s="152"/>
      <c r="AR34" s="152"/>
      <c r="AS34" s="152"/>
      <c r="CJ34" s="152" t="s">
        <v>300</v>
      </c>
      <c r="CK34" s="152">
        <v>39</v>
      </c>
      <c r="CL34" s="152" t="s">
        <v>333</v>
      </c>
      <c r="CM34" s="188" t="s">
        <v>300</v>
      </c>
      <c r="CN34" s="183">
        <v>0.1</v>
      </c>
      <c r="CO34" s="183">
        <v>5</v>
      </c>
      <c r="CP34" s="153" t="s">
        <v>122</v>
      </c>
    </row>
    <row r="35" spans="32:94">
      <c r="AF35" s="167" t="s">
        <v>173</v>
      </c>
      <c r="AG35" s="167"/>
      <c r="AH35" s="152" t="str">
        <f>Collar[[#This Row],[Collar]]&amp;IF(Collar[[#This Row],[Price]]="",""," (+"&amp;TEXT(Collar[[#This Row],[Price]],"$0.00"&amp;")"))</f>
        <v>Polo (+$10.00)</v>
      </c>
      <c r="AI35" s="168" t="s">
        <v>334</v>
      </c>
      <c r="AJ35" s="169">
        <v>10</v>
      </c>
      <c r="AK35" s="165" t="s">
        <v>192</v>
      </c>
      <c r="AL35" s="170" t="s">
        <v>110</v>
      </c>
      <c r="AM35" s="165" t="str">
        <f>Collar[[#This Row],[Collection]]&amp;Collar[[#This Row],[Sleeve]]</f>
        <v>TourLong</v>
      </c>
      <c r="AN35" s="152"/>
      <c r="AO35" s="152"/>
      <c r="AP35" s="152"/>
      <c r="AQ35" s="152"/>
      <c r="AR35" s="152"/>
      <c r="AS35" s="152"/>
      <c r="CJ35" s="152" t="s">
        <v>311</v>
      </c>
      <c r="CK35" s="152">
        <v>50</v>
      </c>
      <c r="CL35" s="152" t="s">
        <v>335</v>
      </c>
      <c r="CM35" s="188" t="s">
        <v>311</v>
      </c>
      <c r="CN35" s="154"/>
      <c r="CO35" s="154">
        <v>15</v>
      </c>
      <c r="CP35" s="152" t="s">
        <v>122</v>
      </c>
    </row>
    <row r="36" spans="32:94">
      <c r="AF36" s="152" t="s">
        <v>194</v>
      </c>
      <c r="AG36" s="152"/>
      <c r="AH36" s="152" t="str">
        <f>Collar[[#This Row],[Collar]]&amp;IF(Collar[[#This Row],[Price]]="",""," (+"&amp;TEXT(Collar[[#This Row],[Price]],"$0.00"&amp;")"))</f>
        <v>V-Neck</v>
      </c>
      <c r="AI36" s="157" t="s">
        <v>336</v>
      </c>
      <c r="AJ36" s="180"/>
      <c r="AK36" s="170" t="s">
        <v>192</v>
      </c>
      <c r="AL36" s="170" t="s">
        <v>110</v>
      </c>
      <c r="AM36" s="170" t="str">
        <f>Collar[[#This Row],[Collection]]&amp;Collar[[#This Row],[Sleeve]]</f>
        <v>TourLong</v>
      </c>
      <c r="AN36" s="152"/>
      <c r="AO36" s="152"/>
      <c r="AP36" s="152"/>
      <c r="AQ36" s="152"/>
      <c r="AR36" s="152"/>
      <c r="AS36" s="152"/>
      <c r="CJ36" s="152" t="s">
        <v>314</v>
      </c>
      <c r="CK36" s="152">
        <v>51</v>
      </c>
      <c r="CL36" s="152" t="s">
        <v>314</v>
      </c>
      <c r="CM36" s="188" t="s">
        <v>314</v>
      </c>
      <c r="CN36" s="154"/>
      <c r="CO36" s="154"/>
      <c r="CP36" s="152"/>
    </row>
    <row r="37" spans="32:94">
      <c r="AF37" s="167" t="s">
        <v>210</v>
      </c>
      <c r="AG37" s="167"/>
      <c r="AH37" s="152" t="str">
        <f>Collar[[#This Row],[Collar]]&amp;IF(Collar[[#This Row],[Price]]="",""," (+"&amp;TEXT(Collar[[#This Row],[Price]],"$0.00"&amp;")"))</f>
        <v>Crew</v>
      </c>
      <c r="AI37" s="168" t="s">
        <v>337</v>
      </c>
      <c r="AJ37" s="169"/>
      <c r="AK37" s="165" t="s">
        <v>192</v>
      </c>
      <c r="AL37" s="170" t="s">
        <v>110</v>
      </c>
      <c r="AM37" s="165" t="str">
        <f>Collar[[#This Row],[Collection]]&amp;Collar[[#This Row],[Sleeve]]</f>
        <v>TourLong</v>
      </c>
      <c r="AN37" s="152"/>
      <c r="AO37" s="152"/>
      <c r="AP37" s="152"/>
      <c r="AQ37" s="152"/>
      <c r="AR37" s="152"/>
      <c r="AS37" s="152"/>
      <c r="CJ37" s="152" t="s">
        <v>317</v>
      </c>
      <c r="CK37" s="152">
        <v>52</v>
      </c>
      <c r="CL37" s="152" t="s">
        <v>317</v>
      </c>
      <c r="CM37" s="188" t="s">
        <v>317</v>
      </c>
      <c r="CN37" s="154"/>
      <c r="CO37" s="154"/>
      <c r="CP37" s="152"/>
    </row>
    <row r="38" spans="32:94">
      <c r="AF38" s="152" t="s">
        <v>242</v>
      </c>
      <c r="AG38" s="152"/>
      <c r="AH38" s="152" t="str">
        <f>Collar[[#This Row],[Collar]]&amp;IF(Collar[[#This Row],[Price]]="",""," (+"&amp;TEXT(Collar[[#This Row],[Price]],"$0.00"&amp;")"))</f>
        <v>1/4 Zip Polo (+$10.00)</v>
      </c>
      <c r="AI38" s="157" t="s">
        <v>338</v>
      </c>
      <c r="AJ38" s="180">
        <v>10</v>
      </c>
      <c r="AK38" s="170" t="s">
        <v>192</v>
      </c>
      <c r="AL38" s="170" t="s">
        <v>110</v>
      </c>
      <c r="AM38" s="170" t="str">
        <f>Collar[[#This Row],[Collection]]&amp;Collar[[#This Row],[Sleeve]]</f>
        <v>TourLong</v>
      </c>
      <c r="AN38" s="152"/>
      <c r="AO38" s="152"/>
      <c r="AP38" s="152"/>
      <c r="AQ38" s="152"/>
      <c r="AR38" s="152"/>
      <c r="AS38" s="152"/>
      <c r="CJ38" s="152" t="s">
        <v>321</v>
      </c>
      <c r="CK38" s="152">
        <v>53</v>
      </c>
      <c r="CL38" s="152" t="s">
        <v>339</v>
      </c>
      <c r="CM38" s="192" t="s">
        <v>321</v>
      </c>
      <c r="CN38" s="154"/>
      <c r="CO38" s="154">
        <v>5</v>
      </c>
      <c r="CP38" s="152" t="s">
        <v>122</v>
      </c>
    </row>
    <row r="39" spans="32:94">
      <c r="AF39" s="152"/>
      <c r="AG39" s="152"/>
      <c r="AN39" s="152"/>
      <c r="AO39" s="152"/>
      <c r="AP39" s="152"/>
      <c r="AQ39" s="152"/>
      <c r="AR39" s="152"/>
      <c r="AS39" s="152"/>
    </row>
    <row r="40" spans="32:94">
      <c r="AF40" s="152"/>
      <c r="AG40" s="152"/>
      <c r="AN40" s="152"/>
      <c r="AO40" s="170"/>
      <c r="AP40" s="170"/>
      <c r="AQ40" s="170"/>
      <c r="AR40" s="170"/>
      <c r="AS40" s="170"/>
    </row>
    <row r="41" spans="32:94">
      <c r="AF41" s="152"/>
      <c r="AG41" s="152"/>
      <c r="AN41" s="152"/>
    </row>
    <row r="42" spans="32:94">
      <c r="AN42" s="170"/>
    </row>
    <row r="78" ht="23.25" customHeight="1"/>
    <row r="79" ht="14.25" customHeight="1"/>
    <row r="80" ht="14.25" customHeight="1"/>
    <row r="81" ht="15" customHeight="1"/>
  </sheetData>
  <sheetProtection algorithmName="SHA-512" hashValue="v6FratEaLUjYfKhE+jUVzMx+ob9bead1yKHCkOf0aKUD7B7/3ppQw1WiwEgjr054xOATesdKxyO6Ul2R4HEsWA==" saltValue="nMHLDATwb3fUvcxVxhTjcw==" spinCount="100000" sheet="1" objects="1" scenarios="1" selectLockedCells="1" selectUnlockedCells="1"/>
  <protectedRanges>
    <protectedRange sqref="EF3:EF13" name="ProductionPriority_3"/>
  </protectedRanges>
  <mergeCells count="13">
    <mergeCell ref="CR1:DA1"/>
    <mergeCell ref="DC1:DN1"/>
    <mergeCell ref="DR1:EL1"/>
    <mergeCell ref="AU1:BJ1"/>
    <mergeCell ref="BL1:BR1"/>
    <mergeCell ref="BT1:BZ1"/>
    <mergeCell ref="CB1:CH1"/>
    <mergeCell ref="CJ1:CP1"/>
    <mergeCell ref="A1:C1"/>
    <mergeCell ref="E1:N1"/>
    <mergeCell ref="P1:T1"/>
    <mergeCell ref="V1:AD1"/>
    <mergeCell ref="AF1:AS1"/>
  </mergeCells>
  <dataValidations count="2">
    <dataValidation type="list" allowBlank="1" showInputMessage="1" showErrorMessage="1" sqref="EF3:EF6 DK5 EF7:EF13" xr:uid="{00000000-0002-0000-0200-000000000000}">
      <formula1>$DD$3:$DD$5</formula1>
      <formula2>0</formula2>
    </dataValidation>
    <dataValidation type="list" allowBlank="1" showInputMessage="1" showErrorMessage="1" sqref="AO16" xr:uid="{00000000-0002-0000-0200-000001000000}">
      <formula1>"UNIQUE(FILTER(V3:V39,AA3:AA39=AA3))"</formula1>
      <formula2>0</formula2>
    </dataValidation>
  </dataValidations>
  <pageMargins left="0.7" right="0.7" top="0.75" bottom="0.75" header="0.511811023622047" footer="0.511811023622047"/>
  <pageSetup orientation="portrait" horizontalDpi="300" verticalDpi="300"/>
  <tableParts count="22">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26</vt:i4>
      </vt:variant>
    </vt:vector>
  </HeadingPairs>
  <TitlesOfParts>
    <vt:vector size="29" baseType="lpstr">
      <vt:lpstr>Summary</vt:lpstr>
      <vt:lpstr>Bulk Order Details</vt:lpstr>
      <vt:lpstr>Prices</vt:lpstr>
      <vt:lpstr>BOD_IHD</vt:lpstr>
      <vt:lpstr>BOD_ShippingFee</vt:lpstr>
      <vt:lpstr>BOD_Total</vt:lpstr>
      <vt:lpstr>CustGroup</vt:lpstr>
      <vt:lpstr>CustomLogos</vt:lpstr>
      <vt:lpstr>Jerseys</vt:lpstr>
      <vt:lpstr>Mens</vt:lpstr>
      <vt:lpstr>MensCut</vt:lpstr>
      <vt:lpstr>Performance</vt:lpstr>
      <vt:lpstr>PerformanceLong</vt:lpstr>
      <vt:lpstr>PerformanceShort</vt:lpstr>
      <vt:lpstr>PerformanceSleeveless</vt:lpstr>
      <vt:lpstr>'Bulk Order Details'!Print_Area</vt:lpstr>
      <vt:lpstr>Reorder</vt:lpstr>
      <vt:lpstr>Selected_ProdPriority</vt:lpstr>
      <vt:lpstr>Shipping</vt:lpstr>
      <vt:lpstr>TeamAssuranceQuote</vt:lpstr>
      <vt:lpstr>Toddler</vt:lpstr>
      <vt:lpstr>ToddlerCut</vt:lpstr>
      <vt:lpstr>Tour</vt:lpstr>
      <vt:lpstr>TourLong</vt:lpstr>
      <vt:lpstr>TourShort</vt:lpstr>
      <vt:lpstr>Womens</vt:lpstr>
      <vt:lpstr>WomensCut</vt:lpstr>
      <vt:lpstr>Youth</vt:lpstr>
      <vt:lpstr>YouthCut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 Fairchild</dc:creator>
  <dc:description/>
  <cp:lastModifiedBy>Jackie Vasquez</cp:lastModifiedBy>
  <cp:revision>1</cp:revision>
  <cp:lastPrinted>2026-03-18T18:20:36Z</cp:lastPrinted>
  <dcterms:created xsi:type="dcterms:W3CDTF">2024-03-10T20:37:48Z</dcterms:created>
  <dcterms:modified xsi:type="dcterms:W3CDTF">2026-04-28T18:15:57Z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2.8.1</vt:lpwstr>
  </property>
</Properties>
</file>