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tables/table33.xml" ContentType="application/vnd.openxmlformats-officedocument.spreadsheetml.table+xml"/>
  <Override PartName="/xl/tables/table30.xml" ContentType="application/vnd.openxmlformats-officedocument.spreadsheetml.table+xml"/>
  <Override PartName="/xl/tables/table27.xml" ContentType="application/vnd.openxmlformats-officedocument.spreadsheetml.table+xml"/>
  <Override PartName="/xl/tables/table24.xml" ContentType="application/vnd.openxmlformats-officedocument.spreadsheetml.table+xml"/>
  <Override PartName="/xl/tables/table21.xml" ContentType="application/vnd.openxmlformats-officedocument.spreadsheetml.table+xml"/>
  <Override PartName="/xl/tables/table15.xml" ContentType="application/vnd.openxmlformats-officedocument.spreadsheetml.table+xml"/>
  <Override PartName="/xl/tables/table9.xml" ContentType="application/vnd.openxmlformats-officedocument.spreadsheetml.table+xml"/>
  <Override PartName="/xl/tables/table6.xml" ContentType="application/vnd.openxmlformats-officedocument.spreadsheetml.table+xml"/>
  <Override PartName="/xl/tables/table66.xml" ContentType="application/vnd.openxmlformats-officedocument.spreadsheetml.table+xml"/>
  <Override PartName="/xl/tables/table63.xml" ContentType="application/vnd.openxmlformats-officedocument.spreadsheetml.table+xml"/>
  <Override PartName="/xl/tables/table25.xml" ContentType="application/vnd.openxmlformats-officedocument.spreadsheetml.table+xml"/>
  <Override PartName="/xl/tables/table62.xml" ContentType="application/vnd.openxmlformats-officedocument.spreadsheetml.table+xml"/>
  <Override PartName="/xl/tables/table12.xml" ContentType="application/vnd.openxmlformats-officedocument.spreadsheetml.table+xml"/>
  <Override PartName="/xl/tables/table49.xml" ContentType="application/vnd.openxmlformats-officedocument.spreadsheetml.table+xml"/>
  <Override PartName="/xl/tables/table14.xml" ContentType="application/vnd.openxmlformats-officedocument.spreadsheetml.table+xml"/>
  <Override PartName="/xl/tables/table37.xml" ContentType="application/vnd.openxmlformats-officedocument.spreadsheetml.table+xml"/>
  <Override PartName="/xl/tables/table18.xml" ContentType="application/vnd.openxmlformats-officedocument.spreadsheetml.table+xml"/>
  <Override PartName="/xl/tables/table3.xml" ContentType="application/vnd.openxmlformats-officedocument.spreadsheetml.table+xml"/>
  <Override PartName="/xl/tables/table36.xml" ContentType="application/vnd.openxmlformats-officedocument.spreadsheetml.table+xml"/>
  <Override PartName="/xl/tables/table40.xml" ContentType="application/vnd.openxmlformats-officedocument.spreadsheetml.table+xml"/>
  <Override PartName="/xl/tables/table43.xml" ContentType="application/vnd.openxmlformats-officedocument.spreadsheetml.table+xml"/>
  <Override PartName="/xl/tables/table46.xml" ContentType="application/vnd.openxmlformats-officedocument.spreadsheetml.table+xml"/>
  <Override PartName="/xl/tables/table11.xml" ContentType="application/vnd.openxmlformats-officedocument.spreadsheetml.table+xml"/>
  <Override PartName="/xl/tables/table48.xml" ContentType="application/vnd.openxmlformats-officedocument.spreadsheetml.table+xml"/>
  <Override PartName="/xl/tables/table22.xml" ContentType="application/vnd.openxmlformats-officedocument.spreadsheetml.table+xml"/>
  <Override PartName="/xl/tables/table59.xml" ContentType="application/vnd.openxmlformats-officedocument.spreadsheetml.table+xml"/>
  <Override PartName="/xl/tables/table31.xml" ContentType="application/vnd.openxmlformats-officedocument.spreadsheetml.table+xml"/>
  <Override PartName="/xl/tables/table68.xml" ContentType="application/vnd.openxmlformats-officedocument.spreadsheetml.table+xml"/>
  <Override PartName="/xl/tables/table67.xml" ContentType="application/vnd.openxmlformats-officedocument.spreadsheetml.table+xml"/>
  <Override PartName="/xl/tables/table55.xml" ContentType="application/vnd.openxmlformats-officedocument.spreadsheetml.table+xml"/>
  <Override PartName="/xl/tables/table64.xml" ContentType="application/vnd.openxmlformats-officedocument.spreadsheetml.table+xml"/>
  <Override PartName="/xl/tables/table52.xml" ContentType="application/vnd.openxmlformats-officedocument.spreadsheetml.table+xml"/>
  <Override PartName="/xl/tables/table61.xml" ContentType="application/vnd.openxmlformats-officedocument.spreadsheetml.table+xml"/>
  <Override PartName="/xl/tables/table58.xml" ContentType="application/vnd.openxmlformats-officedocument.spreadsheetml.table+xml"/>
  <Override PartName="/xl/tables/table13.xml" ContentType="application/vnd.openxmlformats-officedocument.spreadsheetml.table+xml"/>
  <Override PartName="/xl/tables/table50.xml" ContentType="application/vnd.openxmlformats-officedocument.spreadsheetml.table+xml"/>
  <Override PartName="/xl/tables/table45.xml" ContentType="application/vnd.openxmlformats-officedocument.spreadsheetml.table+xml"/>
  <Override PartName="/xl/tables/table5.xml" ContentType="application/vnd.openxmlformats-officedocument.spreadsheetml.table+xml"/>
  <Override PartName="/xl/tables/table39.xml" ContentType="application/vnd.openxmlformats-officedocument.spreadsheetml.table+xml"/>
  <Override PartName="/xl/tables/table42.xml" ContentType="application/vnd.openxmlformats-officedocument.spreadsheetml.table+xml"/>
  <Override PartName="/xl/tables/table70.xml" ContentType="application/vnd.openxmlformats-officedocument.spreadsheetml.table+xml"/>
  <Override PartName="/xl/tables/table28.xml" ContentType="application/vnd.openxmlformats-officedocument.spreadsheetml.table+xml"/>
  <Override PartName="/xl/tables/table35.xml" ContentType="application/vnd.openxmlformats-officedocument.spreadsheetml.table+xml"/>
  <Override PartName="/xl/tables/table38.xml" ContentType="application/vnd.openxmlformats-officedocument.spreadsheetml.table+xml"/>
  <Override PartName="/xl/tables/table19.xml" ContentType="application/vnd.openxmlformats-officedocument.spreadsheetml.table+xml"/>
  <Override PartName="/xl/tables/table4.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10.xml" ContentType="application/vnd.openxmlformats-officedocument.spreadsheetml.table+xml"/>
  <Override PartName="/xl/tables/table47.xml" ContentType="application/vnd.openxmlformats-officedocument.spreadsheetml.table+xml"/>
  <Override PartName="/xl/tables/table34.xml" ContentType="application/vnd.openxmlformats-officedocument.spreadsheetml.table+xml"/>
  <Override PartName="/xl/tables/table53.xml" ContentType="application/vnd.openxmlformats-officedocument.spreadsheetml.table+xml"/>
  <Override PartName="/xl/tables/table1.xml" ContentType="application/vnd.openxmlformats-officedocument.spreadsheetml.table+xml"/>
  <Override PartName="/xl/tables/table16.xml" ContentType="application/vnd.openxmlformats-officedocument.spreadsheetml.table+xml"/>
  <Override PartName="/xl/tables/table65.xml" ContentType="application/vnd.openxmlformats-officedocument.spreadsheetml.table+xml"/>
  <Override PartName="/xl/tables/table56.xml" ContentType="application/vnd.openxmlformats-officedocument.spreadsheetml.table+xml"/>
  <Override PartName="/xl/tables/table2.xml" ContentType="application/vnd.openxmlformats-officedocument.spreadsheetml.table+xml"/>
  <Override PartName="/xl/tables/table17.xml" ContentType="application/vnd.openxmlformats-officedocument.spreadsheetml.table+xml"/>
  <Override PartName="/xl/tables/table20.xml" ContentType="application/vnd.openxmlformats-officedocument.spreadsheetml.table+xml"/>
  <Override PartName="/xl/tables/table57.xml" ContentType="application/vnd.openxmlformats-officedocument.spreadsheetml.table+xml"/>
  <Override PartName="/xl/tables/table23.xml" ContentType="application/vnd.openxmlformats-officedocument.spreadsheetml.table+xml"/>
  <Override PartName="/xl/tables/table26.xml" ContentType="application/vnd.openxmlformats-officedocument.spreadsheetml.table+xml"/>
  <Override PartName="/xl/tables/table29.xml" ContentType="application/vnd.openxmlformats-officedocument.spreadsheetml.table+xml"/>
  <Override PartName="/xl/tables/table32.xml" ContentType="application/vnd.openxmlformats-officedocument.spreadsheetml.table+xml"/>
  <Override PartName="/xl/tables/table69.xml" ContentType="application/vnd.openxmlformats-officedocument.spreadsheetml.table+xml"/>
  <Override PartName="/xl/tables/table41.xml" ContentType="application/vnd.openxmlformats-officedocument.spreadsheetml.table+xml"/>
  <Override PartName="/xl/tables/table44.xml" ContentType="application/vnd.openxmlformats-officedocument.spreadsheetml.table+xml"/>
  <Override PartName="/xl/tables/table51.xml" ContentType="application/vnd.openxmlformats-officedocument.spreadsheetml.table+xml"/>
  <Override PartName="/xl/tables/table54.xml" ContentType="application/vnd.openxmlformats-officedocument.spreadsheetml.table+xml"/>
  <Override PartName="/xl/tables/table60.xml" ContentType="application/vnd.openxmlformats-officedocument.spreadsheetml.table+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_rels/item1.xml.rels" ContentType="application/vnd.openxmlformats-package.relationships+xml"/>
  <Override PartName="/customXml/item1.xml" ContentType="application/xml"/>
  <Override PartName="/customXml/itemProps1.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 activeTab="1"/>
  </bookViews>
  <sheets>
    <sheet name="Summary" sheetId="1" state="hidden" r:id="rId3"/>
    <sheet name="Bulk Order Details" sheetId="2" state="visible" r:id="rId4"/>
    <sheet name="Pricing Details" sheetId="3" state="hidden" r:id="rId5"/>
    <sheet name="Prices" sheetId="4" state="hidden" r:id="rId6"/>
    <sheet name="Prices-2025" sheetId="5" state="hidden" r:id="rId7"/>
    <sheet name="Prices-2024" sheetId="6" state="hidden" r:id="rId8"/>
  </sheets>
  <definedNames>
    <definedName function="false" hidden="false" localSheetId="1" name="_xlnm.Print_Area" vbProcedure="false">'Bulk Order Details'!$B$2:$AA$313</definedName>
    <definedName function="false" hidden="false" name="BOD_Discount" vbProcedure="false">'Bulk Order Details'!$F$3</definedName>
    <definedName function="false" hidden="false" name="BOD_IHD" vbProcedure="false">'Bulk Order Details'!$F$8</definedName>
    <definedName function="false" hidden="false" name="BOD_ProdPriorityFee" vbProcedure="false">'Bulk Order Details'!$F$4</definedName>
    <definedName function="false" hidden="false" name="BOD_ShippingFee" vbProcedure="false">'Bulk Order Details'!$F$5</definedName>
    <definedName function="false" hidden="false" name="BOD_Subtotal" vbProcedure="false">'Bulk Order Details'!$F$2</definedName>
    <definedName function="false" hidden="false" name="BOD_Total" vbProcedure="false">'Bulk Order Details'!$F$6</definedName>
    <definedName function="false" hidden="false" name="CustGroup" vbProcedure="false">Summary!$D$2</definedName>
    <definedName function="false" hidden="false" name="CustomLogos" vbProcedure="false">Summary!$D$5</definedName>
    <definedName function="false" hidden="false" name="FullSKU" vbProcedure="false">'Pricing Details'!$AE$3:$AP$304</definedName>
    <definedName function="false" hidden="false" name="Jerseys" vbProcedure="false">Summary!$D$8</definedName>
    <definedName function="false" hidden="false" name="Mens" vbProcedure="false">Prices!$BB$3:$BB$17</definedName>
    <definedName function="false" hidden="false" name="MensCut" vbProcedure="false">Prices!$K$3:$K$4</definedName>
    <definedName function="false" hidden="false" name="Performance" vbProcedure="false">Prices!$AC$3:$AC$8</definedName>
    <definedName function="false" hidden="false" name="PerformanceLong" vbProcedure="false">Prices!$AQ$3:$AQ$23</definedName>
    <definedName function="false" hidden="false" name="PerformanceShort" vbProcedure="false">Prices!$AO$3:$AO$23</definedName>
    <definedName function="false" hidden="false" name="PerformanceSleeveless" vbProcedure="false">Prices!$AP$3:$AP$23</definedName>
    <definedName function="false" hidden="false" name="ProductionFee" vbProcedure="false">'Bulk Order Details'!$F$4</definedName>
    <definedName function="false" hidden="false" name="Reorder" vbProcedure="false">Summary!$D$3</definedName>
    <definedName function="false" hidden="false" name="Selected_ProdPriority" vbProcedure="false">'Bulk Order Details'!$D$4</definedName>
    <definedName function="false" hidden="false" name="Shipping" vbProcedure="false">Summary!$D$4</definedName>
    <definedName function="false" hidden="false" name="TeamAssuranceQuote" vbProcedure="false">Summary!$D$24</definedName>
    <definedName function="false" hidden="false" name="Toddler" vbProcedure="false">Prices!$BE$3:$BE$16</definedName>
    <definedName function="false" hidden="false" name="ToddlerCut" vbProcedure="false">Prices!$N$3</definedName>
    <definedName function="false" hidden="false" name="Tour" vbProcedure="false">Prices!$AD$3:$AD$8</definedName>
    <definedName function="false" hidden="false" name="TourLong" vbProcedure="false">Prices!$AS$3:$AS$23</definedName>
    <definedName function="false" hidden="false" name="TourShort" vbProcedure="false">Prices!$AR$3:$AR$23</definedName>
    <definedName function="false" hidden="false" name="Womens" vbProcedure="false">Prices!$BC$3:$BC$16</definedName>
    <definedName function="false" hidden="false" name="WomensCut" vbProcedure="false">Prices!$L$3:$L$4</definedName>
    <definedName function="false" hidden="false" name="Youth" vbProcedure="false">Prices!$BD$3:$BD$16</definedName>
    <definedName function="false" hidden="false" name="YouthCut" vbProcedure="false">Prices!$M$3:$M$4</definedName>
    <definedName function="false" hidden="false" localSheetId="4" name="Mens" vbProcedure="false">'Prices-2025'!$BB$3:$BB$17</definedName>
    <definedName function="false" hidden="false" localSheetId="4" name="MensCut" vbProcedure="false">'Prices-2025'!$K$3:$K$4</definedName>
    <definedName function="false" hidden="false" localSheetId="4" name="Performance" vbProcedure="false">'Prices-2025'!$AC$3:$AC$8</definedName>
    <definedName function="false" hidden="false" localSheetId="4" name="PerformanceLong" vbProcedure="false">'Prices-2025'!$AQ$3:$AQ$23</definedName>
    <definedName function="false" hidden="false" localSheetId="4" name="PerformanceShort" vbProcedure="false">'Prices-2025'!$AO$3:$AO$23</definedName>
    <definedName function="false" hidden="false" localSheetId="4" name="PerformanceSleeveless" vbProcedure="false">'Prices-2025'!$AP$3:$AP$23</definedName>
    <definedName function="false" hidden="false" localSheetId="4" name="Toddler" vbProcedure="false">'Prices-2025'!$BE$3:$BE$16</definedName>
    <definedName function="false" hidden="false" localSheetId="4" name="ToddlerCut" vbProcedure="false">'Prices-2025'!$N$3</definedName>
    <definedName function="false" hidden="false" localSheetId="4" name="Tour" vbProcedure="false">'Prices-2025'!$AD$3:$AD$8</definedName>
    <definedName function="false" hidden="false" localSheetId="4" name="TourLong" vbProcedure="false">'Prices-2025'!$AS$3:$AS$23</definedName>
    <definedName function="false" hidden="false" localSheetId="4" name="TourShort" vbProcedure="false">'Prices-2025'!$AR$3:$AR$23</definedName>
    <definedName function="false" hidden="false" localSheetId="4" name="Womens" vbProcedure="false">'Prices-2025'!$BC$3:$BC$16</definedName>
    <definedName function="false" hidden="false" localSheetId="4" name="WomensCut" vbProcedure="false">'Prices-2025'!$L$3:$L$4</definedName>
    <definedName function="false" hidden="false" localSheetId="4" name="Youth" vbProcedure="false">'Prices-2025'!$BD$3:$BD$16</definedName>
    <definedName function="false" hidden="false" localSheetId="4" name="YouthCut" vbProcedure="false">'Prices-2025'!$M$3:$M$4</definedName>
    <definedName function="false" hidden="false" localSheetId="5" name="Mens" vbProcedure="false">'Prices-2024'!$BB$3:$BB$17</definedName>
    <definedName function="false" hidden="false" localSheetId="5" name="MensCut" vbProcedure="false">'Prices-2024'!$K$3:$K$4</definedName>
    <definedName function="false" hidden="false" localSheetId="5" name="Performance" vbProcedure="false">'Prices-2024'!$AC$3:$AC$8</definedName>
    <definedName function="false" hidden="false" localSheetId="5" name="PerformanceLong" vbProcedure="false">'Prices-2024'!$AQ$3:$AQ$23</definedName>
    <definedName function="false" hidden="false" localSheetId="5" name="PerformanceShort" vbProcedure="false">'Prices-2024'!$AO$3:$AO$23</definedName>
    <definedName function="false" hidden="false" localSheetId="5" name="PerformanceSleeveless" vbProcedure="false">'Prices-2024'!$AP$3:$AP$23</definedName>
    <definedName function="false" hidden="false" localSheetId="5" name="Toddler" vbProcedure="false">'Prices-2024'!$BE$3:$BE$16</definedName>
    <definedName function="false" hidden="false" localSheetId="5" name="ToddlerCut" vbProcedure="false">'Prices-2024'!$N$3</definedName>
    <definedName function="false" hidden="false" localSheetId="5" name="Tour" vbProcedure="false">'Prices-2024'!$AD$3:$AD$8</definedName>
    <definedName function="false" hidden="false" localSheetId="5" name="TourLong" vbProcedure="false">'Prices-2024'!$AS$3:$AS$23</definedName>
    <definedName function="false" hidden="false" localSheetId="5" name="TourShort" vbProcedure="false">'Prices-2024'!$AR$3:$AR$23</definedName>
    <definedName function="false" hidden="false" localSheetId="5" name="Womens" vbProcedure="false">'Prices-2024'!$BC$3:$BC$16</definedName>
    <definedName function="false" hidden="false" localSheetId="5" name="WomensCut" vbProcedure="false">'Prices-2024'!$L$3:$L$4</definedName>
    <definedName function="false" hidden="false" localSheetId="5" name="Youth" vbProcedure="false">'Prices-2024'!$BD$3:$BD$16</definedName>
    <definedName function="false" hidden="false" localSheetId="5" name="YouthCut" vbProcedure="false">'Prices-2024'!$M$3:$M$4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<sst xmlns="http://schemas.openxmlformats.org/spreadsheetml/2006/main" count="2298" uniqueCount="384">
  <si>
    <t xml:space="preserve">Customer Discount *</t>
  </si>
  <si>
    <t xml:space="preserve">Website</t>
  </si>
  <si>
    <t xml:space="preserve">Reorder *</t>
  </si>
  <si>
    <t xml:space="preserve">No</t>
  </si>
  <si>
    <t xml:space="preserve">Shipping Cost *</t>
  </si>
  <si>
    <t xml:space="preserve">Custom Logos *</t>
  </si>
  <si>
    <t xml:space="preserve">Production Priority</t>
  </si>
  <si>
    <t xml:space="preserve">Total Jersey Count</t>
  </si>
  <si>
    <t xml:space="preserve">Free Name</t>
  </si>
  <si>
    <t xml:space="preserve">Free Collar</t>
  </si>
  <si>
    <t xml:space="preserve">Free Logo</t>
  </si>
  <si>
    <t xml:space="preserve">Free Coaches Jersey </t>
  </si>
  <si>
    <t xml:space="preserve">Free Express Production</t>
  </si>
  <si>
    <t xml:space="preserve">Free Shipping</t>
  </si>
  <si>
    <t xml:space="preserve">Bulk Order Entry Discount</t>
  </si>
  <si>
    <t xml:space="preserve">Total From Order Details</t>
  </si>
  <si>
    <t xml:space="preserve">Custom Logo Charges</t>
  </si>
  <si>
    <t xml:space="preserve">Free Coaches Jersey</t>
  </si>
  <si>
    <t xml:space="preserve">Subtotal Before Order Discount</t>
  </si>
  <si>
    <t xml:space="preserve">Order Discount</t>
  </si>
  <si>
    <t xml:space="preserve">Subtotal Before Production Fee &amp; Shipping</t>
  </si>
  <si>
    <t xml:space="preserve">TEAM ASSURANCE</t>
  </si>
  <si>
    <t xml:space="preserve">Production Priority Fee</t>
  </si>
  <si>
    <t xml:space="preserve">Shipping</t>
  </si>
  <si>
    <t xml:space="preserve">Grand Total</t>
  </si>
  <si>
    <t xml:space="preserve">Average Cost per Jersey</t>
  </si>
  <si>
    <t xml:space="preserve">Total Discounts</t>
  </si>
  <si>
    <t xml:space="preserve">Standard Website Price of Jerseys, which includes Volume Discounts.  Other discounts, including coupon codes, if available, will be applied at checkout.</t>
  </si>
  <si>
    <t xml:space="preserve">FOR YOUR INFORMATION:</t>
  </si>
  <si>
    <t xml:space="preserve">CRITITICAL DATES</t>
  </si>
  <si>
    <t xml:space="preserve">Day of Week</t>
  </si>
  <si>
    <t xml:space="preserve">Date</t>
  </si>
  <si>
    <t xml:space="preserve">1. All required field are denoted with an *</t>
  </si>
  <si>
    <t xml:space="preserve">Order Placed</t>
  </si>
  <si>
    <t xml:space="preserve">PRODUCTION PRIORITY *</t>
  </si>
  <si>
    <t xml:space="preserve">Standard (approx 3 weeks)</t>
  </si>
  <si>
    <t xml:space="preserve">2. The SKU is found in each product at the top near the product name.</t>
  </si>
  <si>
    <t xml:space="preserve">Order Approval</t>
  </si>
  <si>
    <t xml:space="preserve">SHIPPING</t>
  </si>
  <si>
    <t xml:space="preserve">3. You may leave rows blank to help with the organization of your order.</t>
  </si>
  <si>
    <t xml:space="preserve">ESTIMATED PRODUCTION AND SHIPPING DATES</t>
  </si>
  <si>
    <t xml:space="preserve">4. Express and Priority production is available at an extra cost. </t>
  </si>
  <si>
    <t xml:space="preserve">In Transit Date (Ship from factory)</t>
  </si>
  <si>
    <t xml:space="preserve">BOWLIFI TEAM ASSURANCE APPLIED</t>
  </si>
  <si>
    <t xml:space="preserve">5. Please delete the example jersey entry before entering your order details.</t>
  </si>
  <si>
    <t xml:space="preserve">Estimated Ship Date (Ship to you)</t>
  </si>
  <si>
    <t xml:space="preserve">In Hand Date (the date you need your jerseys in your hands)</t>
  </si>
  <si>
    <t xml:space="preserve">6. The CRITICAL DATES (to the right) are estimates of delivery and other key dates based upon the In Hand Date entered (to the left).  Bowlifi will use their best efforts to meet the In Hand Date, but In Hand Dates are not guaranteed.</t>
  </si>
  <si>
    <t xml:space="preserve">Shipping Service Suggestion</t>
  </si>
  <si>
    <t xml:space="preserve">Estimated Delivery Date</t>
  </si>
  <si>
    <t xml:space="preserve">Should you have an question, please contact customer service at support@bowlifi.com 
or 312-281-7797 or use the online chat at Bowlifi.com.</t>
  </si>
  <si>
    <t xml:space="preserve">7. Orders with a requested In Hand Date may require Express or Priority production, UPS Overnight or Select shipping services.</t>
  </si>
  <si>
    <t xml:space="preserve">Jersey Number</t>
  </si>
  <si>
    <t xml:space="preserve">SKU *
(Design from Bowlifi.com)</t>
  </si>
  <si>
    <t xml:space="preserve">Quantity *</t>
  </si>
  <si>
    <t xml:space="preserve">Cut *</t>
  </si>
  <si>
    <t xml:space="preserve">Size *</t>
  </si>
  <si>
    <t xml:space="preserve">Additional Length</t>
  </si>
  <si>
    <t xml:space="preserve">Collection</t>
  </si>
  <si>
    <t xml:space="preserve">Sleeve Type *</t>
  </si>
  <si>
    <t xml:space="preserve">Neck Collar
Type *</t>
  </si>
  <si>
    <t xml:space="preserve">Name
Orientation</t>
  </si>
  <si>
    <t xml:space="preserve">Lines for Name</t>
  </si>
  <si>
    <t xml:space="preserve">Font</t>
  </si>
  <si>
    <t xml:space="preserve">Front Logo
(Optional)</t>
  </si>
  <si>
    <t xml:space="preserve">Left Chest Logo
(Optional)</t>
  </si>
  <si>
    <t xml:space="preserve">Right Chest Logo
(Optional)</t>
  </si>
  <si>
    <t xml:space="preserve">Left Sleeve Logo
(Optional)</t>
  </si>
  <si>
    <t xml:space="preserve">Right Sleeve Logo
(Optional)</t>
  </si>
  <si>
    <t xml:space="preserve">Number
(Optional)</t>
  </si>
  <si>
    <t xml:space="preserve">Special Instructions
(Optional  -  Additional Costs May Apply)</t>
  </si>
  <si>
    <t xml:space="preserve">Retail Jersey Price</t>
  </si>
  <si>
    <t xml:space="preserve">Per Jersey Discount</t>
  </si>
  <si>
    <t xml:space="preserve">Final Jersey Price</t>
  </si>
  <si>
    <t xml:space="preserve">Units</t>
  </si>
  <si>
    <t xml:space="preserve">Extended Price</t>
  </si>
  <si>
    <t xml:space="preserve">Men's</t>
  </si>
  <si>
    <t xml:space="preserve">Large</t>
  </si>
  <si>
    <t xml:space="preserve">+2 (+$3.00)</t>
  </si>
  <si>
    <t xml:space="preserve">Performance-Line</t>
  </si>
  <si>
    <t xml:space="preserve">Short</t>
  </si>
  <si>
    <t xml:space="preserve">1/4 Zip Sash (+$10.00)</t>
  </si>
  <si>
    <t xml:space="preserve">Firstname Lastname</t>
  </si>
  <si>
    <t xml:space="preserve">Diagonal</t>
  </si>
  <si>
    <t xml:space="preserve">2-Lines</t>
  </si>
  <si>
    <t xml:space="preserve">Freestyle</t>
  </si>
  <si>
    <t xml:space="preserve">Base Jersey Price</t>
  </si>
  <si>
    <t xml:space="preserve">Add Ons</t>
  </si>
  <si>
    <t xml:space="preserve">Discounts</t>
  </si>
  <si>
    <t xml:space="preserve">#</t>
  </si>
  <si>
    <t xml:space="preserve">Name</t>
  </si>
  <si>
    <t xml:space="preserve">Base Price</t>
  </si>
  <si>
    <t xml:space="preserve">Discounted Price</t>
  </si>
  <si>
    <t xml:space="preserve">Size</t>
  </si>
  <si>
    <t xml:space="preserve">Length</t>
  </si>
  <si>
    <t xml:space="preserve">Sleeve</t>
  </si>
  <si>
    <t xml:space="preserve">Collar</t>
  </si>
  <si>
    <t xml:space="preserve">Name on Back</t>
  </si>
  <si>
    <t xml:space="preserve">Front Logo</t>
  </si>
  <si>
    <t xml:space="preserve">Left Chest</t>
  </si>
  <si>
    <t xml:space="preserve">Right Chest</t>
  </si>
  <si>
    <t xml:space="preserve">Left Sleeve</t>
  </si>
  <si>
    <t xml:space="preserve">Right Sleeve</t>
  </si>
  <si>
    <t xml:space="preserve">Total Add Ons</t>
  </si>
  <si>
    <t xml:space="preserve">Volume Discount</t>
  </si>
  <si>
    <t xml:space="preserve">FREE Collar</t>
  </si>
  <si>
    <t xml:space="preserve">FREE Name</t>
  </si>
  <si>
    <t xml:space="preserve">FREE Logo</t>
  </si>
  <si>
    <t xml:space="preserve">Total Discount</t>
  </si>
  <si>
    <t xml:space="preserve">Retail Price</t>
  </si>
  <si>
    <t xml:space="preserve">Actual Price</t>
  </si>
  <si>
    <t xml:space="preserve">Pct Savings</t>
  </si>
  <si>
    <t xml:space="preserve">Quantity</t>
  </si>
  <si>
    <t xml:space="preserve">Retail</t>
  </si>
  <si>
    <t xml:space="preserve">Discount</t>
  </si>
  <si>
    <t xml:space="preserve">Total</t>
  </si>
  <si>
    <t xml:space="preserve">X</t>
  </si>
  <si>
    <t xml:space="preserve">Style</t>
  </si>
  <si>
    <t xml:space="preserve">Size2</t>
  </si>
  <si>
    <t xml:space="preserve">SKU</t>
  </si>
  <si>
    <t xml:space="preserve">Front Logo3</t>
  </si>
  <si>
    <t xml:space="preserve">Left Chest4</t>
  </si>
  <si>
    <t xml:space="preserve">Right Chest5</t>
  </si>
  <si>
    <t xml:space="preserve">Left Sleeve6</t>
  </si>
  <si>
    <t xml:space="preserve">Right Sleeve7</t>
  </si>
  <si>
    <t xml:space="preserve">Logo</t>
  </si>
  <si>
    <t xml:space="preserve">Name8</t>
  </si>
  <si>
    <t xml:space="preserve">Full SKU</t>
  </si>
  <si>
    <t xml:space="preserve">Actual Price9</t>
  </si>
  <si>
    <t xml:space="preserve">BASE PRICE</t>
  </si>
  <si>
    <t xml:space="preserve">CUT</t>
  </si>
  <si>
    <t xml:space="preserve">COLLECTION</t>
  </si>
  <si>
    <t xml:space="preserve">SLEEVE</t>
  </si>
  <si>
    <t xml:space="preserve">STYLE</t>
  </si>
  <si>
    <t xml:space="preserve">SIZE</t>
  </si>
  <si>
    <t xml:space="preserve">FRONT LOGO</t>
  </si>
  <si>
    <t xml:space="preserve">CHEST LOGO</t>
  </si>
  <si>
    <t xml:space="preserve">LEFT SLEEVE LOGO</t>
  </si>
  <si>
    <t xml:space="preserve">RIGHT SLEEVE LOGO</t>
  </si>
  <si>
    <t xml:space="preserve">NAME</t>
  </si>
  <si>
    <t xml:space="preserve">PRODUCTION PRIORITY</t>
  </si>
  <si>
    <t xml:space="preserve">SUMMARY</t>
  </si>
  <si>
    <t xml:space="preserve">IN HAND DATE</t>
  </si>
  <si>
    <t xml:space="preserve">DISCOUNT PROGRAMS</t>
  </si>
  <si>
    <t xml:space="preserve">Cost</t>
  </si>
  <si>
    <t xml:space="preserve">Display</t>
  </si>
  <si>
    <t xml:space="preserve">Code</t>
  </si>
  <si>
    <t xml:space="preserve">Price</t>
  </si>
  <si>
    <t xml:space="preserve">Cut</t>
  </si>
  <si>
    <t xml:space="preserve">Line</t>
  </si>
  <si>
    <t xml:space="preserve">Mens</t>
  </si>
  <si>
    <t xml:space="preserve">Womens</t>
  </si>
  <si>
    <t xml:space="preserve">Youth</t>
  </si>
  <si>
    <t xml:space="preserve">Toddler</t>
  </si>
  <si>
    <t xml:space="preserve">Order</t>
  </si>
  <si>
    <t xml:space="preserve">Performance</t>
  </si>
  <si>
    <t xml:space="preserve">Tour</t>
  </si>
  <si>
    <t xml:space="preserve">C&amp;S</t>
  </si>
  <si>
    <t xml:space="preserve">PerformanceShort</t>
  </si>
  <si>
    <t xml:space="preserve">PerformanceSleeveless</t>
  </si>
  <si>
    <t xml:space="preserve">PerformanceLong</t>
  </si>
  <si>
    <t xml:space="preserve">TourShort</t>
  </si>
  <si>
    <t xml:space="preserve">TourLong</t>
  </si>
  <si>
    <t xml:space="preserve">Women's</t>
  </si>
  <si>
    <t xml:space="preserve">Logos</t>
  </si>
  <si>
    <t xml:space="preserve">Pct</t>
  </si>
  <si>
    <t xml:space="preserve">Flat</t>
  </si>
  <si>
    <t xml:space="preserve">Use</t>
  </si>
  <si>
    <t xml:space="preserve">Name Direction</t>
  </si>
  <si>
    <t xml:space="preserve">Production</t>
  </si>
  <si>
    <t xml:space="preserve">Upgrade</t>
  </si>
  <si>
    <t xml:space="preserve">Minimum</t>
  </si>
  <si>
    <t xml:space="preserve">Actual</t>
  </si>
  <si>
    <t xml:space="preserve">Fee</t>
  </si>
  <si>
    <t xml:space="preserve">Priority Production</t>
  </si>
  <si>
    <t xml:space="preserve">Yes</t>
  </si>
  <si>
    <t xml:space="preserve">Days</t>
  </si>
  <si>
    <t xml:space="preserve">Reorder</t>
  </si>
  <si>
    <t xml:space="preserve">Weekday</t>
  </si>
  <si>
    <t xml:space="preserve">Ship Days</t>
  </si>
  <si>
    <t xml:space="preserve">Shipping Service</t>
  </si>
  <si>
    <t xml:space="preserve">Holiday</t>
  </si>
  <si>
    <t xml:space="preserve">Details</t>
  </si>
  <si>
    <t xml:space="preserve">Order Date</t>
  </si>
  <si>
    <t xml:space="preserve">Approval Date</t>
  </si>
  <si>
    <t xml:space="preserve">Est Order Date</t>
  </si>
  <si>
    <t xml:space="preserve">In Transit</t>
  </si>
  <si>
    <t xml:space="preserve">Est Ship Date</t>
  </si>
  <si>
    <t xml:space="preserve">Delivery Date</t>
  </si>
  <si>
    <t xml:space="preserve">Description</t>
  </si>
  <si>
    <t xml:space="preserve">Customer Groups</t>
  </si>
  <si>
    <t xml:space="preserve">Base Price Discount</t>
  </si>
  <si>
    <t xml:space="preserve">Bulk Entry Discount</t>
  </si>
  <si>
    <t xml:space="preserve">Set Price</t>
  </si>
  <si>
    <t xml:space="preserve">M</t>
  </si>
  <si>
    <t xml:space="preserve">MensCut</t>
  </si>
  <si>
    <t xml:space="preserve">A</t>
  </si>
  <si>
    <t xml:space="preserve">S</t>
  </si>
  <si>
    <t xml:space="preserve">1/4 Zip Sash</t>
  </si>
  <si>
    <t xml:space="preserve">ABS</t>
  </si>
  <si>
    <t xml:space="preserve">X-Small</t>
  </si>
  <si>
    <t xml:space="preserve">R</t>
  </si>
  <si>
    <t xml:space="preserve">+2</t>
  </si>
  <si>
    <t xml:space="preserve">Custom</t>
  </si>
  <si>
    <t xml:space="preserve">Creating The Difference</t>
  </si>
  <si>
    <t xml:space="preserve">CTD</t>
  </si>
  <si>
    <t xml:space="preserve">PBA</t>
  </si>
  <si>
    <t xml:space="preserve">1-Line</t>
  </si>
  <si>
    <t xml:space="preserve">Bruss</t>
  </si>
  <si>
    <t xml:space="preserve">Style 3</t>
  </si>
  <si>
    <t xml:space="preserve">Express (approx 2 weeks) +25%</t>
  </si>
  <si>
    <t xml:space="preserve">Saturday</t>
  </si>
  <si>
    <t xml:space="preserve">Overnight</t>
  </si>
  <si>
    <t xml:space="preserve">It does not appear that we are able to meet your In Hand Date</t>
  </si>
  <si>
    <t xml:space="preserve">Bronze</t>
  </si>
  <si>
    <t xml:space="preserve">W</t>
  </si>
  <si>
    <t xml:space="preserve">WomensCut</t>
  </si>
  <si>
    <t xml:space="preserve">Tour-Line</t>
  </si>
  <si>
    <t xml:space="preserve">G</t>
  </si>
  <si>
    <t xml:space="preserve">Sleeveless</t>
  </si>
  <si>
    <t xml:space="preserve">N</t>
  </si>
  <si>
    <t xml:space="preserve">Polo</t>
  </si>
  <si>
    <t xml:space="preserve">A3S</t>
  </si>
  <si>
    <t xml:space="preserve">Small</t>
  </si>
  <si>
    <t xml:space="preserve">+4</t>
  </si>
  <si>
    <t xml:space="preserve">Custom On File</t>
  </si>
  <si>
    <t xml:space="preserve">Genesis</t>
  </si>
  <si>
    <t xml:space="preserve">PBA50</t>
  </si>
  <si>
    <t xml:space="preserve">Straight</t>
  </si>
  <si>
    <t xml:space="preserve">Cena</t>
  </si>
  <si>
    <t xml:space="preserve">Style 1</t>
  </si>
  <si>
    <t xml:space="preserve">Express (approx 2 weeks)</t>
  </si>
  <si>
    <t xml:space="preserve">Priority (approx 1 week) +35%</t>
  </si>
  <si>
    <t xml:space="preserve">Sunday</t>
  </si>
  <si>
    <t xml:space="preserve">Two Day</t>
  </si>
  <si>
    <t xml:space="preserve">Thanksgiving</t>
  </si>
  <si>
    <t xml:space="preserve">PRIORITY</t>
  </si>
  <si>
    <t xml:space="preserve">Choice</t>
  </si>
  <si>
    <t xml:space="preserve">Y</t>
  </si>
  <si>
    <t xml:space="preserve">YouthCut</t>
  </si>
  <si>
    <t xml:space="preserve">Long</t>
  </si>
  <si>
    <t xml:space="preserve">L</t>
  </si>
  <si>
    <t xml:space="preserve">V-Neck</t>
  </si>
  <si>
    <t xml:space="preserve">ATSV</t>
  </si>
  <si>
    <t xml:space="preserve">Medium</t>
  </si>
  <si>
    <t xml:space="preserve">+6</t>
  </si>
  <si>
    <t xml:space="preserve">900 Global</t>
  </si>
  <si>
    <t xml:space="preserve">900G</t>
  </si>
  <si>
    <t xml:space="preserve">Master</t>
  </si>
  <si>
    <t xml:space="preserve">PBA Jr</t>
  </si>
  <si>
    <t xml:space="preserve">PBAJR</t>
  </si>
  <si>
    <t xml:space="preserve">Collegiate</t>
  </si>
  <si>
    <t xml:space="preserve">Style 6</t>
  </si>
  <si>
    <t xml:space="preserve">Priority (approx 1 week)</t>
  </si>
  <si>
    <t xml:space="preserve">Monday</t>
  </si>
  <si>
    <t xml:space="preserve">3-Day Select</t>
  </si>
  <si>
    <t xml:space="preserve">Christmas</t>
  </si>
  <si>
    <t xml:space="preserve">Copper</t>
  </si>
  <si>
    <t xml:space="preserve">T</t>
  </si>
  <si>
    <t xml:space="preserve">ToddlerCut</t>
  </si>
  <si>
    <t xml:space="preserve">Crew</t>
  </si>
  <si>
    <t xml:space="preserve">ATS</t>
  </si>
  <si>
    <t xml:space="preserve">Brunswick</t>
  </si>
  <si>
    <t xml:space="preserve">Mongoose</t>
  </si>
  <si>
    <t xml:space="preserve">PWBA</t>
  </si>
  <si>
    <t xml:space="preserve">Style 4</t>
  </si>
  <si>
    <t xml:space="preserve">Tuesday</t>
  </si>
  <si>
    <t xml:space="preserve">Ground</t>
  </si>
  <si>
    <t xml:space="preserve">New Years Day</t>
  </si>
  <si>
    <t xml:space="preserve">Elite</t>
  </si>
  <si>
    <t xml:space="preserve">1/4 Zip Blade</t>
  </si>
  <si>
    <t xml:space="preserve">AZSB</t>
  </si>
  <si>
    <t xml:space="preserve">X-Large</t>
  </si>
  <si>
    <t xml:space="preserve">Columbia</t>
  </si>
  <si>
    <t xml:space="preserve">Powerhouse</t>
  </si>
  <si>
    <t xml:space="preserve">9-Tap</t>
  </si>
  <si>
    <t xml:space="preserve">9TAP</t>
  </si>
  <si>
    <t xml:space="preserve">Obelix</t>
  </si>
  <si>
    <t xml:space="preserve">Style 5</t>
  </si>
  <si>
    <t xml:space="preserve">Wednesday</t>
  </si>
  <si>
    <t xml:space="preserve">Memorial Day</t>
  </si>
  <si>
    <t xml:space="preserve">4th Monday</t>
  </si>
  <si>
    <t xml:space="preserve">EXPRESS</t>
  </si>
  <si>
    <t xml:space="preserve">FREEFREEFREE</t>
  </si>
  <si>
    <t xml:space="preserve">3 Button Blade</t>
  </si>
  <si>
    <t xml:space="preserve">A3SB</t>
  </si>
  <si>
    <t xml:space="preserve">2X-Large</t>
  </si>
  <si>
    <t xml:space="preserve">DV8</t>
  </si>
  <si>
    <t xml:space="preserve">Real Bowlers Tape</t>
  </si>
  <si>
    <t xml:space="preserve">Bowl4Life</t>
  </si>
  <si>
    <t xml:space="preserve">B4L</t>
  </si>
  <si>
    <t xml:space="preserve">Passing Notes</t>
  </si>
  <si>
    <t xml:space="preserve">Style 2</t>
  </si>
  <si>
    <t xml:space="preserve">Thursday</t>
  </si>
  <si>
    <t xml:space="preserve">Independence Day</t>
  </si>
  <si>
    <t xml:space="preserve">Gold</t>
  </si>
  <si>
    <t xml:space="preserve">1/4 Zip Polo</t>
  </si>
  <si>
    <t xml:space="preserve">AZS</t>
  </si>
  <si>
    <t xml:space="preserve">3X-Large</t>
  </si>
  <si>
    <t xml:space="preserve">Ebonite</t>
  </si>
  <si>
    <t xml:space="preserve">Robbie's</t>
  </si>
  <si>
    <t xml:space="preserve">Robbies</t>
  </si>
  <si>
    <t xml:space="preserve">Friday</t>
  </si>
  <si>
    <t xml:space="preserve">Labor Day</t>
  </si>
  <si>
    <t xml:space="preserve">1st Monday</t>
  </si>
  <si>
    <t xml:space="preserve">HS-College</t>
  </si>
  <si>
    <t xml:space="preserve">Mock Turtleneck</t>
  </si>
  <si>
    <t xml:space="preserve">AMS</t>
  </si>
  <si>
    <t xml:space="preserve">4X-Large</t>
  </si>
  <si>
    <t xml:space="preserve">Hammer</t>
  </si>
  <si>
    <t xml:space="preserve">Turbo</t>
  </si>
  <si>
    <t xml:space="preserve">4th Thursday</t>
  </si>
  <si>
    <t xml:space="preserve">STANDARD</t>
  </si>
  <si>
    <t xml:space="preserve">Nationals</t>
  </si>
  <si>
    <t xml:space="preserve">BowlRetro</t>
  </si>
  <si>
    <t xml:space="preserve">SIS</t>
  </si>
  <si>
    <t xml:space="preserve">5X-Large</t>
  </si>
  <si>
    <t xml:space="preserve">Lane Masters</t>
  </si>
  <si>
    <t xml:space="preserve">LaneMasters</t>
  </si>
  <si>
    <t xml:space="preserve">Ultimate</t>
  </si>
  <si>
    <t xml:space="preserve">Platinum</t>
  </si>
  <si>
    <t xml:space="preserve">Lightweight Hoodie</t>
  </si>
  <si>
    <t xml:space="preserve">APSH</t>
  </si>
  <si>
    <t xml:space="preserve">6X-Large</t>
  </si>
  <si>
    <t xml:space="preserve">Legends</t>
  </si>
  <si>
    <t xml:space="preserve">VISE</t>
  </si>
  <si>
    <t xml:space="preserve">Premier</t>
  </si>
  <si>
    <t xml:space="preserve">ABL</t>
  </si>
  <si>
    <t xml:space="preserve">7X-Large</t>
  </si>
  <si>
    <t xml:space="preserve">Lord Field</t>
  </si>
  <si>
    <t xml:space="preserve">LordField</t>
  </si>
  <si>
    <t xml:space="preserve">US Flag</t>
  </si>
  <si>
    <t xml:space="preserve">USAFlag</t>
  </si>
  <si>
    <t xml:space="preserve">Silver</t>
  </si>
  <si>
    <t xml:space="preserve">A3L</t>
  </si>
  <si>
    <t xml:space="preserve">Canada Flag</t>
  </si>
  <si>
    <t xml:space="preserve">CanadaFlag</t>
  </si>
  <si>
    <t xml:space="preserve">Special30</t>
  </si>
  <si>
    <t xml:space="preserve">ATL</t>
  </si>
  <si>
    <t xml:space="preserve">Motiv</t>
  </si>
  <si>
    <t xml:space="preserve">Mexico Flag</t>
  </si>
  <si>
    <t xml:space="preserve">MexicoFlag</t>
  </si>
  <si>
    <t xml:space="preserve">USBC-Collegiate</t>
  </si>
  <si>
    <t xml:space="preserve">ATLV</t>
  </si>
  <si>
    <t xml:space="preserve">VIP</t>
  </si>
  <si>
    <t xml:space="preserve">AZL</t>
  </si>
  <si>
    <t xml:space="preserve">Radical</t>
  </si>
  <si>
    <t xml:space="preserve">VIP30</t>
  </si>
  <si>
    <t xml:space="preserve">1/4 Zip Pullover</t>
  </si>
  <si>
    <t xml:space="preserve">APL</t>
  </si>
  <si>
    <t xml:space="preserve">Robby's </t>
  </si>
  <si>
    <t xml:space="preserve">Robbys</t>
  </si>
  <si>
    <t xml:space="preserve">VIP40</t>
  </si>
  <si>
    <t xml:space="preserve">APLH</t>
  </si>
  <si>
    <t xml:space="preserve">Roto-Grip</t>
  </si>
  <si>
    <t xml:space="preserve">Roto</t>
  </si>
  <si>
    <t xml:space="preserve">VIP50</t>
  </si>
  <si>
    <t xml:space="preserve">Lightweight 1/4 Zip Hoodie</t>
  </si>
  <si>
    <t xml:space="preserve">APLH4</t>
  </si>
  <si>
    <t xml:space="preserve">Storm</t>
  </si>
  <si>
    <t xml:space="preserve">ABN</t>
  </si>
  <si>
    <t xml:space="preserve">SWAG</t>
  </si>
  <si>
    <t xml:space="preserve">A3N</t>
  </si>
  <si>
    <t xml:space="preserve">Track</t>
  </si>
  <si>
    <t xml:space="preserve">AVN</t>
  </si>
  <si>
    <t xml:space="preserve">ATN</t>
  </si>
  <si>
    <t xml:space="preserve">APNH</t>
  </si>
  <si>
    <t xml:space="preserve">GBS</t>
  </si>
  <si>
    <t xml:space="preserve">G3S</t>
  </si>
  <si>
    <t xml:space="preserve">GVS</t>
  </si>
  <si>
    <t xml:space="preserve">GTS</t>
  </si>
  <si>
    <t xml:space="preserve">GZSB</t>
  </si>
  <si>
    <t xml:space="preserve">2T</t>
  </si>
  <si>
    <t xml:space="preserve">G3SB</t>
  </si>
  <si>
    <t xml:space="preserve">3T</t>
  </si>
  <si>
    <t xml:space="preserve">GZS</t>
  </si>
  <si>
    <t xml:space="preserve">4T</t>
  </si>
  <si>
    <t xml:space="preserve">GMS</t>
  </si>
  <si>
    <t xml:space="preserve">5T</t>
  </si>
  <si>
    <t xml:space="preserve">GBL</t>
  </si>
  <si>
    <t xml:space="preserve">G3L</t>
  </si>
  <si>
    <t xml:space="preserve">GVL</t>
  </si>
  <si>
    <t xml:space="preserve">GTL</t>
  </si>
  <si>
    <t xml:space="preserve">GZL</t>
  </si>
</sst>
</file>

<file path=xl/styles.xml><?xml version="1.0" encoding="utf-8"?>
<styleSheet xmlns="http://schemas.openxmlformats.org/spreadsheetml/2006/main">
  <numFmts count="8">
    <numFmt numFmtId="164" formatCode="General"/>
    <numFmt numFmtId="165" formatCode="\$#,##0.00"/>
    <numFmt numFmtId="166" formatCode="0"/>
    <numFmt numFmtId="167" formatCode="General"/>
    <numFmt numFmtId="168" formatCode="0%"/>
    <numFmt numFmtId="169" formatCode="_(* #,##0.00_);_(* \(#,##0.00\);_(* \-??_);_(@_)"/>
    <numFmt numFmtId="170" formatCode="m/d/yyyy"/>
    <numFmt numFmtId="171" formatCode="@"/>
  </numFmts>
  <fonts count="24">
    <font>
      <sz val="11"/>
      <name val="Calibri"/>
      <family val="0"/>
      <charset val="1"/>
    </font>
    <font>
      <sz val="10"/>
      <name val="Arial"/>
      <family val="0"/>
    </font>
    <font>
      <sz val="10"/>
      <name val="Arial"/>
      <family val="0"/>
    </font>
    <font>
      <sz val="10"/>
      <name val="Arial"/>
      <family val="0"/>
    </font>
    <font>
      <sz val="11"/>
      <color theme="1"/>
      <name val="Helvetica Neue"/>
      <family val="2"/>
      <charset val="1"/>
    </font>
    <font>
      <b val="true"/>
      <sz val="11"/>
      <name val="Calibri"/>
      <family val="2"/>
      <charset val="1"/>
    </font>
    <font>
      <b val="true"/>
      <sz val="11"/>
      <color theme="1" tint="0.3499"/>
      <name val="Calibri"/>
      <family val="2"/>
      <charset val="1"/>
    </font>
    <font>
      <sz val="11"/>
      <name val="Calibri"/>
      <family val="2"/>
      <charset val="1"/>
    </font>
    <font>
      <b val="true"/>
      <sz val="11"/>
      <color theme="9" tint="-0.5"/>
      <name val="Calibri"/>
      <family val="2"/>
      <charset val="1"/>
    </font>
    <font>
      <sz val="16"/>
      <name val="Calibri"/>
      <family val="2"/>
      <charset val="1"/>
    </font>
    <font>
      <b val="true"/>
      <sz val="16"/>
      <name val="Calibri"/>
      <family val="2"/>
      <charset val="1"/>
    </font>
    <font>
      <b val="true"/>
      <sz val="12"/>
      <color theme="0"/>
      <name val="Calibri"/>
      <family val="2"/>
      <charset val="1"/>
    </font>
    <font>
      <b val="true"/>
      <sz val="18"/>
      <color theme="0"/>
      <name val="Calibri"/>
      <family val="2"/>
      <charset val="1"/>
    </font>
    <font>
      <b val="true"/>
      <sz val="24"/>
      <color rgb="FFC00000"/>
      <name val="Calibri"/>
      <family val="2"/>
      <charset val="1"/>
    </font>
    <font>
      <b val="true"/>
      <sz val="14"/>
      <name val="Calibri"/>
      <family val="2"/>
      <charset val="1"/>
    </font>
    <font>
      <sz val="11"/>
      <color theme="0"/>
      <name val="Calibri"/>
      <family val="2"/>
      <charset val="1"/>
    </font>
    <font>
      <b val="true"/>
      <sz val="14"/>
      <color rgb="FFC00000"/>
      <name val="Calibri"/>
      <family val="2"/>
      <charset val="1"/>
    </font>
    <font>
      <b val="true"/>
      <sz val="14"/>
      <color rgb="FFFF0000"/>
      <name val="Calibri"/>
      <family val="2"/>
      <charset val="1"/>
    </font>
    <font>
      <b val="true"/>
      <sz val="18"/>
      <name val="Calibri"/>
      <family val="2"/>
      <charset val="1"/>
    </font>
    <font>
      <b val="true"/>
      <sz val="16"/>
      <color rgb="FFC00000"/>
      <name val="Calibri"/>
      <family val="2"/>
      <charset val="1"/>
    </font>
    <font>
      <sz val="11"/>
      <color theme="1" tint="0.3499"/>
      <name val="Calibri"/>
      <family val="2"/>
      <charset val="1"/>
    </font>
    <font>
      <b val="true"/>
      <sz val="11"/>
      <color theme="0"/>
      <name val="Calibri"/>
      <family val="2"/>
      <charset val="1"/>
    </font>
    <font>
      <sz val="11"/>
      <color theme="1"/>
      <name val="Calibri"/>
      <family val="2"/>
      <charset val="1"/>
    </font>
    <font>
      <sz val="11"/>
      <color rgb="FF000000"/>
      <name val="Calibri"/>
      <family val="2"/>
      <charset val="1"/>
    </font>
  </fonts>
  <fills count="18">
    <fill>
      <patternFill patternType="none"/>
    </fill>
    <fill>
      <patternFill patternType="gray125"/>
    </fill>
    <fill>
      <patternFill patternType="solid">
        <fgColor theme="1" tint="0.3499"/>
        <bgColor rgb="FF385623"/>
      </patternFill>
    </fill>
    <fill>
      <patternFill patternType="solid">
        <fgColor theme="9" tint="0.7999"/>
        <bgColor rgb="FFEDEDED"/>
      </patternFill>
    </fill>
    <fill>
      <patternFill patternType="solid">
        <fgColor theme="7" tint="0.7999"/>
        <bgColor rgb="FFFBE5D6"/>
      </patternFill>
    </fill>
    <fill>
      <patternFill patternType="solid">
        <fgColor theme="5" tint="0.7999"/>
        <bgColor rgb="FFFFF2CC"/>
      </patternFill>
    </fill>
    <fill>
      <patternFill patternType="solid">
        <fgColor theme="4" tint="0.7999"/>
        <bgColor rgb="FFDDDDDD"/>
      </patternFill>
    </fill>
    <fill>
      <patternFill patternType="solid">
        <fgColor theme="4" tint="0.3999"/>
        <bgColor rgb="FF969696"/>
      </patternFill>
    </fill>
    <fill>
      <patternFill patternType="solid">
        <fgColor rgb="FFFFFF00"/>
        <bgColor rgb="FFFFFF00"/>
      </patternFill>
    </fill>
    <fill>
      <patternFill patternType="solid">
        <fgColor theme="3" tint="0.7999"/>
        <bgColor rgb="FFE2F0D9"/>
      </patternFill>
    </fill>
    <fill>
      <patternFill patternType="solid">
        <fgColor theme="3" tint="0.3999"/>
        <bgColor rgb="FFD0D7E5"/>
      </patternFill>
    </fill>
    <fill>
      <patternFill patternType="solid">
        <fgColor rgb="FFC00000"/>
        <bgColor rgb="FFFF0000"/>
      </patternFill>
    </fill>
    <fill>
      <patternFill patternType="solid">
        <fgColor theme="2" tint="0.5999"/>
        <bgColor rgb="FFCACACA"/>
      </patternFill>
    </fill>
    <fill>
      <patternFill patternType="solid">
        <fgColor theme="2" tint="0.7999"/>
        <bgColor rgb="FFD9D9D9"/>
      </patternFill>
    </fill>
    <fill>
      <patternFill patternType="solid">
        <fgColor rgb="FF92D050"/>
        <bgColor rgb="FFBABABA"/>
      </patternFill>
    </fill>
    <fill>
      <patternFill patternType="solid">
        <fgColor rgb="FFFFFFFF"/>
        <bgColor rgb="FFEDEDED"/>
      </patternFill>
    </fill>
    <fill>
      <patternFill patternType="solid">
        <fgColor theme="4"/>
        <bgColor rgb="FF0066CC"/>
      </patternFill>
    </fill>
    <fill>
      <patternFill patternType="solid">
        <fgColor theme="0" tint="-0.15"/>
        <bgColor rgb="FFDDDDDD"/>
      </patternFill>
    </fill>
  </fills>
  <borders count="33">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thin"/>
      <right/>
      <top/>
      <bottom/>
      <diagonal/>
    </border>
    <border diagonalUp="false" diagonalDown="false">
      <left/>
      <right style="thin"/>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medium"/>
      <diagonal/>
    </border>
    <border diagonalUp="false" diagonalDown="false">
      <left/>
      <right/>
      <top style="thin"/>
      <bottom style="medium"/>
      <diagonal/>
    </border>
    <border diagonalUp="false" diagonalDown="false">
      <left/>
      <right style="thin"/>
      <top style="thin"/>
      <bottom style="medium"/>
      <diagonal/>
    </border>
    <border diagonalUp="false" diagonalDown="false">
      <left style="thin"/>
      <right/>
      <top style="thick"/>
      <bottom style="thin"/>
      <diagonal/>
    </border>
    <border diagonalUp="false" diagonalDown="false">
      <left/>
      <right/>
      <top style="thick"/>
      <bottom style="thin"/>
      <diagonal/>
    </border>
    <border diagonalUp="false" diagonalDown="false">
      <left/>
      <right style="thin"/>
      <top style="thick"/>
      <bottom style="thin"/>
      <diagonal/>
    </border>
    <border diagonalUp="false" diagonalDown="false">
      <left/>
      <right style="thin"/>
      <top style="thin"/>
      <bottom style="thin"/>
      <diagonal/>
    </border>
    <border diagonalUp="false" diagonalDown="false">
      <left style="thin"/>
      <right/>
      <top style="thin"/>
      <bottom style="double"/>
      <diagonal/>
    </border>
    <border diagonalUp="false" diagonalDown="false">
      <left/>
      <right/>
      <top style="thin"/>
      <bottom style="double"/>
      <diagonal/>
    </border>
    <border diagonalUp="false" diagonalDown="false">
      <left/>
      <right style="thin"/>
      <top style="thin"/>
      <bottom style="double"/>
      <diagonal/>
    </border>
    <border diagonalUp="false" diagonalDown="false">
      <left style="thin"/>
      <right style="thin"/>
      <top/>
      <bottom/>
      <diagonal/>
    </border>
    <border diagonalUp="false" diagonalDown="false">
      <left style="thin"/>
      <right style="thin"/>
      <top style="thin"/>
      <bottom/>
      <diagonal/>
    </border>
    <border diagonalUp="false" diagonalDown="false">
      <left style="medium"/>
      <right style="thick"/>
      <top style="medium"/>
      <bottom style="medium"/>
      <diagonal/>
    </border>
    <border diagonalUp="false" diagonalDown="false">
      <left style="thick"/>
      <right style="medium"/>
      <top style="medium"/>
      <bottom style="medium"/>
      <diagonal/>
    </border>
    <border diagonalUp="false" diagonalDown="false">
      <left style="thin"/>
      <right style="thin"/>
      <top/>
      <bottom style="thin"/>
      <diagonal/>
    </border>
    <border diagonalUp="false" diagonalDown="false">
      <left style="thin"/>
      <right style="thin"/>
      <top style="thin"/>
      <bottom style="medium"/>
      <diagonal/>
    </border>
    <border diagonalUp="false" diagonalDown="false">
      <left/>
      <right/>
      <top style="medium">
        <color theme="1"/>
      </top>
      <bottom style="medium">
        <color theme="1"/>
      </bottom>
      <diagonal/>
    </border>
    <border diagonalUp="false" diagonalDown="false">
      <left style="thin">
        <color theme="4"/>
      </left>
      <right/>
      <top style="thin">
        <color theme="4"/>
      </top>
      <bottom/>
      <diagonal/>
    </border>
    <border diagonalUp="false" diagonalDown="false">
      <left style="thin">
        <color rgb="FFD0D7E5"/>
      </left>
      <right style="thin">
        <color rgb="FFD0D7E5"/>
      </right>
      <top style="thin">
        <color rgb="FFD0D7E5"/>
      </top>
      <bottom style="thin">
        <color rgb="FFD0D7E5"/>
      </bottom>
      <diagonal/>
    </border>
    <border diagonalUp="false" diagonalDown="false">
      <left/>
      <right/>
      <top/>
      <bottom style="medium">
        <color theme="1"/>
      </bottom>
      <diagonal/>
    </border>
    <border diagonalUp="false" diagonalDown="false">
      <left style="thin">
        <color theme="4"/>
      </left>
      <right/>
      <top style="thin">
        <color theme="4"/>
      </top>
      <bottom style="thin">
        <color theme="4"/>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9"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8" fontId="0" fillId="0" borderId="0" applyFont="true" applyBorder="false" applyAlignment="true" applyProtection="false">
      <alignment horizontal="general" vertical="bottom" textRotation="0" wrapText="false" indent="0" shrinkToFit="false"/>
    </xf>
    <xf numFmtId="164" fontId="4" fillId="0" borderId="0" applyFont="true" applyBorder="true" applyAlignment="true" applyProtection="true">
      <alignment horizontal="general" vertical="bottom" textRotation="0" wrapText="false" indent="0" shrinkToFit="false"/>
      <protection locked="true" hidden="false"/>
    </xf>
  </cellStyleXfs>
  <cellXfs count="2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false" applyBorder="true" applyAlignment="true" applyProtection="true">
      <alignment horizontal="right" vertical="bottom" textRotation="0" wrapText="false" indent="0" shrinkToFit="false"/>
      <protection locked="true" hidden="false"/>
    </xf>
    <xf numFmtId="164" fontId="0" fillId="2" borderId="0" xfId="0" applyFont="false" applyBorder="true" applyAlignment="true" applyProtection="true">
      <alignment horizontal="general" vertical="bottom" textRotation="0" wrapText="false" indent="0" shrinkToFit="false"/>
      <protection locked="true" hidden="false"/>
    </xf>
    <xf numFmtId="164" fontId="0" fillId="2" borderId="0" xfId="0" applyFont="false" applyBorder="true" applyAlignment="true" applyProtection="true">
      <alignment horizontal="right" vertical="bottom"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3" borderId="1" xfId="0" applyFont="true" applyBorder="true" applyAlignment="true" applyProtection="true">
      <alignment horizontal="general" vertical="center" textRotation="0" wrapText="false" indent="0" shrinkToFit="false"/>
      <protection locked="true" hidden="false"/>
    </xf>
    <xf numFmtId="164" fontId="5" fillId="3" borderId="2" xfId="0" applyFont="true" applyBorder="true" applyAlignment="true" applyProtection="true">
      <alignment horizontal="general" vertical="center" textRotation="0" wrapText="false" indent="0" shrinkToFit="false"/>
      <protection locked="true" hidden="false"/>
    </xf>
    <xf numFmtId="164" fontId="5" fillId="4" borderId="3" xfId="0" applyFont="true" applyBorder="true" applyAlignment="true" applyProtection="true">
      <alignment horizontal="right" vertical="center" textRotation="0" wrapText="false" indent="0" shrinkToFit="false"/>
      <protection locked="true" hidden="false"/>
    </xf>
    <xf numFmtId="164" fontId="5" fillId="0" borderId="0"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true" indent="0" shrinkToFit="false"/>
      <protection locked="true" hidden="false"/>
    </xf>
    <xf numFmtId="165" fontId="5" fillId="4" borderId="3" xfId="0" applyFont="true" applyBorder="true" applyAlignment="true" applyProtection="true">
      <alignment horizontal="general" vertical="center" textRotation="0" wrapText="false" indent="0" shrinkToFit="false"/>
      <protection locked="true" hidden="false"/>
    </xf>
    <xf numFmtId="166" fontId="5" fillId="4" borderId="3" xfId="0" applyFont="true" applyBorder="true" applyAlignment="true" applyProtection="true">
      <alignment horizontal="general" vertical="center" textRotation="0" wrapText="false" indent="0" shrinkToFit="false"/>
      <protection locked="true" hidden="false"/>
    </xf>
    <xf numFmtId="167" fontId="5" fillId="3" borderId="3" xfId="0" applyFont="true" applyBorder="true" applyAlignment="true" applyProtection="true">
      <alignment horizontal="right" vertical="center" textRotation="0" wrapText="false" indent="0" shrinkToFit="false"/>
      <protection locked="true" hidden="false"/>
    </xf>
    <xf numFmtId="167" fontId="6" fillId="2" borderId="0" xfId="0" applyFont="true" applyBorder="true" applyAlignment="true" applyProtection="true">
      <alignment horizontal="general" vertical="center" textRotation="0" wrapText="false" indent="0" shrinkToFit="false"/>
      <protection locked="true" hidden="false"/>
    </xf>
    <xf numFmtId="164" fontId="0" fillId="2" borderId="0" xfId="0" applyFont="false" applyBorder="true" applyAlignment="true" applyProtection="true">
      <alignment horizontal="general" vertical="center" textRotation="0" wrapText="true" indent="0" shrinkToFit="false"/>
      <protection locked="true" hidden="false"/>
    </xf>
    <xf numFmtId="164" fontId="7" fillId="0" borderId="4" xfId="0" applyFont="true" applyBorder="true" applyAlignment="true" applyProtection="true">
      <alignment horizontal="general" vertical="center" textRotation="0" wrapText="fals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5" fontId="0" fillId="0" borderId="5" xfId="0" applyFont="false" applyBorder="true" applyAlignment="true" applyProtection="true">
      <alignment horizontal="right" vertical="center" textRotation="0" wrapText="true" indent="0" shrinkToFit="false"/>
      <protection locked="true" hidden="false"/>
    </xf>
    <xf numFmtId="164" fontId="0" fillId="2" borderId="0" xfId="0" applyFont="false" applyBorder="true" applyAlignment="true" applyProtection="true">
      <alignment horizontal="general" vertical="center" textRotation="0" wrapText="false" indent="0" shrinkToFit="false"/>
      <protection locked="true" hidden="false"/>
    </xf>
    <xf numFmtId="164" fontId="0" fillId="0" borderId="0" xfId="0" applyFont="false" applyBorder="true" applyAlignment="true" applyProtection="true">
      <alignment horizontal="general" vertical="center" textRotation="0" wrapText="false" indent="0" shrinkToFit="false"/>
      <protection locked="true" hidden="false"/>
    </xf>
    <xf numFmtId="164" fontId="5" fillId="5" borderId="6" xfId="0" applyFont="true" applyBorder="true" applyAlignment="true" applyProtection="true">
      <alignment horizontal="general" vertical="center" textRotation="0" wrapText="false" indent="0" shrinkToFit="false"/>
      <protection locked="true" hidden="false"/>
    </xf>
    <xf numFmtId="164" fontId="5" fillId="5" borderId="7" xfId="0" applyFont="true" applyBorder="true" applyAlignment="true" applyProtection="true">
      <alignment horizontal="general" vertical="center" textRotation="0" wrapText="false" indent="0" shrinkToFit="false"/>
      <protection locked="true" hidden="false"/>
    </xf>
    <xf numFmtId="166" fontId="7" fillId="5" borderId="8" xfId="0" applyFont="true" applyBorder="true" applyAlignment="true" applyProtection="true">
      <alignment horizontal="right" vertical="center" textRotation="0" wrapText="false" indent="0" shrinkToFit="false"/>
      <protection locked="true" hidden="false"/>
    </xf>
    <xf numFmtId="164" fontId="0" fillId="2" borderId="0" xfId="0" applyFont="false" applyBorder="true" applyAlignment="true" applyProtection="true">
      <alignment horizontal="general" vertical="top" textRotation="0" wrapText="true" indent="0" shrinkToFit="false"/>
      <protection locked="true" hidden="false"/>
    </xf>
    <xf numFmtId="167" fontId="5" fillId="5" borderId="4" xfId="0" applyFont="true" applyBorder="true" applyAlignment="true" applyProtection="true">
      <alignment horizontal="general" vertical="top" textRotation="0" wrapText="true" indent="0" shrinkToFit="false"/>
      <protection locked="true" hidden="false"/>
    </xf>
    <xf numFmtId="164" fontId="5" fillId="5" borderId="0" xfId="0" applyFont="true" applyBorder="true" applyAlignment="true" applyProtection="true">
      <alignment horizontal="general" vertical="top" textRotation="0" wrapText="true" indent="0" shrinkToFit="false"/>
      <protection locked="true" hidden="false"/>
    </xf>
    <xf numFmtId="165" fontId="7" fillId="5" borderId="5" xfId="0" applyFont="true" applyBorder="true" applyAlignment="true" applyProtection="true">
      <alignment horizontal="right" vertical="top" textRotation="0" wrapText="false" indent="0" shrinkToFit="false"/>
      <protection locked="true" hidden="false"/>
    </xf>
    <xf numFmtId="164" fontId="0" fillId="2" borderId="0" xfId="0" applyFont="false" applyBorder="true" applyAlignment="true" applyProtection="true">
      <alignment horizontal="general" vertical="top" textRotation="0" wrapText="false" indent="0" shrinkToFit="false"/>
      <protection locked="true" hidden="false"/>
    </xf>
    <xf numFmtId="164" fontId="0" fillId="0" borderId="0" xfId="0" applyFont="false" applyBorder="true" applyAlignment="true" applyProtection="true">
      <alignment horizontal="general" vertical="top" textRotation="0" wrapText="false" indent="0" shrinkToFit="false"/>
      <protection locked="true" hidden="false"/>
    </xf>
    <xf numFmtId="164" fontId="5" fillId="5" borderId="4" xfId="0" applyFont="true" applyBorder="true" applyAlignment="true" applyProtection="true">
      <alignment horizontal="general" vertical="center" textRotation="0" wrapText="false" indent="0" shrinkToFit="false"/>
      <protection locked="true" hidden="false"/>
    </xf>
    <xf numFmtId="164" fontId="5" fillId="5" borderId="0" xfId="0" applyFont="true" applyBorder="true" applyAlignment="true" applyProtection="true">
      <alignment horizontal="general" vertical="center" textRotation="0" wrapText="false" indent="0" shrinkToFit="false"/>
      <protection locked="true" hidden="false"/>
    </xf>
    <xf numFmtId="165" fontId="7" fillId="5" borderId="5" xfId="0" applyFont="true" applyBorder="true" applyAlignment="true" applyProtection="true">
      <alignment horizontal="right" vertical="center" textRotation="0" wrapText="false" indent="0" shrinkToFit="false"/>
      <protection locked="true" hidden="false"/>
    </xf>
    <xf numFmtId="166" fontId="7" fillId="5" borderId="5" xfId="0" applyFont="true" applyBorder="true" applyAlignment="true" applyProtection="true">
      <alignment horizontal="right" vertical="center" textRotation="0" wrapText="false" indent="0" shrinkToFit="false"/>
      <protection locked="true" hidden="false"/>
    </xf>
    <xf numFmtId="164" fontId="5" fillId="5" borderId="9" xfId="0" applyFont="true" applyBorder="true" applyAlignment="true" applyProtection="true">
      <alignment horizontal="general" vertical="center" textRotation="0" wrapText="false" indent="0" shrinkToFit="false"/>
      <protection locked="true" hidden="false"/>
    </xf>
    <xf numFmtId="164" fontId="5" fillId="5" borderId="10" xfId="0" applyFont="true" applyBorder="true" applyAlignment="true" applyProtection="true">
      <alignment horizontal="general" vertical="center" textRotation="0" wrapText="false" indent="0" shrinkToFit="false"/>
      <protection locked="true" hidden="false"/>
    </xf>
    <xf numFmtId="168" fontId="7" fillId="5" borderId="11" xfId="19" applyFont="true" applyBorder="true" applyAlignment="true" applyProtection="true">
      <alignment horizontal="right" vertical="center" textRotation="0" wrapText="false" indent="0" shrinkToFit="false"/>
      <protection locked="true" hidden="false"/>
    </xf>
    <xf numFmtId="164" fontId="0" fillId="0" borderId="4" xfId="0" applyFont="false" applyBorder="true" applyAlignment="true" applyProtection="true">
      <alignment horizontal="general" vertical="center" textRotation="0" wrapText="true" indent="0" shrinkToFit="false"/>
      <protection locked="true" hidden="false"/>
    </xf>
    <xf numFmtId="164" fontId="0" fillId="0" borderId="0" xfId="0" applyFont="false" applyBorder="true" applyAlignment="true" applyProtection="true">
      <alignment horizontal="general" vertical="center" textRotation="0" wrapText="true" indent="0" shrinkToFit="false"/>
      <protection locked="true" hidden="false"/>
    </xf>
    <xf numFmtId="165" fontId="7" fillId="0" borderId="5" xfId="0" applyFont="true" applyBorder="true" applyAlignment="true" applyProtection="true">
      <alignment horizontal="right" vertical="center" textRotation="0" wrapText="false" indent="0" shrinkToFit="false"/>
      <protection locked="true" hidden="false"/>
    </xf>
    <xf numFmtId="164" fontId="5" fillId="6" borderId="12" xfId="0" applyFont="true" applyBorder="true" applyAlignment="true" applyProtection="true">
      <alignment horizontal="general" vertical="center" textRotation="0" wrapText="false" indent="0" shrinkToFit="false"/>
      <protection locked="true" hidden="false"/>
    </xf>
    <xf numFmtId="164" fontId="7" fillId="6" borderId="13" xfId="0" applyFont="true" applyBorder="true" applyAlignment="true" applyProtection="true">
      <alignment horizontal="general" vertical="center" textRotation="0" wrapText="false" indent="0" shrinkToFit="false"/>
      <protection locked="true" hidden="false"/>
    </xf>
    <xf numFmtId="165" fontId="5" fillId="7" borderId="14" xfId="0" applyFont="true" applyBorder="true" applyAlignment="true" applyProtection="true">
      <alignment horizontal="right" vertical="center" textRotation="0" wrapText="false" indent="0" shrinkToFit="false"/>
      <protection locked="true" hidden="false"/>
    </xf>
    <xf numFmtId="164" fontId="5" fillId="6" borderId="4" xfId="0" applyFont="true" applyBorder="true" applyAlignment="true" applyProtection="true">
      <alignment horizontal="general" vertical="center" textRotation="0" wrapText="false" indent="0" shrinkToFit="false"/>
      <protection locked="true" hidden="false"/>
    </xf>
    <xf numFmtId="164" fontId="7" fillId="6" borderId="0" xfId="0" applyFont="true" applyBorder="true" applyAlignment="true" applyProtection="true">
      <alignment horizontal="general" vertical="center" textRotation="0" wrapText="false" indent="0" shrinkToFit="false"/>
      <protection locked="true" hidden="false"/>
    </xf>
    <xf numFmtId="165" fontId="7" fillId="6" borderId="5" xfId="0" applyFont="true" applyBorder="true" applyAlignment="true" applyProtection="true">
      <alignment horizontal="right" vertical="center" textRotation="0" wrapText="false" indent="0" shrinkToFit="false"/>
      <protection locked="true" hidden="false"/>
    </xf>
    <xf numFmtId="164" fontId="5" fillId="6" borderId="15" xfId="0" applyFont="true" applyBorder="true" applyAlignment="true" applyProtection="true">
      <alignment horizontal="general" vertical="center" textRotation="0" wrapText="false" indent="0" shrinkToFit="false"/>
      <protection locked="true" hidden="false"/>
    </xf>
    <xf numFmtId="164" fontId="5" fillId="6" borderId="16" xfId="0" applyFont="true" applyBorder="true" applyAlignment="true" applyProtection="true">
      <alignment horizontal="general" vertical="center" textRotation="0" wrapText="false" indent="0" shrinkToFit="false"/>
      <protection locked="true" hidden="false"/>
    </xf>
    <xf numFmtId="165" fontId="5" fillId="7" borderId="17" xfId="0" applyFont="true" applyBorder="true" applyAlignment="true" applyProtection="true">
      <alignment horizontal="right" vertical="center" textRotation="0" wrapText="false" indent="0" shrinkToFit="false"/>
      <protection locked="true" hidden="false"/>
    </xf>
    <xf numFmtId="168" fontId="5" fillId="5" borderId="0" xfId="19" applyFont="true" applyBorder="true" applyAlignment="true" applyProtection="true">
      <alignment horizontal="general" vertical="center" textRotation="0" wrapText="false" indent="0" shrinkToFit="false"/>
      <protection locked="true" hidden="false"/>
    </xf>
    <xf numFmtId="164" fontId="0" fillId="2" borderId="0" xfId="0" applyFont="false" applyBorder="true" applyAlignment="true" applyProtection="true">
      <alignment horizontal="left" vertical="center" textRotation="0" wrapText="false" indent="0" shrinkToFit="false"/>
      <protection locked="true" hidden="false"/>
    </xf>
    <xf numFmtId="164" fontId="5" fillId="6" borderId="15" xfId="0" applyFont="true" applyBorder="true" applyAlignment="true" applyProtection="true">
      <alignment horizontal="left" vertical="center" textRotation="0" wrapText="true" indent="0" shrinkToFit="false"/>
      <protection locked="true" hidden="false"/>
    </xf>
    <xf numFmtId="164" fontId="5" fillId="6" borderId="16" xfId="0" applyFont="true" applyBorder="true" applyAlignment="true" applyProtection="true">
      <alignment horizontal="left" vertical="center" textRotation="0" wrapText="false" indent="0" shrinkToFit="false"/>
      <protection locked="true" hidden="false"/>
    </xf>
    <xf numFmtId="164" fontId="0" fillId="0" borderId="0" xfId="0" applyFont="false" applyBorder="true" applyAlignment="true" applyProtection="true">
      <alignment horizontal="left" vertical="center" textRotation="0" wrapText="false" indent="0" shrinkToFit="false"/>
      <protection locked="true" hidden="false"/>
    </xf>
    <xf numFmtId="164" fontId="7" fillId="2" borderId="0" xfId="0" applyFont="true" applyBorder="true" applyAlignment="true" applyProtection="true">
      <alignment horizontal="general" vertical="center" textRotation="0" wrapText="false" indent="0" shrinkToFit="false"/>
      <protection locked="true" hidden="false"/>
    </xf>
    <xf numFmtId="165" fontId="8" fillId="3" borderId="1" xfId="0" applyFont="true" applyBorder="true" applyAlignment="true" applyProtection="true">
      <alignment horizontal="general" vertical="center" textRotation="0" wrapText="true" indent="0" shrinkToFit="false"/>
      <protection locked="true" hidden="false"/>
    </xf>
    <xf numFmtId="165" fontId="8" fillId="3" borderId="2" xfId="0" applyFont="true" applyBorder="true" applyAlignment="true" applyProtection="true">
      <alignment horizontal="general" vertical="center" textRotation="0" wrapText="true" indent="0" shrinkToFit="false"/>
      <protection locked="true" hidden="false"/>
    </xf>
    <xf numFmtId="165" fontId="5" fillId="4" borderId="18" xfId="0" applyFont="true" applyBorder="true" applyAlignment="true" applyProtection="true">
      <alignment horizontal="general" vertical="center" textRotation="0" wrapText="false" indent="0" shrinkToFit="false"/>
      <protection locked="true" hidden="false"/>
    </xf>
    <xf numFmtId="165" fontId="0" fillId="6" borderId="5" xfId="0" applyFont="false" applyBorder="true" applyAlignment="true" applyProtection="true">
      <alignment horizontal="right" vertical="center" textRotation="0" wrapText="false" indent="0" shrinkToFit="false"/>
      <protection locked="true" hidden="false"/>
    </xf>
    <xf numFmtId="164" fontId="9" fillId="2" borderId="0" xfId="0" applyFont="true" applyBorder="true" applyAlignment="true" applyProtection="true">
      <alignment horizontal="general" vertical="center" textRotation="0" wrapText="false" indent="0" shrinkToFit="false"/>
      <protection locked="true" hidden="false"/>
    </xf>
    <xf numFmtId="164" fontId="10" fillId="8" borderId="19" xfId="0" applyFont="true" applyBorder="true" applyAlignment="true" applyProtection="true">
      <alignment horizontal="general" vertical="center" textRotation="0" wrapText="false" indent="0" shrinkToFit="false"/>
      <protection locked="true" hidden="false"/>
    </xf>
    <xf numFmtId="164" fontId="9" fillId="8" borderId="20" xfId="0" applyFont="true" applyBorder="true" applyAlignment="true" applyProtection="true">
      <alignment horizontal="general" vertical="center" textRotation="0" wrapText="false" indent="0" shrinkToFit="false"/>
      <protection locked="true" hidden="false"/>
    </xf>
    <xf numFmtId="165" fontId="10" fillId="8" borderId="21" xfId="0" applyFont="true" applyBorder="true" applyAlignment="true" applyProtection="true">
      <alignment horizontal="right" vertical="center" textRotation="0" wrapText="false" indent="0" shrinkToFit="false"/>
      <protection locked="tru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10" fillId="0" borderId="4" xfId="0" applyFont="true" applyBorder="true" applyAlignment="true" applyProtection="true">
      <alignment horizontal="general" vertical="center" textRotation="0" wrapText="false" indent="0" shrinkToFit="false"/>
      <protection locked="true" hidden="false"/>
    </xf>
    <xf numFmtId="165" fontId="10" fillId="0" borderId="5" xfId="0" applyFont="true" applyBorder="true" applyAlignment="true" applyProtection="true">
      <alignment horizontal="right" vertical="center" textRotation="0" wrapText="false" indent="0" shrinkToFit="false"/>
      <protection locked="true" hidden="false"/>
    </xf>
    <xf numFmtId="164" fontId="5" fillId="0" borderId="4" xfId="0" applyFont="true" applyBorder="true" applyAlignment="true" applyProtection="true">
      <alignment horizontal="general" vertical="bottom" textRotation="0" wrapText="false" indent="0" shrinkToFit="false"/>
      <protection locked="true" hidden="false"/>
    </xf>
    <xf numFmtId="165" fontId="0" fillId="0" borderId="5" xfId="0" applyFont="false" applyBorder="true" applyAlignment="true" applyProtection="true">
      <alignment horizontal="right" vertical="bottom" textRotation="0" wrapText="false" indent="0" shrinkToFit="false"/>
      <protection locked="true" hidden="false"/>
    </xf>
    <xf numFmtId="164" fontId="5" fillId="9" borderId="1" xfId="0" applyFont="true" applyBorder="true" applyAlignment="true" applyProtection="true">
      <alignment horizontal="general" vertical="center" textRotation="0" wrapText="false" indent="0" shrinkToFit="false"/>
      <protection locked="true" hidden="false"/>
    </xf>
    <xf numFmtId="164" fontId="0" fillId="9" borderId="2" xfId="0" applyFont="false" applyBorder="true" applyAlignment="true" applyProtection="true">
      <alignment horizontal="general" vertical="bottom" textRotation="0" wrapText="false" indent="0" shrinkToFit="false"/>
      <protection locked="true" hidden="false"/>
    </xf>
    <xf numFmtId="165" fontId="0" fillId="10" borderId="18" xfId="0" applyFont="false" applyBorder="true" applyAlignment="true" applyProtection="true">
      <alignment horizontal="right" vertical="bottom" textRotation="0" wrapText="false" indent="0" shrinkToFit="false"/>
      <protection locked="true" hidden="false"/>
    </xf>
    <xf numFmtId="164" fontId="5" fillId="9" borderId="9" xfId="0" applyFont="true" applyBorder="true" applyAlignment="true" applyProtection="true">
      <alignment horizontal="general" vertical="center" textRotation="0" wrapText="false" indent="0" shrinkToFit="false"/>
      <protection locked="true" hidden="false"/>
    </xf>
    <xf numFmtId="164" fontId="0" fillId="9" borderId="10" xfId="0" applyFont="false" applyBorder="true" applyAlignment="true" applyProtection="true">
      <alignment horizontal="general" vertical="bottom" textRotation="0" wrapText="false" indent="0" shrinkToFit="false"/>
      <protection locked="true" hidden="false"/>
    </xf>
    <xf numFmtId="165" fontId="0" fillId="10" borderId="11" xfId="0" applyFont="false" applyBorder="true" applyAlignment="true" applyProtection="true">
      <alignment horizontal="right" vertical="bottom" textRotation="0" wrapText="false" indent="0" shrinkToFit="false"/>
      <protection locked="true" hidden="false"/>
    </xf>
    <xf numFmtId="164" fontId="0" fillId="0" borderId="0" xfId="0" applyFont="fals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center" vertical="bottom" textRotation="0" wrapText="false" indent="0" shrinkToFit="false"/>
      <protection locked="true" hidden="false"/>
    </xf>
    <xf numFmtId="164" fontId="0" fillId="0" borderId="0" xfId="0" applyFont="false" applyBorder="true" applyAlignment="true" applyProtection="true">
      <alignment horizontal="general" vertical="bottom" textRotation="0" wrapText="true" indent="0" shrinkToFit="false"/>
      <protection locked="true" hidden="false"/>
    </xf>
    <xf numFmtId="165" fontId="5" fillId="0" borderId="0" xfId="0" applyFont="true" applyBorder="true" applyAlignment="true" applyProtection="true">
      <alignment horizontal="general" vertical="bottom" textRotation="0" wrapText="false" indent="0" shrinkToFit="false"/>
      <protection locked="true" hidden="false"/>
    </xf>
    <xf numFmtId="166" fontId="5" fillId="0" borderId="0" xfId="0" applyFont="true" applyBorder="true" applyAlignment="true" applyProtection="true">
      <alignment horizontal="center" vertical="bottom" textRotation="0" wrapText="false" indent="0" shrinkToFit="false"/>
      <protection locked="true" hidden="false"/>
    </xf>
    <xf numFmtId="165" fontId="5" fillId="2" borderId="0" xfId="0" applyFont="true" applyBorder="true" applyAlignment="true" applyProtection="true">
      <alignment horizontal="general" vertical="bottom" textRotation="0" wrapText="false" indent="0" shrinkToFit="false"/>
      <protection locked="true" hidden="false"/>
    </xf>
    <xf numFmtId="164" fontId="0" fillId="2" borderId="0" xfId="0" applyFont="false" applyBorder="true" applyAlignment="true" applyProtection="true">
      <alignment horizontal="center" vertical="bottom" textRotation="0" wrapText="false" indent="0" shrinkToFit="false"/>
      <protection locked="true" hidden="false"/>
    </xf>
    <xf numFmtId="165" fontId="0" fillId="2" borderId="0" xfId="0" applyFont="false" applyBorder="true" applyAlignment="true" applyProtection="true">
      <alignment horizontal="center" vertical="bottom" textRotation="0" wrapText="false" indent="0" shrinkToFit="false"/>
      <protection locked="true" hidden="false"/>
    </xf>
    <xf numFmtId="166" fontId="0" fillId="2" borderId="0" xfId="15" applyFont="true" applyBorder="true" applyAlignment="true" applyProtection="true">
      <alignment horizontal="center" vertical="bottom" textRotation="0" wrapText="false" indent="0" shrinkToFit="false"/>
      <protection locked="true" hidden="false"/>
    </xf>
    <xf numFmtId="164" fontId="0" fillId="2" borderId="0" xfId="0" applyFont="false" applyBorder="true" applyAlignment="true" applyProtection="true">
      <alignment horizontal="general" vertical="bottom" textRotation="0" wrapText="true" indent="0" shrinkToFit="false"/>
      <protection locked="true" hidden="false"/>
    </xf>
    <xf numFmtId="165" fontId="11" fillId="11" borderId="3" xfId="0" applyFont="true" applyBorder="true" applyAlignment="true" applyProtection="true">
      <alignment horizontal="left" vertical="center" textRotation="0" wrapText="true" indent="0" shrinkToFit="false"/>
      <protection locked="true" hidden="false"/>
    </xf>
    <xf numFmtId="165" fontId="12" fillId="11" borderId="18" xfId="0" applyFont="true" applyBorder="true" applyAlignment="true" applyProtection="true">
      <alignment horizontal="general" vertical="center" textRotation="0" wrapText="false" indent="0" shrinkToFit="false"/>
      <protection locked="true" hidden="false"/>
    </xf>
    <xf numFmtId="166" fontId="0" fillId="0" borderId="0" xfId="15" applyFont="true" applyBorder="true" applyAlignment="true" applyProtection="true">
      <alignment horizontal="center" vertical="center" textRotation="0" wrapText="false" indent="0" shrinkToFit="false"/>
      <protection locked="true" hidden="false"/>
    </xf>
    <xf numFmtId="164" fontId="13" fillId="0" borderId="0" xfId="0" applyFont="true" applyBorder="true" applyAlignment="true" applyProtection="true">
      <alignment horizontal="left" vertical="top" textRotation="0" wrapText="false" indent="0" shrinkToFit="false"/>
      <protection locked="true" hidden="false"/>
    </xf>
    <xf numFmtId="164" fontId="14" fillId="3" borderId="1" xfId="0" applyFont="true" applyBorder="true" applyAlignment="true" applyProtection="true">
      <alignment horizontal="general" vertical="center" textRotation="0" wrapText="false" indent="0" shrinkToFit="false"/>
      <protection locked="true" hidden="false"/>
    </xf>
    <xf numFmtId="164" fontId="5" fillId="3" borderId="3" xfId="0" applyFont="true" applyBorder="true" applyAlignment="true" applyProtection="true">
      <alignment horizontal="center" vertical="center" textRotation="0" wrapText="false" indent="0" shrinkToFit="false"/>
      <protection locked="true" hidden="false"/>
    </xf>
    <xf numFmtId="167" fontId="15"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true" applyAlignment="true" applyProtection="true">
      <alignment horizontal="center" vertical="center" textRotation="0" wrapText="false" indent="0" shrinkToFit="false"/>
      <protection locked="true" hidden="false"/>
    </xf>
    <xf numFmtId="168" fontId="5" fillId="6" borderId="2" xfId="19" applyFont="true" applyBorder="true" applyAlignment="true" applyProtection="true">
      <alignment horizontal="left" vertical="center" textRotation="0" wrapText="true" indent="0" shrinkToFit="false"/>
      <protection locked="true" hidden="false"/>
    </xf>
    <xf numFmtId="165" fontId="5" fillId="6" borderId="5" xfId="0" applyFont="true" applyBorder="true" applyAlignment="true" applyProtection="true">
      <alignment horizontal="general" vertical="center" textRotation="0" wrapText="false" indent="0" shrinkToFit="false"/>
      <protection locked="true" hidden="false"/>
    </xf>
    <xf numFmtId="164" fontId="16" fillId="0" borderId="0" xfId="0" applyFont="true" applyBorder="true" applyAlignment="true" applyProtection="true">
      <alignment horizontal="left" vertical="top" textRotation="0" wrapText="true" indent="0" shrinkToFit="false"/>
      <protection locked="true" hidden="false"/>
    </xf>
    <xf numFmtId="164" fontId="5" fillId="3" borderId="4" xfId="0" applyFont="true" applyBorder="true" applyAlignment="true" applyProtection="true">
      <alignment horizontal="general" vertical="center" textRotation="0" wrapText="false" indent="0" shrinkToFit="false"/>
      <protection locked="true" hidden="false"/>
    </xf>
    <xf numFmtId="164" fontId="5" fillId="3" borderId="0" xfId="0" applyFont="true" applyBorder="true" applyAlignment="true" applyProtection="true">
      <alignment horizontal="general" vertical="center" textRotation="0" wrapText="false" indent="0" shrinkToFit="false"/>
      <protection locked="true" hidden="false"/>
    </xf>
    <xf numFmtId="164" fontId="5" fillId="3" borderId="22" xfId="0" applyFont="true" applyBorder="true" applyAlignment="true" applyProtection="true">
      <alignment horizontal="center" vertical="center" textRotation="0" wrapText="false" indent="0" shrinkToFit="false"/>
      <protection locked="true" hidden="false"/>
    </xf>
    <xf numFmtId="170" fontId="5" fillId="5" borderId="22" xfId="0" applyFont="true" applyBorder="true" applyAlignment="true" applyProtection="true">
      <alignment horizontal="center" vertical="center" textRotation="0" wrapText="false" indent="0" shrinkToFit="false"/>
      <protection locked="true" hidden="false"/>
    </xf>
    <xf numFmtId="165" fontId="5" fillId="3" borderId="1" xfId="0" applyFont="true" applyBorder="true" applyAlignment="true" applyProtection="true">
      <alignment horizontal="left" vertical="center" textRotation="0" wrapText="false" indent="0" shrinkToFit="false"/>
      <protection locked="true" hidden="false"/>
    </xf>
    <xf numFmtId="165" fontId="5" fillId="3" borderId="2" xfId="0" applyFont="true" applyBorder="true" applyAlignment="true" applyProtection="true">
      <alignment horizontal="left" vertical="center" textRotation="0" wrapText="false" indent="0" shrinkToFit="false"/>
      <protection locked="true" hidden="false"/>
    </xf>
    <xf numFmtId="165" fontId="14" fillId="4" borderId="3" xfId="0" applyFont="true" applyBorder="true" applyAlignment="true" applyProtection="true">
      <alignment horizontal="center" vertical="center" textRotation="0" wrapText="false" indent="0" shrinkToFit="false"/>
      <protection locked="true" hidden="false"/>
    </xf>
    <xf numFmtId="165" fontId="5" fillId="3" borderId="8" xfId="0" applyFont="true" applyBorder="true" applyAlignment="true" applyProtection="true">
      <alignment horizontal="general" vertical="center" textRotation="0" wrapText="false" indent="0" shrinkToFit="false"/>
      <protection locked="true" hidden="false"/>
    </xf>
    <xf numFmtId="164" fontId="5" fillId="3" borderId="6" xfId="0" applyFont="true" applyBorder="true" applyAlignment="true" applyProtection="true">
      <alignment horizontal="general" vertical="center" textRotation="0" wrapText="false" indent="0" shrinkToFit="false"/>
      <protection locked="true" hidden="false"/>
    </xf>
    <xf numFmtId="164" fontId="5" fillId="3" borderId="7" xfId="0" applyFont="true" applyBorder="true" applyAlignment="true" applyProtection="true">
      <alignment horizontal="general" vertical="center" textRotation="0" wrapText="false" indent="0" shrinkToFit="false"/>
      <protection locked="true" hidden="false"/>
    </xf>
    <xf numFmtId="164" fontId="5" fillId="3" borderId="23" xfId="0" applyFont="true" applyBorder="true" applyAlignment="true" applyProtection="true">
      <alignment horizontal="center" vertical="center" textRotation="0" wrapText="false" indent="0" shrinkToFit="false"/>
      <protection locked="true" hidden="false"/>
    </xf>
    <xf numFmtId="165" fontId="5" fillId="6" borderId="12" xfId="0" applyFont="true" applyBorder="true" applyAlignment="true" applyProtection="true">
      <alignment horizontal="left" vertical="center" textRotation="0" wrapText="false" indent="0" shrinkToFit="false"/>
      <protection locked="true" hidden="false"/>
    </xf>
    <xf numFmtId="165" fontId="5" fillId="6" borderId="13" xfId="0" applyFont="true" applyBorder="true" applyAlignment="true" applyProtection="true">
      <alignment horizontal="left" vertical="center" textRotation="0" wrapText="false" indent="0" shrinkToFit="false"/>
      <protection locked="true" hidden="false"/>
    </xf>
    <xf numFmtId="165" fontId="5" fillId="6" borderId="14" xfId="0" applyFont="true" applyBorder="true" applyAlignment="true" applyProtection="true">
      <alignment horizontal="general" vertical="center" textRotation="0" wrapText="false" indent="0" shrinkToFit="false"/>
      <protection locked="true" hidden="false"/>
    </xf>
    <xf numFmtId="165" fontId="5" fillId="6" borderId="8" xfId="0" applyFont="true" applyBorder="true" applyAlignment="true" applyProtection="true">
      <alignment horizontal="right" vertical="center" textRotation="0" wrapText="false" indent="0" shrinkToFit="false"/>
      <protection locked="true" hidden="false"/>
    </xf>
    <xf numFmtId="164" fontId="5" fillId="3" borderId="18" xfId="0" applyFont="true" applyBorder="true" applyAlignment="true" applyProtection="true">
      <alignment horizontal="general" vertical="center" textRotation="0" wrapText="false" indent="0" shrinkToFit="false"/>
      <protection locked="true" hidden="false"/>
    </xf>
    <xf numFmtId="164" fontId="17" fillId="0" borderId="0" xfId="0" applyFont="true" applyBorder="true" applyAlignment="true" applyProtection="true">
      <alignment horizontal="left" vertical="center" textRotation="0" wrapText="true" indent="0" shrinkToFit="false"/>
      <protection locked="true" hidden="false"/>
    </xf>
    <xf numFmtId="165" fontId="5" fillId="8" borderId="24" xfId="0" applyFont="true" applyBorder="true" applyAlignment="true" applyProtection="true">
      <alignment horizontal="left" vertical="center" textRotation="0" wrapText="true" indent="0" shrinkToFit="false"/>
      <protection locked="true" hidden="false"/>
    </xf>
    <xf numFmtId="165" fontId="18" fillId="8" borderId="25" xfId="0" applyFont="true" applyBorder="true" applyAlignment="true" applyProtection="true">
      <alignment horizontal="general" vertical="center" textRotation="0" wrapText="false" indent="0" shrinkToFit="false"/>
      <protection locked="true" hidden="false"/>
    </xf>
    <xf numFmtId="164" fontId="15" fillId="0" borderId="0" xfId="0" applyFont="true" applyBorder="true" applyAlignment="true" applyProtection="true">
      <alignment horizontal="general" vertical="center" textRotation="0" wrapText="false" indent="0" shrinkToFit="false"/>
      <protection locked="true" hidden="false"/>
    </xf>
    <xf numFmtId="165" fontId="15" fillId="0" borderId="0" xfId="0" applyFont="true" applyBorder="true" applyAlignment="true" applyProtection="true">
      <alignment horizontal="general" vertical="center" textRotation="0" wrapText="false" indent="0" shrinkToFit="false"/>
      <protection locked="true" hidden="false"/>
    </xf>
    <xf numFmtId="167" fontId="15" fillId="0" borderId="0" xfId="0" applyFont="true" applyBorder="true" applyAlignment="true" applyProtection="true">
      <alignment horizontal="general" vertical="center" textRotation="0" wrapText="false" indent="0" shrinkToFit="false"/>
      <protection locked="true" hidden="false"/>
    </xf>
    <xf numFmtId="164" fontId="5" fillId="3" borderId="1" xfId="0" applyFont="true" applyBorder="true" applyAlignment="true" applyProtection="true">
      <alignment horizontal="left" vertical="center" textRotation="0" wrapText="true" indent="0" shrinkToFit="false"/>
      <protection locked="true" hidden="false"/>
    </xf>
    <xf numFmtId="164" fontId="5" fillId="3" borderId="18" xfId="0" applyFont="true" applyBorder="true" applyAlignment="true" applyProtection="true">
      <alignment horizontal="center" vertical="center" textRotation="0" wrapText="false" indent="0" shrinkToFit="false"/>
      <protection locked="true" hidden="false"/>
    </xf>
    <xf numFmtId="170" fontId="14" fillId="4" borderId="3" xfId="0" applyFont="true" applyBorder="true" applyAlignment="true" applyProtection="true">
      <alignment horizontal="center" vertical="center" textRotation="0" wrapText="false" indent="0" shrinkToFit="false"/>
      <protection locked="true" hidden="false"/>
    </xf>
    <xf numFmtId="164" fontId="16" fillId="0" borderId="5" xfId="0" applyFont="true" applyBorder="true" applyAlignment="true" applyProtection="true">
      <alignment horizontal="general" vertical="top" textRotation="0" wrapText="true" indent="0" shrinkToFit="false"/>
      <protection locked="true" hidden="false"/>
    </xf>
    <xf numFmtId="164" fontId="5" fillId="5" borderId="22" xfId="0" applyFont="true" applyBorder="true" applyAlignment="true" applyProtection="true">
      <alignment horizontal="center" vertical="center" textRotation="0" wrapText="false" indent="0" shrinkToFit="false"/>
      <protection locked="true" hidden="false"/>
    </xf>
    <xf numFmtId="164" fontId="17" fillId="0" borderId="0" xfId="0" applyFont="true" applyBorder="true" applyAlignment="true" applyProtection="true">
      <alignment horizontal="general" vertical="center" textRotation="0" wrapText="false" indent="0" shrinkToFit="false"/>
      <protection locked="true" hidden="false"/>
    </xf>
    <xf numFmtId="164" fontId="17" fillId="0" borderId="0" xfId="0" applyFont="true" applyBorder="true" applyAlignment="true" applyProtection="true">
      <alignment horizontal="center" vertical="center" textRotation="0" wrapText="false" indent="0" shrinkToFit="false"/>
      <protection locked="true" hidden="false"/>
    </xf>
    <xf numFmtId="166" fontId="5" fillId="0" borderId="7" xfId="15" applyFont="true" applyBorder="true" applyAlignment="true" applyProtection="true">
      <alignment horizontal="center" vertical="center" textRotation="0" wrapText="true" indent="0" shrinkToFit="false"/>
      <protection locked="true" hidden="false"/>
    </xf>
    <xf numFmtId="164" fontId="5" fillId="3" borderId="9" xfId="0" applyFont="true" applyBorder="true" applyAlignment="true" applyProtection="true">
      <alignment horizontal="general" vertical="center" textRotation="0" wrapText="false" indent="0" shrinkToFit="false"/>
      <protection locked="true" hidden="false"/>
    </xf>
    <xf numFmtId="164" fontId="5" fillId="3" borderId="10" xfId="0" applyFont="true" applyBorder="true" applyAlignment="true" applyProtection="true">
      <alignment horizontal="general" vertical="center" textRotation="0" wrapText="false" indent="0" shrinkToFit="false"/>
      <protection locked="true" hidden="false"/>
    </xf>
    <xf numFmtId="164" fontId="5" fillId="3" borderId="26" xfId="0" applyFont="true" applyBorder="true" applyAlignment="true" applyProtection="true">
      <alignment horizontal="center" vertical="center" textRotation="0" wrapText="false" indent="0" shrinkToFit="false"/>
      <protection locked="true" hidden="false"/>
    </xf>
    <xf numFmtId="170" fontId="5" fillId="5" borderId="26" xfId="0" applyFont="true" applyBorder="true" applyAlignment="true" applyProtection="true">
      <alignment horizontal="center" vertical="center" textRotation="0" wrapText="false" indent="0" shrinkToFit="false"/>
      <protection locked="true" hidden="false"/>
    </xf>
    <xf numFmtId="164" fontId="16" fillId="0" borderId="0" xfId="0" applyFont="true" applyBorder="true" applyAlignment="true" applyProtection="true">
      <alignment horizontal="center" vertical="center" textRotation="0" wrapText="true" indent="0" shrinkToFit="false"/>
      <protection locked="true" hidden="false"/>
    </xf>
    <xf numFmtId="164" fontId="19" fillId="0" borderId="0" xfId="0" applyFont="true" applyBorder="true" applyAlignment="true" applyProtection="true">
      <alignment horizontal="general" vertical="center" textRotation="0" wrapText="true" indent="0" shrinkToFit="false"/>
      <protection locked="true" hidden="false"/>
    </xf>
    <xf numFmtId="164" fontId="0" fillId="0" borderId="7" xfId="0" applyFont="false" applyBorder="true" applyAlignment="true" applyProtection="true">
      <alignment horizontal="general" vertical="center" textRotation="0" wrapText="false" indent="0" shrinkToFit="false"/>
      <protection locked="true" hidden="false"/>
    </xf>
    <xf numFmtId="170" fontId="15" fillId="0" borderId="0" xfId="0" applyFont="true" applyBorder="true" applyAlignment="true" applyProtection="true">
      <alignment horizontal="general" vertical="center" textRotation="0" wrapText="false" indent="0" shrinkToFit="false"/>
      <protection locked="true" hidden="false"/>
    </xf>
    <xf numFmtId="165" fontId="0" fillId="2" borderId="0" xfId="0" applyFont="false" applyBorder="true" applyAlignment="true" applyProtection="true">
      <alignment horizontal="general" vertical="center" textRotation="0" wrapText="false" indent="0" shrinkToFit="false"/>
      <protection locked="true" hidden="false"/>
    </xf>
    <xf numFmtId="166" fontId="5" fillId="0" borderId="0" xfId="15" applyFont="true" applyBorder="true" applyAlignment="true" applyProtection="true">
      <alignment horizontal="left" vertical="center" textRotation="0" wrapText="true" indent="0" shrinkToFit="false"/>
      <protection locked="true" hidden="false"/>
    </xf>
    <xf numFmtId="164" fontId="16" fillId="0" borderId="0" xfId="0" applyFont="true" applyBorder="true" applyAlignment="true" applyProtection="true">
      <alignment horizontal="left" vertical="center" textRotation="0" wrapText="true" indent="0" shrinkToFit="false"/>
      <protection locked="true" hidden="false"/>
    </xf>
    <xf numFmtId="164" fontId="16" fillId="0" borderId="0" xfId="0" applyFont="true" applyBorder="true" applyAlignment="true" applyProtection="true">
      <alignment horizontal="general" vertical="center" textRotation="0" wrapText="true" indent="0" shrinkToFit="false"/>
      <protection locked="true" hidden="false"/>
    </xf>
    <xf numFmtId="165" fontId="5" fillId="0" borderId="0" xfId="0" applyFont="true" applyBorder="true" applyAlignment="true" applyProtection="true">
      <alignment horizontal="left" vertical="center" textRotation="0" wrapText="true" indent="0" shrinkToFit="false"/>
      <protection locked="true" hidden="false"/>
    </xf>
    <xf numFmtId="164" fontId="0" fillId="0" borderId="0" xfId="0" applyFont="false" applyBorder="true" applyAlignment="true" applyProtection="true">
      <alignment horizontal="center" vertical="center" textRotation="0" wrapText="true" indent="0" shrinkToFit="false"/>
      <protection locked="true" hidden="false"/>
    </xf>
    <xf numFmtId="164" fontId="0" fillId="2" borderId="27" xfId="0" applyFont="false" applyBorder="true" applyAlignment="true" applyProtection="true">
      <alignment horizontal="general" vertical="bottom" textRotation="0" wrapText="false" indent="0" shrinkToFit="false"/>
      <protection locked="true" hidden="false"/>
    </xf>
    <xf numFmtId="164" fontId="5" fillId="3" borderId="27" xfId="0" applyFont="true" applyBorder="true" applyAlignment="true" applyProtection="true">
      <alignment horizontal="center" vertical="bottom" textRotation="0" wrapText="true" indent="0" shrinkToFit="false"/>
      <protection locked="true" hidden="false"/>
    </xf>
    <xf numFmtId="171" fontId="5" fillId="3" borderId="27" xfId="0" applyFont="true" applyBorder="true" applyAlignment="true" applyProtection="true">
      <alignment horizontal="center" vertical="bottom" textRotation="0" wrapText="true" indent="0" shrinkToFit="false"/>
      <protection locked="true" hidden="false"/>
    </xf>
    <xf numFmtId="166" fontId="5" fillId="3" borderId="27" xfId="15" applyFont="true" applyBorder="true" applyAlignment="true" applyProtection="true">
      <alignment horizontal="center" vertical="bottom" textRotation="0" wrapText="false" indent="0" shrinkToFit="false"/>
      <protection locked="true" hidden="false"/>
    </xf>
    <xf numFmtId="171" fontId="5" fillId="3" borderId="27" xfId="0" applyFont="true" applyBorder="true" applyAlignment="true" applyProtection="true">
      <alignment horizontal="center" vertical="bottom" textRotation="0" wrapText="false" indent="0" shrinkToFit="false"/>
      <protection locked="true" hidden="false"/>
    </xf>
    <xf numFmtId="165" fontId="5" fillId="7" borderId="27" xfId="0" applyFont="true" applyBorder="true" applyAlignment="true" applyProtection="true">
      <alignment horizontal="center" vertical="bottom" textRotation="0" wrapText="true" indent="0" shrinkToFit="false"/>
      <protection locked="true" hidden="false"/>
    </xf>
    <xf numFmtId="166" fontId="5" fillId="12" borderId="27" xfId="0" applyFont="true" applyBorder="true" applyAlignment="true" applyProtection="true">
      <alignment horizontal="center" vertical="bottom" textRotation="0" wrapText="true" indent="0" shrinkToFit="false"/>
      <protection locked="true" hidden="false"/>
    </xf>
    <xf numFmtId="165" fontId="5" fillId="12" borderId="27" xfId="0" applyFont="true" applyBorder="true" applyAlignment="true" applyProtection="true">
      <alignment horizontal="center" vertical="bottom" textRotation="0" wrapText="true" indent="0" shrinkToFit="false"/>
      <protection locked="true" hidden="false"/>
    </xf>
    <xf numFmtId="165" fontId="0" fillId="2" borderId="27" xfId="0" applyFont="false" applyBorder="true" applyAlignment="true" applyProtection="true">
      <alignment horizontal="general" vertical="bottom" textRotation="0" wrapText="false" indent="0" shrinkToFit="false"/>
      <protection locked="true" hidden="false"/>
    </xf>
    <xf numFmtId="164" fontId="0" fillId="0" borderId="27" xfId="0" applyFont="false" applyBorder="true" applyAlignment="true" applyProtection="true">
      <alignment horizontal="general" vertical="bottom" textRotation="0" wrapText="false" indent="0" shrinkToFit="false"/>
      <protection locked="true" hidden="false"/>
    </xf>
    <xf numFmtId="171" fontId="7" fillId="4" borderId="26" xfId="0" applyFont="true" applyBorder="true" applyAlignment="true" applyProtection="true">
      <alignment horizontal="center" vertical="center" textRotation="0" wrapText="true" indent="0" shrinkToFit="false"/>
      <protection locked="true" hidden="false"/>
    </xf>
    <xf numFmtId="166" fontId="0" fillId="4" borderId="26" xfId="15" applyFont="true" applyBorder="true" applyAlignment="true" applyProtection="true">
      <alignment horizontal="center" vertical="center" textRotation="0" wrapText="false" indent="0" shrinkToFit="false"/>
      <protection locked="true" hidden="false"/>
    </xf>
    <xf numFmtId="171" fontId="0" fillId="4" borderId="26" xfId="0" applyFont="true" applyBorder="true" applyAlignment="true" applyProtection="true">
      <alignment horizontal="center" vertical="center" textRotation="0" wrapText="false" indent="0" shrinkToFit="false"/>
      <protection locked="true" hidden="false"/>
    </xf>
    <xf numFmtId="171" fontId="7" fillId="4" borderId="26" xfId="0" applyFont="true" applyBorder="true" applyAlignment="true" applyProtection="true">
      <alignment horizontal="center" vertical="center" textRotation="0" wrapText="false" indent="0" shrinkToFit="false"/>
      <protection locked="true" hidden="false"/>
    </xf>
    <xf numFmtId="164" fontId="7" fillId="4" borderId="3" xfId="0" applyFont="true" applyBorder="true" applyAlignment="true" applyProtection="true">
      <alignment horizontal="center" vertical="center" textRotation="0" wrapText="true" indent="0" shrinkToFit="false"/>
      <protection locked="true" hidden="false"/>
    </xf>
    <xf numFmtId="165" fontId="5" fillId="6" borderId="26" xfId="0" applyFont="true" applyBorder="true" applyAlignment="true" applyProtection="true">
      <alignment horizontal="general" vertical="center" textRotation="0" wrapText="false" indent="0" shrinkToFit="false"/>
      <protection locked="true" hidden="false"/>
    </xf>
    <xf numFmtId="165" fontId="5" fillId="7" borderId="26" xfId="0" applyFont="true" applyBorder="true" applyAlignment="true" applyProtection="true">
      <alignment horizontal="general" vertical="center" textRotation="0" wrapText="false" indent="0" shrinkToFit="false"/>
      <protection locked="true" hidden="false"/>
    </xf>
    <xf numFmtId="166" fontId="5" fillId="13" borderId="0" xfId="0" applyFont="true" applyBorder="true" applyAlignment="true" applyProtection="true">
      <alignment horizontal="center" vertical="center" textRotation="0" wrapText="false" indent="0" shrinkToFit="false"/>
      <protection locked="true" hidden="false"/>
    </xf>
    <xf numFmtId="165" fontId="5" fillId="12" borderId="0" xfId="0" applyFont="true" applyBorder="true" applyAlignment="true" applyProtection="true">
      <alignment horizontal="general" vertical="center" textRotation="0" wrapText="false" indent="0" shrinkToFit="false"/>
      <protection locked="true" hidden="false"/>
    </xf>
    <xf numFmtId="164" fontId="0" fillId="4" borderId="3" xfId="0" applyFont="false" applyBorder="true" applyAlignment="true" applyProtection="true">
      <alignment horizontal="center" vertical="center" textRotation="0" wrapText="true" indent="0" shrinkToFit="false"/>
      <protection locked="true" hidden="false"/>
    </xf>
    <xf numFmtId="166" fontId="0" fillId="4" borderId="3" xfId="15" applyFont="true" applyBorder="true" applyAlignment="true" applyProtection="true">
      <alignment horizontal="center" vertical="center" textRotation="0" wrapText="false" indent="0" shrinkToFit="false"/>
      <protection locked="true" hidden="false"/>
    </xf>
    <xf numFmtId="164" fontId="0" fillId="4" borderId="3" xfId="0" applyFont="false" applyBorder="true" applyAlignment="true" applyProtection="true">
      <alignment horizontal="center" vertical="center" textRotation="0" wrapText="false" indent="0" shrinkToFit="false"/>
      <protection locked="true" hidden="false"/>
    </xf>
    <xf numFmtId="164" fontId="0" fillId="2" borderId="0" xfId="0" applyFont="false" applyBorder="true" applyAlignment="true" applyProtection="true">
      <alignment horizontal="center" vertical="center" textRotation="0" wrapText="false" indent="0" shrinkToFit="false"/>
      <protection locked="true" hidden="false"/>
    </xf>
    <xf numFmtId="166" fontId="0" fillId="2" borderId="0" xfId="15" applyFont="true" applyBorder="true" applyAlignment="true" applyProtection="true">
      <alignment horizontal="center" vertical="center" textRotation="0" wrapText="false" indent="0" shrinkToFit="false"/>
      <protection locked="true" hidden="false"/>
    </xf>
    <xf numFmtId="164" fontId="0" fillId="2" borderId="0" xfId="0" applyFont="false" applyBorder="true" applyAlignment="true" applyProtection="true">
      <alignment horizontal="center" vertical="center" textRotation="0" wrapText="true" indent="0" shrinkToFit="false"/>
      <protection locked="true" hidden="false"/>
    </xf>
    <xf numFmtId="165" fontId="5" fillId="2" borderId="0" xfId="0" applyFont="true" applyBorder="true" applyAlignment="true" applyProtection="true">
      <alignment horizontal="general" vertical="center" textRotation="0" wrapText="false" indent="0" shrinkToFit="false"/>
      <protection locked="true" hidden="false"/>
    </xf>
    <xf numFmtId="166" fontId="5" fillId="2" borderId="0"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true" applyAlignment="true" applyProtection="true">
      <alignment horizontal="center" vertical="bottom" textRotation="0" wrapText="true" indent="0" shrinkToFit="false"/>
      <protection locked="true" hidden="false"/>
    </xf>
    <xf numFmtId="164" fontId="5" fillId="0" borderId="0" xfId="0" applyFont="true" applyBorder="true" applyAlignment="true" applyProtection="true">
      <alignment horizontal="center" vertical="bottom" textRotation="0" wrapText="false" indent="0" shrinkToFit="false"/>
      <protection locked="true" hidden="false"/>
    </xf>
    <xf numFmtId="165" fontId="7" fillId="0" borderId="0" xfId="0" applyFont="true" applyBorder="true" applyAlignment="true" applyProtection="true">
      <alignment horizontal="center" vertical="bottom" textRotation="0" wrapText="false" indent="0" shrinkToFit="false"/>
      <protection locked="true" hidden="false"/>
    </xf>
    <xf numFmtId="165" fontId="5" fillId="5" borderId="0" xfId="0" applyFont="true" applyBorder="true" applyAlignment="true" applyProtection="true">
      <alignment horizontal="center" vertical="bottom" textRotation="0" wrapText="false" indent="0" shrinkToFit="false"/>
      <protection locked="true" hidden="false"/>
    </xf>
    <xf numFmtId="165" fontId="0" fillId="0" borderId="0" xfId="0" applyFont="false" applyBorder="true" applyAlignment="true" applyProtection="true">
      <alignment horizontal="center" vertical="bottom" textRotation="0" wrapText="false" indent="0" shrinkToFit="false"/>
      <protection locked="true" hidden="false"/>
    </xf>
    <xf numFmtId="165" fontId="0" fillId="0" borderId="0" xfId="19" applyFont="true" applyBorder="true" applyAlignment="true" applyProtection="true">
      <alignment horizontal="center" vertical="bottom" textRotation="0" wrapText="false" indent="0" shrinkToFit="false"/>
      <protection locked="true" hidden="false"/>
    </xf>
    <xf numFmtId="165" fontId="5" fillId="4" borderId="0" xfId="19" applyFont="true" applyBorder="true" applyAlignment="true" applyProtection="true">
      <alignment horizontal="center" vertical="bottom" textRotation="0" wrapText="false" indent="0" shrinkToFit="false"/>
      <protection locked="true" hidden="false"/>
    </xf>
    <xf numFmtId="165" fontId="5" fillId="14" borderId="0" xfId="19" applyFont="true" applyBorder="true" applyAlignment="true" applyProtection="true">
      <alignment horizontal="center" vertical="bottom" textRotation="0" wrapText="false" indent="0" shrinkToFit="false"/>
      <protection locked="true" hidden="false"/>
    </xf>
    <xf numFmtId="165" fontId="5" fillId="0" borderId="0" xfId="19" applyFont="true" applyBorder="true" applyAlignment="true" applyProtection="true">
      <alignment horizontal="center" vertical="bottom" textRotation="0" wrapText="false" indent="0" shrinkToFit="false"/>
      <protection locked="true" hidden="false"/>
    </xf>
    <xf numFmtId="165" fontId="5" fillId="6" borderId="0" xfId="0" applyFont="true" applyBorder="true" applyAlignment="true" applyProtection="true">
      <alignment horizontal="center" vertical="bottom" textRotation="0" wrapText="false" indent="0" shrinkToFit="false"/>
      <protection locked="true" hidden="false"/>
    </xf>
    <xf numFmtId="168" fontId="5" fillId="0" borderId="0" xfId="19" applyFont="true" applyBorder="true" applyAlignment="true" applyProtection="true">
      <alignment horizontal="center" vertical="bottom" textRotation="0" wrapText="false" indent="0" shrinkToFit="false"/>
      <protection locked="true" hidden="false"/>
    </xf>
    <xf numFmtId="166" fontId="5" fillId="0" borderId="0" xfId="19" applyFont="true" applyBorder="true" applyAlignment="true" applyProtection="true">
      <alignment horizontal="center" vertical="bottom" textRotation="0" wrapText="false" indent="0" shrinkToFit="false"/>
      <protection locked="true" hidden="false"/>
    </xf>
    <xf numFmtId="164" fontId="0" fillId="0" borderId="0" xfId="0" applyFont="false" applyBorder="true" applyAlignment="true" applyProtection="true">
      <alignment horizontal="left" vertical="bottom" textRotation="0" wrapText="false" indent="0" shrinkToFit="false"/>
      <protection locked="true" hidden="false"/>
    </xf>
    <xf numFmtId="164" fontId="5" fillId="2" borderId="0" xfId="0" applyFont="true" applyBorder="true" applyAlignment="true" applyProtection="true">
      <alignment horizontal="center" vertical="bottom" textRotation="0" wrapText="false" indent="0" shrinkToFit="false"/>
      <protection locked="true" hidden="false"/>
    </xf>
    <xf numFmtId="165" fontId="7" fillId="2" borderId="0" xfId="0" applyFont="true" applyBorder="true" applyAlignment="true" applyProtection="true">
      <alignment horizontal="center" vertical="bottom" textRotation="0" wrapText="false" indent="0" shrinkToFit="false"/>
      <protection locked="true" hidden="false"/>
    </xf>
    <xf numFmtId="165" fontId="5" fillId="2" borderId="0" xfId="0" applyFont="true" applyBorder="true" applyAlignment="true" applyProtection="true">
      <alignment horizontal="center" vertical="bottom" textRotation="0" wrapText="false" indent="0" shrinkToFit="false"/>
      <protection locked="true" hidden="false"/>
    </xf>
    <xf numFmtId="165" fontId="0" fillId="2" borderId="0" xfId="19" applyFont="true" applyBorder="true" applyAlignment="true" applyProtection="true">
      <alignment horizontal="center" vertical="bottom" textRotation="0" wrapText="false" indent="0" shrinkToFit="false"/>
      <protection locked="true" hidden="false"/>
    </xf>
    <xf numFmtId="165" fontId="5" fillId="2" borderId="0" xfId="19" applyFont="true" applyBorder="true" applyAlignment="true" applyProtection="true">
      <alignment horizontal="center" vertical="bottom" textRotation="0" wrapText="false" indent="0" shrinkToFit="false"/>
      <protection locked="true" hidden="false"/>
    </xf>
    <xf numFmtId="168" fontId="5" fillId="2" borderId="0" xfId="19" applyFont="true" applyBorder="true" applyAlignment="true" applyProtection="true">
      <alignment horizontal="center" vertical="bottom" textRotation="0" wrapText="false" indent="0" shrinkToFit="false"/>
      <protection locked="true" hidden="false"/>
    </xf>
    <xf numFmtId="166" fontId="5" fillId="2" borderId="0" xfId="19" applyFont="true" applyBorder="true" applyAlignment="true" applyProtection="true">
      <alignment horizontal="center" vertical="bottom" textRotation="0" wrapText="false" indent="0" shrinkToFit="false"/>
      <protection locked="true" hidden="false"/>
    </xf>
    <xf numFmtId="164" fontId="0" fillId="2" borderId="0" xfId="0" applyFont="false" applyBorder="true" applyAlignment="true" applyProtection="true">
      <alignment horizontal="left" vertical="bottom" textRotation="0" wrapText="false" indent="0" shrinkToFit="false"/>
      <protection locked="true" hidden="false"/>
    </xf>
    <xf numFmtId="165" fontId="5" fillId="5" borderId="10" xfId="0" applyFont="true" applyBorder="true" applyAlignment="true" applyProtection="true">
      <alignment horizontal="center" vertical="bottom" textRotation="0" wrapText="false" indent="0" shrinkToFit="false"/>
      <protection locked="true" hidden="false"/>
    </xf>
    <xf numFmtId="165" fontId="5" fillId="4" borderId="10" xfId="0" applyFont="true" applyBorder="true" applyAlignment="true" applyProtection="true">
      <alignment horizontal="center" vertical="bottom" textRotation="0" wrapText="false" indent="0" shrinkToFit="false"/>
      <protection locked="true" hidden="false"/>
    </xf>
    <xf numFmtId="165" fontId="5" fillId="14" borderId="10" xfId="19" applyFont="true" applyBorder="true" applyAlignment="true" applyProtection="true">
      <alignment horizontal="center" vertical="bottom" textRotation="0" wrapText="false" indent="0" shrinkToFit="false"/>
      <protection locked="true" hidden="false"/>
    </xf>
    <xf numFmtId="165" fontId="5" fillId="6" borderId="10" xfId="19" applyFont="true" applyBorder="true" applyAlignment="true" applyProtection="true">
      <alignment horizontal="center" vertical="bottom" textRotation="0" wrapText="false" indent="0" shrinkToFit="false"/>
      <protection locked="true" hidden="false"/>
    </xf>
    <xf numFmtId="166" fontId="5" fillId="12" borderId="0" xfId="19" applyFont="true" applyBorder="true" applyAlignment="true" applyProtection="true">
      <alignment horizontal="center" vertical="bottom" textRotation="0" wrapText="false" indent="0" shrinkToFit="false"/>
      <protection locked="true" hidden="false"/>
    </xf>
    <xf numFmtId="165" fontId="5" fillId="12" borderId="0" xfId="19" applyFont="true" applyBorder="true" applyAlignment="true" applyProtection="true">
      <alignment horizontal="center" vertical="bottom" textRotation="0" wrapText="false" indent="0" shrinkToFit="false"/>
      <protection locked="true" hidden="false"/>
    </xf>
    <xf numFmtId="164" fontId="0" fillId="2" borderId="10" xfId="0" applyFont="false" applyBorder="true" applyAlignment="true" applyProtection="true">
      <alignment horizontal="general" vertical="bottom" textRotation="0" wrapText="true" indent="0" shrinkToFit="false"/>
      <protection locked="true" hidden="false"/>
    </xf>
    <xf numFmtId="164" fontId="5" fillId="15" borderId="26" xfId="0" applyFont="true" applyBorder="true" applyAlignment="true" applyProtection="true">
      <alignment horizontal="center" vertical="bottom" textRotation="0" wrapText="true" indent="0" shrinkToFit="false"/>
      <protection locked="true" hidden="false"/>
    </xf>
    <xf numFmtId="165" fontId="5" fillId="5" borderId="26" xfId="0" applyFont="true" applyBorder="true" applyAlignment="true" applyProtection="true">
      <alignment horizontal="center" vertical="bottom" textRotation="0" wrapText="true" indent="0" shrinkToFit="false"/>
      <protection locked="true" hidden="false"/>
    </xf>
    <xf numFmtId="165" fontId="5" fillId="4" borderId="26" xfId="0" applyFont="true" applyBorder="true" applyAlignment="true" applyProtection="true">
      <alignment horizontal="center" vertical="bottom" textRotation="0" wrapText="true" indent="0" shrinkToFit="false"/>
      <protection locked="true" hidden="false"/>
    </xf>
    <xf numFmtId="165" fontId="5" fillId="4" borderId="26" xfId="19" applyFont="true" applyBorder="true" applyAlignment="true" applyProtection="true">
      <alignment horizontal="center" vertical="bottom" textRotation="0" wrapText="true" indent="0" shrinkToFit="false"/>
      <protection locked="true" hidden="false"/>
    </xf>
    <xf numFmtId="165" fontId="5" fillId="14" borderId="26" xfId="19" applyFont="true" applyBorder="true" applyAlignment="true" applyProtection="true">
      <alignment horizontal="center" vertical="bottom" textRotation="0" wrapText="true" indent="0" shrinkToFit="false"/>
      <protection locked="true" hidden="false"/>
    </xf>
    <xf numFmtId="165" fontId="5" fillId="6" borderId="26" xfId="19" applyFont="true" applyBorder="true" applyAlignment="true" applyProtection="true">
      <alignment horizontal="center" vertical="bottom" textRotation="0" wrapText="true" indent="0" shrinkToFit="false"/>
      <protection locked="true" hidden="false"/>
    </xf>
    <xf numFmtId="165" fontId="5" fillId="6" borderId="26" xfId="0" applyFont="true" applyBorder="true" applyAlignment="true" applyProtection="true">
      <alignment horizontal="center" vertical="bottom" textRotation="0" wrapText="true" indent="0" shrinkToFit="false"/>
      <protection locked="true" hidden="false"/>
    </xf>
    <xf numFmtId="168" fontId="5" fillId="6" borderId="26" xfId="19" applyFont="true" applyBorder="true" applyAlignment="true" applyProtection="true">
      <alignment horizontal="center" vertical="bottom" textRotation="0" wrapText="true" indent="0" shrinkToFit="false"/>
      <protection locked="true" hidden="false"/>
    </xf>
    <xf numFmtId="166" fontId="5" fillId="12" borderId="10" xfId="19" applyFont="true" applyBorder="true" applyAlignment="true" applyProtection="true">
      <alignment horizontal="center" vertical="bottom" textRotation="0" wrapText="true" indent="0" shrinkToFit="false"/>
      <protection locked="true" hidden="false"/>
    </xf>
    <xf numFmtId="165" fontId="5" fillId="12" borderId="10" xfId="19" applyFont="true" applyBorder="true" applyAlignment="true" applyProtection="true">
      <alignment horizontal="center" vertical="bottom" textRotation="0" wrapText="true" indent="0" shrinkToFit="false"/>
      <protection locked="true" hidden="false"/>
    </xf>
    <xf numFmtId="164" fontId="20" fillId="2" borderId="10" xfId="0" applyFont="true" applyBorder="true" applyAlignment="true" applyProtection="true">
      <alignment horizontal="general" vertical="bottom" textRotation="0" wrapText="true" indent="0" shrinkToFit="false"/>
      <protection locked="true" hidden="false"/>
    </xf>
    <xf numFmtId="164" fontId="5" fillId="6" borderId="2" xfId="19" applyFont="true" applyBorder="true" applyAlignment="true" applyProtection="true">
      <alignment horizontal="center" vertical="bottom" textRotation="0" wrapText="true" indent="0" shrinkToFit="false"/>
      <protection locked="true" hidden="false"/>
    </xf>
    <xf numFmtId="165" fontId="5" fillId="6" borderId="18" xfId="0" applyFont="true" applyBorder="true" applyAlignment="true" applyProtection="true">
      <alignment horizontal="center" vertical="bottom" textRotation="0" wrapText="true" indent="0" shrinkToFit="false"/>
      <protection locked="true" hidden="false"/>
    </xf>
    <xf numFmtId="164" fontId="0" fillId="0" borderId="10" xfId="0" applyFont="false" applyBorder="true" applyAlignment="true" applyProtection="true">
      <alignment horizontal="general" vertical="bottom" textRotation="0" wrapText="true" indent="0" shrinkToFit="false"/>
      <protection locked="true" hidden="false"/>
    </xf>
    <xf numFmtId="167" fontId="5" fillId="0" borderId="3" xfId="0" applyFont="true" applyBorder="true" applyAlignment="true" applyProtection="true">
      <alignment horizontal="center" vertical="bottom" textRotation="0" wrapText="false" indent="0" shrinkToFit="false"/>
      <protection locked="true" hidden="false"/>
    </xf>
    <xf numFmtId="165" fontId="7" fillId="0" borderId="3" xfId="0" applyFont="true" applyBorder="true" applyAlignment="true" applyProtection="true">
      <alignment horizontal="center" vertical="bottom" textRotation="0" wrapText="false" indent="0" shrinkToFit="false"/>
      <protection locked="true" hidden="false"/>
    </xf>
    <xf numFmtId="165" fontId="5" fillId="5" borderId="3" xfId="0" applyFont="true" applyBorder="true" applyAlignment="true" applyProtection="true">
      <alignment horizontal="center" vertical="bottom" textRotation="0" wrapText="false" indent="0" shrinkToFit="false"/>
      <protection locked="true" hidden="false"/>
    </xf>
    <xf numFmtId="165" fontId="0" fillId="0" borderId="3" xfId="0" applyFont="false" applyBorder="true" applyAlignment="true" applyProtection="true">
      <alignment horizontal="center" vertical="bottom" textRotation="0" wrapText="false" indent="0" shrinkToFit="false"/>
      <protection locked="true" hidden="false"/>
    </xf>
    <xf numFmtId="165" fontId="0" fillId="0" borderId="3" xfId="19" applyFont="true" applyBorder="true" applyAlignment="true" applyProtection="true">
      <alignment horizontal="center" vertical="bottom" textRotation="0" wrapText="false" indent="0" shrinkToFit="false"/>
      <protection locked="true" hidden="false"/>
    </xf>
    <xf numFmtId="165" fontId="5" fillId="4" borderId="1" xfId="19" applyFont="true" applyBorder="true" applyAlignment="true" applyProtection="true">
      <alignment horizontal="center" vertical="bottom" textRotation="0" wrapText="false" indent="0" shrinkToFit="false"/>
      <protection locked="true" hidden="false"/>
    </xf>
    <xf numFmtId="165" fontId="0" fillId="0" borderId="18" xfId="19" applyFont="true" applyBorder="true" applyAlignment="true" applyProtection="true">
      <alignment horizontal="center" vertical="bottom" textRotation="0" wrapText="false" indent="0" shrinkToFit="false"/>
      <protection locked="true" hidden="false"/>
    </xf>
    <xf numFmtId="165" fontId="5" fillId="14" borderId="3" xfId="19" applyFont="true" applyBorder="true" applyAlignment="true" applyProtection="true">
      <alignment horizontal="center" vertical="bottom" textRotation="0" wrapText="false" indent="0" shrinkToFit="false"/>
      <protection locked="true" hidden="false"/>
    </xf>
    <xf numFmtId="165" fontId="7" fillId="0" borderId="3" xfId="19" applyFont="true" applyBorder="true" applyAlignment="true" applyProtection="true">
      <alignment horizontal="center" vertical="bottom" textRotation="0" wrapText="false" indent="0" shrinkToFit="false"/>
      <protection locked="true" hidden="false"/>
    </xf>
    <xf numFmtId="165" fontId="5" fillId="6" borderId="3" xfId="0" applyFont="true" applyBorder="true" applyAlignment="true" applyProtection="true">
      <alignment horizontal="center" vertical="bottom" textRotation="0" wrapText="false" indent="0" shrinkToFit="false"/>
      <protection locked="true" hidden="false"/>
    </xf>
    <xf numFmtId="168" fontId="7" fillId="0" borderId="1" xfId="19" applyFont="true" applyBorder="true" applyAlignment="true" applyProtection="true">
      <alignment horizontal="center" vertical="bottom" textRotation="0" wrapText="false" indent="0" shrinkToFit="false"/>
      <protection locked="true" hidden="false"/>
    </xf>
    <xf numFmtId="166" fontId="7" fillId="0" borderId="3" xfId="19" applyFont="true" applyBorder="true" applyAlignment="true" applyProtection="true">
      <alignment horizontal="center" vertical="bottom" textRotation="0" wrapText="false" indent="0" shrinkToFit="false"/>
      <protection locked="true" hidden="false"/>
    </xf>
    <xf numFmtId="165" fontId="7" fillId="12" borderId="3" xfId="19" applyFont="true" applyBorder="true" applyAlignment="true" applyProtection="true">
      <alignment horizontal="center" vertical="bottom" textRotation="0" wrapText="false" indent="0" shrinkToFit="false"/>
      <protection locked="true" hidden="false"/>
    </xf>
    <xf numFmtId="165" fontId="0" fillId="0" borderId="1" xfId="19" applyFont="true" applyBorder="true" applyAlignment="true" applyProtection="true">
      <alignment horizontal="center" vertical="bottom" textRotation="0" wrapText="false" indent="0" shrinkToFit="false"/>
      <protection locked="true" hidden="false"/>
    </xf>
    <xf numFmtId="168" fontId="0" fillId="0" borderId="0" xfId="19" applyFont="true" applyBorder="true" applyAlignment="true" applyProtection="true">
      <alignment horizontal="general" vertical="bottom" textRotation="0" wrapText="false" indent="0" shrinkToFit="false"/>
      <protection locked="true" hidden="false"/>
    </xf>
    <xf numFmtId="165" fontId="0" fillId="0" borderId="0" xfId="0" applyFont="false" applyBorder="true" applyAlignment="true" applyProtection="true">
      <alignment horizontal="general" vertical="bottom" textRotation="0" wrapText="false" indent="0" shrinkToFit="false"/>
      <protection locked="true" hidden="false"/>
    </xf>
    <xf numFmtId="171" fontId="0" fillId="0" borderId="0" xfId="0" applyFont="false" applyBorder="true" applyAlignment="true" applyProtection="true">
      <alignment horizontal="center" vertical="bottom" textRotation="0" wrapText="false" indent="0" shrinkToFit="false"/>
      <protection locked="true" hidden="false"/>
    </xf>
    <xf numFmtId="171" fontId="0" fillId="0" borderId="0" xfId="0" applyFont="false" applyBorder="true" applyAlignment="true" applyProtection="true">
      <alignment horizontal="general" vertical="bottom" textRotation="0" wrapText="false" indent="0" shrinkToFit="false"/>
      <protection locked="true" hidden="false"/>
    </xf>
    <xf numFmtId="166" fontId="0" fillId="0" borderId="0" xfId="0" applyFont="false" applyBorder="true" applyAlignment="true" applyProtection="true">
      <alignment horizontal="general" vertical="bottom" textRotation="0" wrapText="false" indent="0" shrinkToFit="false"/>
      <protection locked="true" hidden="false"/>
    </xf>
    <xf numFmtId="170" fontId="0" fillId="0" borderId="0" xfId="0" applyFont="false" applyBorder="true" applyAlignment="true" applyProtection="true">
      <alignment horizontal="general" vertical="bottom" textRotation="0" wrapText="false" indent="0" shrinkToFit="false"/>
      <protection locked="true" hidden="false"/>
    </xf>
    <xf numFmtId="164" fontId="18" fillId="6" borderId="0" xfId="0" applyFont="true" applyBorder="true" applyAlignment="true" applyProtection="true">
      <alignment horizontal="center" vertical="bottom" textRotation="0" wrapText="false" indent="0" shrinkToFit="false"/>
      <protection locked="true" hidden="false"/>
    </xf>
    <xf numFmtId="164" fontId="18" fillId="6" borderId="0" xfId="0" applyFont="true" applyBorder="true" applyAlignment="tru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general" vertical="bottom" textRotation="0" wrapText="false" indent="0" shrinkToFit="false"/>
      <protection locked="true" hidden="false"/>
    </xf>
    <xf numFmtId="168" fontId="7" fillId="0" borderId="0" xfId="19" applyFont="true" applyBorder="true" applyAlignment="true" applyProtection="true">
      <alignment horizontal="general" vertical="bottom" textRotation="0" wrapText="false" indent="0" shrinkToFit="false"/>
      <protection locked="true" hidden="false"/>
    </xf>
    <xf numFmtId="165" fontId="7" fillId="0" borderId="0" xfId="0" applyFont="true" applyBorder="true" applyAlignment="tru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center" vertical="bottom" textRotation="0" wrapText="false" indent="0" shrinkToFit="false"/>
      <protection locked="true" hidden="false"/>
    </xf>
    <xf numFmtId="164" fontId="21" fillId="16" borderId="28" xfId="0" applyFont="true" applyBorder="true" applyAlignment="true" applyProtection="true">
      <alignment horizontal="general" vertical="bottom" textRotation="0" wrapText="false" indent="0" shrinkToFit="false"/>
      <protection locked="true" hidden="false"/>
    </xf>
    <xf numFmtId="171" fontId="7" fillId="0" borderId="0" xfId="0" applyFont="true" applyBorder="true" applyAlignment="true" applyProtection="true">
      <alignment horizontal="center" vertical="bottom" textRotation="0" wrapText="false" indent="0" shrinkToFit="false"/>
      <protection locked="true" hidden="false"/>
    </xf>
    <xf numFmtId="171" fontId="7" fillId="0" borderId="0" xfId="0" applyFont="true" applyBorder="true" applyAlignment="true" applyProtection="true">
      <alignment horizontal="general" vertical="bottom" textRotation="0" wrapText="false" indent="0" shrinkToFit="false"/>
      <protection locked="true" hidden="false"/>
    </xf>
    <xf numFmtId="171" fontId="21" fillId="16" borderId="28" xfId="0" applyFont="true" applyBorder="true" applyAlignment="tru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6" fontId="7" fillId="0" borderId="0" xfId="0" applyFont="true" applyBorder="true" applyAlignment="true" applyProtection="true">
      <alignment horizontal="general" vertical="bottom" textRotation="0" wrapText="false" indent="0" shrinkToFit="false"/>
      <protection locked="true" hidden="false"/>
    </xf>
    <xf numFmtId="170" fontId="7" fillId="0" borderId="0" xfId="0" applyFont="true" applyBorder="true" applyAlignment="true" applyProtection="true">
      <alignment horizontal="general" vertical="bottom" textRotation="0" wrapText="false" indent="0" shrinkToFit="false"/>
      <protection locked="true" hidden="false"/>
    </xf>
    <xf numFmtId="170" fontId="5" fillId="0" borderId="0" xfId="0" applyFont="true" applyBorder="true" applyAlignment="true" applyProtection="true">
      <alignment horizontal="center" vertical="bottom" textRotation="0" wrapText="false" indent="0" shrinkToFit="false"/>
      <protection locked="true" hidden="false"/>
    </xf>
    <xf numFmtId="164" fontId="5" fillId="0" borderId="0" xfId="0" applyFont="true" applyBorder="true" applyAlignment="tru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general" vertical="bottom" textRotation="0" wrapText="true" indent="0" shrinkToFit="false"/>
      <protection locked="true" hidden="false"/>
    </xf>
    <xf numFmtId="164" fontId="7" fillId="0" borderId="0" xfId="0" applyFont="true" applyBorder="true" applyAlignment="true" applyProtection="true">
      <alignment horizontal="center" vertical="bottom" textRotation="0" wrapText="true" indent="0" shrinkToFit="false"/>
      <protection locked="true" hidden="false"/>
    </xf>
    <xf numFmtId="167" fontId="22" fillId="17" borderId="0" xfId="0" applyFont="true" applyBorder="true" applyAlignment="true" applyProtection="true">
      <alignment horizontal="general" vertical="bottom" textRotation="0" wrapText="false" indent="0" shrinkToFit="false"/>
      <protection locked="true" hidden="false"/>
    </xf>
    <xf numFmtId="164" fontId="22" fillId="0" borderId="29" xfId="0" applyFont="true" applyBorder="true" applyAlignment="true" applyProtection="true">
      <alignment horizontal="general" vertical="bottom" textRotation="0" wrapText="false" indent="0" shrinkToFit="false"/>
      <protection locked="true" hidden="false"/>
    </xf>
    <xf numFmtId="164" fontId="7" fillId="17" borderId="0" xfId="0" applyFont="true" applyBorder="true" applyAlignment="true" applyProtection="true">
      <alignment horizontal="general" vertical="bottom" textRotation="0" wrapText="false" indent="0" shrinkToFit="false"/>
      <protection locked="true" hidden="false"/>
    </xf>
    <xf numFmtId="171" fontId="7" fillId="17" borderId="0" xfId="0" applyFont="true" applyBorder="true" applyAlignment="true" applyProtection="true">
      <alignment horizontal="center" vertical="bottom" textRotation="0" wrapText="false" indent="0" shrinkToFit="false"/>
      <protection locked="true" hidden="false"/>
    </xf>
    <xf numFmtId="165" fontId="22" fillId="17" borderId="0" xfId="0" applyFont="true" applyBorder="true" applyAlignment="true" applyProtection="true">
      <alignment horizontal="center" vertical="bottom" textRotation="0" wrapText="false" indent="0" shrinkToFit="false"/>
      <protection locked="true" hidden="false"/>
    </xf>
    <xf numFmtId="164" fontId="22" fillId="0" borderId="0" xfId="0" applyFont="true" applyBorder="true" applyAlignment="true" applyProtection="true">
      <alignment horizontal="general" vertical="bottom" textRotation="0" wrapText="false" indent="0" shrinkToFit="false"/>
      <protection locked="true" hidden="false"/>
    </xf>
    <xf numFmtId="164" fontId="23" fillId="0" borderId="30" xfId="0" applyFont="true" applyBorder="true" applyAlignment="true" applyProtection="true">
      <alignment horizontal="general" vertical="center" textRotation="0" wrapText="false" indent="0" shrinkToFit="false"/>
      <protection locked="true" hidden="false"/>
    </xf>
    <xf numFmtId="165" fontId="0" fillId="0" borderId="0" xfId="0" applyFont="false" applyBorder="true" applyAlignment="true" applyProtection="true">
      <alignment horizontal="right" vertical="bottom" textRotation="0" wrapText="false" indent="0" shrinkToFit="false"/>
      <protection locked="true" hidden="false"/>
    </xf>
    <xf numFmtId="170" fontId="7" fillId="0" borderId="0" xfId="0" applyFont="true" applyBorder="true" applyAlignment="true" applyProtection="true">
      <alignment horizontal="center" vertical="bottom" textRotation="0" wrapText="false" indent="0" shrinkToFit="false"/>
      <protection locked="true" hidden="false"/>
    </xf>
    <xf numFmtId="170" fontId="5" fillId="0" borderId="0" xfId="0" applyFont="true" applyBorder="true" applyAlignment="true" applyProtection="true">
      <alignment horizontal="center" vertical="center" textRotation="0" wrapText="false" indent="0" shrinkToFit="false"/>
      <protection locked="true" hidden="false"/>
    </xf>
    <xf numFmtId="166" fontId="5" fillId="0" borderId="0" xfId="0" applyFont="true" applyBorder="true" applyAlignment="true" applyProtection="true">
      <alignment horizontal="center" vertical="center" textRotation="0" wrapText="false" indent="0" shrinkToFit="false"/>
      <protection locked="true" hidden="false"/>
    </xf>
    <xf numFmtId="165" fontId="5" fillId="0" borderId="0"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true" applyAlignment="true" applyProtection="true">
      <alignment horizontal="center" vertical="center" textRotation="0" wrapText="false" indent="0" shrinkToFit="false"/>
      <protection locked="true" hidden="false"/>
    </xf>
    <xf numFmtId="164" fontId="5" fillId="0" borderId="0" xfId="0" applyFont="true" applyBorder="true" applyAlignment="true" applyProtection="true">
      <alignment horizontal="left" vertical="center" textRotation="0" wrapText="false" indent="0" shrinkToFit="false"/>
      <protection locked="true" hidden="false"/>
    </xf>
    <xf numFmtId="167" fontId="22" fillId="0" borderId="31" xfId="0" applyFont="true" applyBorder="true" applyAlignment="true" applyProtection="true">
      <alignment horizontal="general" vertical="bottom" textRotation="0" wrapText="false" indent="0" shrinkToFit="false"/>
      <protection locked="true" hidden="false"/>
    </xf>
    <xf numFmtId="165" fontId="22" fillId="0" borderId="0" xfId="0" applyFont="true" applyBorder="true" applyAlignment="true" applyProtection="true">
      <alignment horizontal="center" vertical="bottom" textRotation="0" wrapText="false" indent="0" shrinkToFit="false"/>
      <protection locked="true" hidden="false"/>
    </xf>
    <xf numFmtId="168" fontId="7" fillId="0" borderId="0" xfId="0" applyFont="true" applyBorder="true" applyAlignment="true" applyProtection="true">
      <alignment horizontal="general" vertical="bottom" textRotation="0" wrapText="false" indent="0" shrinkToFit="false"/>
      <protection locked="true" hidden="false"/>
    </xf>
    <xf numFmtId="170" fontId="0" fillId="0" borderId="0" xfId="0" applyFont="false" applyBorder="true" applyAlignment="true" applyProtection="true">
      <alignment horizontal="center" vertical="bottom" textRotation="0" wrapText="false" indent="0" shrinkToFit="false"/>
      <protection locked="true" hidden="false"/>
    </xf>
    <xf numFmtId="165" fontId="7" fillId="0" borderId="0" xfId="19" applyFont="true" applyBorder="true" applyAlignment="true" applyProtection="true">
      <alignment horizontal="general" vertical="bottom" textRotation="0" wrapText="false" indent="0" shrinkToFit="false"/>
      <protection locked="true" hidden="false"/>
    </xf>
    <xf numFmtId="168" fontId="0" fillId="0" borderId="0" xfId="0" applyFont="false" applyBorder="true" applyAlignment="true" applyProtection="true">
      <alignment horizontal="general" vertical="bottom" textRotation="0" wrapText="false" indent="0" shrinkToFit="false"/>
      <protection locked="true" hidden="false"/>
    </xf>
    <xf numFmtId="164" fontId="22" fillId="0" borderId="32" xfId="0" applyFont="true" applyBorder="true" applyAlignment="true" applyProtection="true">
      <alignment horizontal="general" vertical="bottom" textRotation="0" wrapText="false" indent="0" shrinkToFit="false"/>
      <protection locked="true" hidden="false"/>
    </xf>
    <xf numFmtId="170" fontId="0" fillId="0" borderId="0" xfId="0" applyFont="false" applyBorder="true" applyAlignment="true" applyProtection="true">
      <alignment horizontal="left"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s>
  <dxfs count="14">
    <dxf>
      <font>
        <b val="1"/>
        <i val="0"/>
        <color rgb="FF843C0B"/>
      </font>
      <fill>
        <patternFill>
          <bgColor theme="5" tint="0.7999"/>
        </patternFill>
      </fill>
    </dxf>
    <dxf>
      <font>
        <b val="1"/>
        <i val="0"/>
        <color rgb="FFFFFFFF"/>
      </font>
      <fill>
        <patternFill>
          <bgColor rgb="FFFF0000"/>
        </patternFill>
      </fill>
    </dxf>
    <dxf>
      <font>
        <b val="1"/>
        <i val="0"/>
        <color rgb="FFFFFFFF"/>
      </font>
      <fill>
        <patternFill>
          <bgColor rgb="FFFF0000"/>
        </patternFill>
      </fill>
    </dxf>
    <dxf>
      <font>
        <color rgb="FFC00000"/>
      </font>
    </dxf>
    <dxf>
      <fill>
        <patternFill patternType="solid">
          <fgColor rgb="FFFFFFFF"/>
          <bgColor rgb="FF000000"/>
        </patternFill>
      </fill>
    </dxf>
    <dxf>
      <fill>
        <patternFill patternType="solid">
          <bgColor rgb="FF000000"/>
        </patternFill>
      </fill>
    </dxf>
    <dxf>
      <fill>
        <patternFill patternType="solid">
          <fgColor rgb="FFFBE5D6"/>
          <bgColor rgb="FF000000"/>
        </patternFill>
      </fill>
    </dxf>
    <dxf>
      <fill>
        <patternFill patternType="solid">
          <fgColor rgb="FFFFF2CC"/>
          <bgColor rgb="FF000000"/>
        </patternFill>
      </fill>
    </dxf>
    <dxf>
      <fill>
        <patternFill patternType="solid">
          <fgColor rgb="FF92D050"/>
          <bgColor rgb="FF000000"/>
        </patternFill>
      </fill>
    </dxf>
    <dxf>
      <fill>
        <patternFill patternType="solid">
          <fgColor rgb="FFDAE3F3"/>
          <bgColor rgb="FF000000"/>
        </patternFill>
      </fill>
    </dxf>
    <dxf>
      <fill>
        <patternFill patternType="solid">
          <fgColor rgb="FFBABABA"/>
          <bgColor rgb="FF000000"/>
        </patternFill>
      </fill>
    </dxf>
    <dxf>
      <fill>
        <patternFill patternType="solid">
          <fgColor rgb="FF595959"/>
          <bgColor rgb="FF000000"/>
        </patternFill>
      </fill>
    </dxf>
    <dxf>
      <fill>
        <patternFill patternType="solid">
          <fgColor rgb="FF000000"/>
          <bgColor rgb="FF000000"/>
        </patternFill>
      </fill>
    </dxf>
    <dxf>
      <fill>
        <patternFill patternType="solid">
          <fgColor rgb="FFD9D9D9"/>
          <bgColor rgb="FF000000"/>
        </patternFill>
      </fill>
    </dxf>
  </dxfs>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8080"/>
      <rgbColor rgb="FFBABABA"/>
      <rgbColor rgb="FF808080"/>
      <rgbColor rgb="FF8FAADC"/>
      <rgbColor rgb="FF993366"/>
      <rgbColor rgb="FFFFF2CC"/>
      <rgbColor rgb="FFDAE3F3"/>
      <rgbColor rgb="FF660066"/>
      <rgbColor rgb="FFFF8080"/>
      <rgbColor rgb="FF0066CC"/>
      <rgbColor rgb="FFD0D7E5"/>
      <rgbColor rgb="FF000080"/>
      <rgbColor rgb="FFFF00FF"/>
      <rgbColor rgb="FFFFFF00"/>
      <rgbColor rgb="FF00FFFF"/>
      <rgbColor rgb="FF800080"/>
      <rgbColor rgb="FF800000"/>
      <rgbColor rgb="FF008080"/>
      <rgbColor rgb="FF0000FF"/>
      <rgbColor rgb="FF00CCFF"/>
      <rgbColor rgb="FFEDEDED"/>
      <rgbColor rgb="FFE2F0D9"/>
      <rgbColor rgb="FFDDDDDD"/>
      <rgbColor rgb="FFCACACA"/>
      <rgbColor rgb="FFFF99CC"/>
      <rgbColor rgb="FFD9D9D9"/>
      <rgbColor rgb="FFFBE5D6"/>
      <rgbColor rgb="FF4472C4"/>
      <rgbColor rgb="FF33CCCC"/>
      <rgbColor rgb="FF92D050"/>
      <rgbColor rgb="FFFFCC00"/>
      <rgbColor rgb="FFFF9900"/>
      <rgbColor rgb="FFFF6600"/>
      <rgbColor rgb="FF595959"/>
      <rgbColor rgb="FF969696"/>
      <rgbColor rgb="FF003366"/>
      <rgbColor rgb="FF339966"/>
      <rgbColor rgb="FF003300"/>
      <rgbColor rgb="FF333300"/>
      <rgbColor rgb="FF843C0B"/>
      <rgbColor rgb="FF993366"/>
      <rgbColor rgb="FF333399"/>
      <rgbColor rgb="FF38562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
</Relationships>
</file>

<file path=xl/tables/table1.xml><?xml version="1.0" encoding="utf-8"?>
<table xmlns="http://schemas.openxmlformats.org/spreadsheetml/2006/main" id="1" name="Chest" displayName="Chest" ref="BT2:BZ12" headerRowCount="1" totalsRowCount="0" totalsRowShown="0">
  <autoFilter ref="BT2:BZ12"/>
  <tableColumns count="7">
    <tableColumn id="1" name="Logos"/>
    <tableColumn id="2" name="Order"/>
    <tableColumn id="3" name="Display"/>
    <tableColumn id="4" name="Code"/>
    <tableColumn id="5" name="Pct"/>
    <tableColumn id="6" name="Flat"/>
    <tableColumn id="7" name="Use"/>
  </tableColumns>
</table>
</file>

<file path=xl/tables/table10.xml><?xml version="1.0" encoding="utf-8"?>
<table xmlns="http://schemas.openxmlformats.org/spreadsheetml/2006/main" id="10" name="CustomerGroup" displayName="CustomerGroup" ref="EN2:EX20" headerRowCount="1" totalsRowCount="0" totalsRowShown="0">
  <autoFilter ref="EN2:EX20"/>
  <tableColumns count="11">
    <tableColumn id="1" name="Customer Groups"/>
    <tableColumn id="2" name="Order Discount"/>
    <tableColumn id="3" name="Base Price Discount"/>
    <tableColumn id="4" name="Free Name"/>
    <tableColumn id="5" name="Free Collar"/>
    <tableColumn id="6" name="Free Logo"/>
    <tableColumn id="7" name="Free Coaches Jersey"/>
    <tableColumn id="8" name="Free Express Production"/>
    <tableColumn id="9" name="Bulk Entry Discount"/>
    <tableColumn id="10" name="Free Shipping"/>
    <tableColumn id="11" name="Set Price"/>
  </tableColumns>
</table>
</file>

<file path=xl/tables/table11.xml><?xml version="1.0" encoding="utf-8"?>
<table xmlns="http://schemas.openxmlformats.org/spreadsheetml/2006/main" id="11" name="CustomerGroup40" displayName="CustomerGroup40" ref="EN2:EX20" headerRowCount="1" totalsRowCount="0" totalsRowShown="0">
  <autoFilter ref="EN2:EX20"/>
  <tableColumns count="11">
    <tableColumn id="1" name="Customer Groups"/>
    <tableColumn id="2" name="Order Discount"/>
    <tableColumn id="3" name="Base Price Discount"/>
    <tableColumn id="4" name="Free Name"/>
    <tableColumn id="5" name="Free Collar"/>
    <tableColumn id="6" name="Free Logo"/>
    <tableColumn id="7" name="Free Coaches Jersey"/>
    <tableColumn id="8" name="Free Express Production"/>
    <tableColumn id="9" name="Bulk Entry Discount"/>
    <tableColumn id="10" name="Free Shipping"/>
    <tableColumn id="11" name="Set Price"/>
  </tableColumns>
</table>
</file>

<file path=xl/tables/table12.xml><?xml version="1.0" encoding="utf-8"?>
<table xmlns="http://schemas.openxmlformats.org/spreadsheetml/2006/main" id="12" name="CustomerGroup4063" displayName="CustomerGroup4063" ref="EN2:EX20" headerRowCount="1" totalsRowCount="0" totalsRowShown="0">
  <autoFilter ref="EN2:EX20"/>
  <tableColumns count="11">
    <tableColumn id="1" name="Customer Groups"/>
    <tableColumn id="2" name="Order Discount"/>
    <tableColumn id="3" name="Base Price Discount"/>
    <tableColumn id="4" name="Free Name"/>
    <tableColumn id="5" name="Free Collar"/>
    <tableColumn id="6" name="Free Logo"/>
    <tableColumn id="7" name="Free Coaches Jersey"/>
    <tableColumn id="8" name="Free Express Production"/>
    <tableColumn id="9" name="Bulk Entry Discount"/>
    <tableColumn id="10" name="Free Shipping"/>
    <tableColumn id="11" name="Set Price"/>
  </tableColumns>
</table>
</file>

<file path=xl/tables/table13.xml><?xml version="1.0" encoding="utf-8"?>
<table xmlns="http://schemas.openxmlformats.org/spreadsheetml/2006/main" id="13" name="Cut" displayName="Cut" ref="E2:I6" headerRowCount="1" totalsRowCount="0" totalsRowShown="0">
  <autoFilter ref="E2:I6"/>
  <tableColumns count="5">
    <tableColumn id="1" name="Display"/>
    <tableColumn id="2" name="Code"/>
    <tableColumn id="3" name="Price"/>
    <tableColumn id="4" name="Cut"/>
    <tableColumn id="5" name="Line"/>
  </tableColumns>
</table>
</file>

<file path=xl/tables/table14.xml><?xml version="1.0" encoding="utf-8"?>
<table xmlns="http://schemas.openxmlformats.org/spreadsheetml/2006/main" id="14" name="Cut_20" displayName="Cut_20" ref="E2:I6" headerRowCount="1" totalsRowCount="0" totalsRowShown="0">
  <autoFilter ref="E2:I6"/>
  <tableColumns count="5">
    <tableColumn id="1" name="Display"/>
    <tableColumn id="2" name="Code"/>
    <tableColumn id="3" name="Price"/>
    <tableColumn id="4" name="Cut"/>
    <tableColumn id="5" name="Line"/>
  </tableColumns>
</table>
</file>

<file path=xl/tables/table15.xml><?xml version="1.0" encoding="utf-8"?>
<table xmlns="http://schemas.openxmlformats.org/spreadsheetml/2006/main" id="15" name="Cut_2050" displayName="Cut_2050" ref="E2:I6" headerRowCount="1" totalsRowCount="0" totalsRowShown="0">
  <autoFilter ref="E2:I6"/>
  <tableColumns count="5">
    <tableColumn id="1" name="Display"/>
    <tableColumn id="2" name="Code"/>
    <tableColumn id="3" name="Price"/>
    <tableColumn id="4" name="Cut"/>
    <tableColumn id="5" name="Line"/>
  </tableColumns>
</table>
</file>

<file path=xl/tables/table16.xml><?xml version="1.0" encoding="utf-8"?>
<table xmlns="http://schemas.openxmlformats.org/spreadsheetml/2006/main" id="16" name="Day" displayName="Day" ref="DR2:DS9" headerRowCount="1" totalsRowCount="0" totalsRowShown="0">
  <autoFilter ref="DR2:DS9"/>
  <tableColumns count="2">
    <tableColumn id="1" name="Weekday"/>
    <tableColumn id="2" name="Day of Week"/>
  </tableColumns>
</table>
</file>

<file path=xl/tables/table17.xml><?xml version="1.0" encoding="utf-8"?>
<table xmlns="http://schemas.openxmlformats.org/spreadsheetml/2006/main" id="17" name="Day_43" displayName="Day_43" ref="DR2:DS9" headerRowCount="1" totalsRowCount="0" totalsRowShown="0">
  <autoFilter ref="DR2:DS9"/>
  <tableColumns count="2">
    <tableColumn id="1" name="Weekday"/>
    <tableColumn id="2" name="Day of Week"/>
  </tableColumns>
</table>
</file>

<file path=xl/tables/table18.xml><?xml version="1.0" encoding="utf-8"?>
<table xmlns="http://schemas.openxmlformats.org/spreadsheetml/2006/main" id="18" name="Day_4366" displayName="Day_4366" ref="DR2:DS9" headerRowCount="1" totalsRowCount="0" totalsRowShown="0">
  <autoFilter ref="DR2:DS9"/>
  <tableColumns count="2">
    <tableColumn id="1" name="Weekday"/>
    <tableColumn id="2" name="Day of Week"/>
  </tableColumns>
</table>
</file>

<file path=xl/tables/table19.xml><?xml version="1.0" encoding="utf-8"?>
<table xmlns="http://schemas.openxmlformats.org/spreadsheetml/2006/main" id="19" name="Font" displayName="Font" ref="CY2:DA8" headerRowCount="1" totalsRowCount="0" totalsRowShown="0">
  <autoFilter ref="CY2:DA8"/>
  <tableColumns count="3">
    <tableColumn id="1" name="Font"/>
    <tableColumn id="2" name="Code"/>
    <tableColumn id="3" name="Price"/>
  </tableColumns>
</table>
</file>

<file path=xl/tables/table2.xml><?xml version="1.0" encoding="utf-8"?>
<table xmlns="http://schemas.openxmlformats.org/spreadsheetml/2006/main" id="2" name="Chest37" displayName="Chest37" ref="BT2:BZ12" headerRowCount="1" totalsRowCount="0" totalsRowShown="0">
  <autoFilter ref="BT2:BZ12"/>
  <tableColumns count="7">
    <tableColumn id="1" name="Logos"/>
    <tableColumn id="2" name="Order"/>
    <tableColumn id="3" name="Display"/>
    <tableColumn id="4" name="Code"/>
    <tableColumn id="5" name="Pct"/>
    <tableColumn id="6" name="Flat"/>
    <tableColumn id="7" name="Use"/>
  </tableColumns>
</table>
</file>

<file path=xl/tables/table20.xml><?xml version="1.0" encoding="utf-8"?>
<table xmlns="http://schemas.openxmlformats.org/spreadsheetml/2006/main" id="20" name="Font38" displayName="Font38" ref="CY2:DA8" headerRowCount="1" totalsRowCount="0" totalsRowShown="0">
  <autoFilter ref="CY2:DA8"/>
  <tableColumns count="3">
    <tableColumn id="1" name="Font"/>
    <tableColumn id="2" name="Code"/>
    <tableColumn id="3" name="Price"/>
  </tableColumns>
</table>
</file>

<file path=xl/tables/table21.xml><?xml version="1.0" encoding="utf-8"?>
<table xmlns="http://schemas.openxmlformats.org/spreadsheetml/2006/main" id="21" name="Font3861" displayName="Font3861" ref="CY2:DA8" headerRowCount="1" totalsRowCount="0" totalsRowShown="0">
  <autoFilter ref="CY2:DA8"/>
  <tableColumns count="3">
    <tableColumn id="1" name="Font"/>
    <tableColumn id="2" name="Code"/>
    <tableColumn id="3" name="Price"/>
  </tableColumns>
</table>
</file>

<file path=xl/tables/table22.xml><?xml version="1.0" encoding="utf-8"?>
<table xmlns="http://schemas.openxmlformats.org/spreadsheetml/2006/main" id="22" name="Holidays" displayName="Holidays" ref="DX2:DZ11" headerRowCount="1" totalsRowCount="0" totalsRowShown="0">
  <autoFilter ref="DX2:DZ11"/>
  <tableColumns count="3">
    <tableColumn id="1" name="Holiday"/>
    <tableColumn id="2" name="Shipping Service"/>
    <tableColumn id="3" name="Details"/>
  </tableColumns>
</table>
</file>

<file path=xl/tables/table23.xml><?xml version="1.0" encoding="utf-8"?>
<table xmlns="http://schemas.openxmlformats.org/spreadsheetml/2006/main" id="23" name="Holidays45" displayName="Holidays45" ref="DX2:DZ11" headerRowCount="1" totalsRowCount="0" totalsRowShown="0">
  <autoFilter ref="DX2:DZ11"/>
  <tableColumns count="3">
    <tableColumn id="1" name="Holiday"/>
    <tableColumn id="2" name="Shipping Service"/>
    <tableColumn id="3" name="Details"/>
  </tableColumns>
</table>
</file>

<file path=xl/tables/table24.xml><?xml version="1.0" encoding="utf-8"?>
<table xmlns="http://schemas.openxmlformats.org/spreadsheetml/2006/main" id="24" name="Holidays4568" displayName="Holidays4568" ref="DX2:DZ11" headerRowCount="1" totalsRowCount="0" totalsRowShown="0">
  <autoFilter ref="DX2:DZ11"/>
  <tableColumns count="3">
    <tableColumn id="1" name="Holiday"/>
    <tableColumn id="2" name="Shipping Service"/>
    <tableColumn id="3" name="Details"/>
  </tableColumns>
</table>
</file>

<file path=xl/tables/table25.xml><?xml version="1.0" encoding="utf-8"?>
<table xmlns="http://schemas.openxmlformats.org/spreadsheetml/2006/main" id="25" name="IHD_Calc" displayName="IHD_Calc" ref="EB2:EL13" headerRowCount="1" totalsRowCount="0" totalsRowShown="0">
  <autoFilter ref="EB2:EL13"/>
  <tableColumns count="11">
    <tableColumn id="1" name="Order Date"/>
    <tableColumn id="2" name="Days"/>
    <tableColumn id="3" name="Approval Date"/>
    <tableColumn id="4" name="Est Order Date"/>
    <tableColumn id="5" name="Production Priority"/>
    <tableColumn id="6" name="In Transit"/>
    <tableColumn id="7" name="Est Ship Date"/>
    <tableColumn id="8" name="Delivery Date"/>
    <tableColumn id="9" name="Shipping"/>
    <tableColumn id="10" name="Production"/>
    <tableColumn id="11" name="Description"/>
  </tableColumns>
</table>
</file>

<file path=xl/tables/table26.xml><?xml version="1.0" encoding="utf-8"?>
<table xmlns="http://schemas.openxmlformats.org/spreadsheetml/2006/main" id="26" name="IHD_Calc47" displayName="IHD_Calc47" ref="EB2:EL13" headerRowCount="1" totalsRowCount="0" totalsRowShown="0">
  <autoFilter ref="EB2:EL13"/>
  <tableColumns count="11">
    <tableColumn id="1" name="Order Date"/>
    <tableColumn id="2" name="Days"/>
    <tableColumn id="3" name="Approval Date"/>
    <tableColumn id="4" name="Est Order Date"/>
    <tableColumn id="5" name="Production Priority"/>
    <tableColumn id="6" name="In Transit"/>
    <tableColumn id="7" name="Est Ship Date"/>
    <tableColumn id="8" name="Delivery Date"/>
    <tableColumn id="9" name="Shipping"/>
    <tableColumn id="10" name="Production"/>
    <tableColumn id="11" name="Description"/>
  </tableColumns>
</table>
</file>

<file path=xl/tables/table27.xml><?xml version="1.0" encoding="utf-8"?>
<table xmlns="http://schemas.openxmlformats.org/spreadsheetml/2006/main" id="27" name="IHD_Calc4770" displayName="IHD_Calc4770" ref="EB2:EL13" headerRowCount="1" totalsRowCount="0" totalsRowShown="0">
  <autoFilter ref="EB2:EL13"/>
  <tableColumns count="11">
    <tableColumn id="1" name="Order Date"/>
    <tableColumn id="2" name="Days"/>
    <tableColumn id="3" name="Approval Date"/>
    <tableColumn id="4" name="Est Order Date"/>
    <tableColumn id="5" name="Production Priority"/>
    <tableColumn id="6" name="In Transit"/>
    <tableColumn id="7" name="Est Ship Date"/>
    <tableColumn id="8" name="Delivery Date"/>
    <tableColumn id="9" name="Shipping"/>
    <tableColumn id="10" name="Production"/>
    <tableColumn id="11" name="Description"/>
  </tableColumns>
</table>
</file>

<file path=xl/tables/table28.xml><?xml version="1.0" encoding="utf-8"?>
<table xmlns="http://schemas.openxmlformats.org/spreadsheetml/2006/main" id="28" name="LeftSleeve" displayName="LeftSleeve" ref="CB2:CH15" headerRowCount="1" totalsRowCount="0" totalsRowShown="0">
  <autoFilter ref="CB2:CH15"/>
  <tableColumns count="7">
    <tableColumn id="1" name="Logos"/>
    <tableColumn id="2" name="Order"/>
    <tableColumn id="3" name="Display"/>
    <tableColumn id="4" name="Code"/>
    <tableColumn id="5" name="Pct"/>
    <tableColumn id="6" name="Flat"/>
    <tableColumn id="7" name="Use"/>
  </tableColumns>
</table>
</file>

<file path=xl/tables/table29.xml><?xml version="1.0" encoding="utf-8"?>
<table xmlns="http://schemas.openxmlformats.org/spreadsheetml/2006/main" id="29" name="LeftSleeve39" displayName="LeftSleeve39" ref="CB2:CH15" headerRowCount="1" totalsRowCount="0" totalsRowShown="0">
  <autoFilter ref="CB2:CH15"/>
  <tableColumns count="7">
    <tableColumn id="1" name="Logos"/>
    <tableColumn id="2" name="Order"/>
    <tableColumn id="3" name="Display"/>
    <tableColumn id="4" name="Code"/>
    <tableColumn id="5" name="Pct"/>
    <tableColumn id="6" name="Flat"/>
    <tableColumn id="7" name="Use"/>
  </tableColumns>
</table>
</file>

<file path=xl/tables/table3.xml><?xml version="1.0" encoding="utf-8"?>
<table xmlns="http://schemas.openxmlformats.org/spreadsheetml/2006/main" id="3" name="Chest3760" displayName="Chest3760" ref="BT2:BZ12" headerRowCount="1" totalsRowCount="0" totalsRowShown="0">
  <autoFilter ref="BT2:BZ12"/>
  <tableColumns count="7">
    <tableColumn id="1" name="Logos"/>
    <tableColumn id="2" name="Order"/>
    <tableColumn id="3" name="Display"/>
    <tableColumn id="4" name="Code"/>
    <tableColumn id="5" name="Pct"/>
    <tableColumn id="6" name="Flat"/>
    <tableColumn id="7" name="Use"/>
  </tableColumns>
</table>
</file>

<file path=xl/tables/table30.xml><?xml version="1.0" encoding="utf-8"?>
<table xmlns="http://schemas.openxmlformats.org/spreadsheetml/2006/main" id="30" name="LeftSleeve3962" displayName="LeftSleeve3962" ref="CB2:CH15" headerRowCount="1" totalsRowCount="0" totalsRowShown="0">
  <autoFilter ref="CB2:CH15"/>
  <tableColumns count="7">
    <tableColumn id="1" name="Logos"/>
    <tableColumn id="2" name="Order"/>
    <tableColumn id="3" name="Display"/>
    <tableColumn id="4" name="Code"/>
    <tableColumn id="5" name="Pct"/>
    <tableColumn id="6" name="Flat"/>
    <tableColumn id="7" name="Use"/>
  </tableColumns>
</table>
</file>

<file path=xl/tables/table31.xml><?xml version="1.0" encoding="utf-8"?>
<table xmlns="http://schemas.openxmlformats.org/spreadsheetml/2006/main" id="31" name="Length" displayName="Length" ref="BG2:BJ5" headerRowCount="1" totalsRowCount="0" totalsRowShown="0">
  <autoFilter ref="BG2:BJ5"/>
  <tableColumns count="4">
    <tableColumn id="1" name="Length"/>
    <tableColumn id="2" name="Display"/>
    <tableColumn id="3" name="Code"/>
    <tableColumn id="4" name="Price"/>
  </tableColumns>
</table>
</file>

<file path=xl/tables/table32.xml><?xml version="1.0" encoding="utf-8"?>
<table xmlns="http://schemas.openxmlformats.org/spreadsheetml/2006/main" id="32" name="Length29" displayName="Length29" ref="BG2:BJ5" headerRowCount="1" totalsRowCount="0" totalsRowShown="0">
  <autoFilter ref="BG2:BJ5"/>
  <tableColumns count="4">
    <tableColumn id="1" name="Length"/>
    <tableColumn id="2" name="Display"/>
    <tableColumn id="3" name="Code"/>
    <tableColumn id="4" name="Price"/>
  </tableColumns>
</table>
</file>

<file path=xl/tables/table33.xml><?xml version="1.0" encoding="utf-8"?>
<table xmlns="http://schemas.openxmlformats.org/spreadsheetml/2006/main" id="33" name="Length2952" displayName="Length2952" ref="BG2:BJ5" headerRowCount="1" totalsRowCount="0" totalsRowShown="0">
  <autoFilter ref="BG2:BJ5"/>
  <tableColumns count="4">
    <tableColumn id="1" name="Length"/>
    <tableColumn id="2" name="Display"/>
    <tableColumn id="3" name="Code"/>
    <tableColumn id="4" name="Price"/>
  </tableColumns>
</table>
</file>

<file path=xl/tables/table34.xml><?xml version="1.0" encoding="utf-8"?>
<table xmlns="http://schemas.openxmlformats.org/spreadsheetml/2006/main" id="34" name="Logos" displayName="Logos" ref="BL2:BR23" headerRowCount="1" totalsRowCount="0" totalsRowShown="0">
  <autoFilter ref="BL2:BR23"/>
  <tableColumns count="7">
    <tableColumn id="1" name="Logos"/>
    <tableColumn id="2" name="Order"/>
    <tableColumn id="3" name="Display"/>
    <tableColumn id="4" name="Code"/>
    <tableColumn id="5" name="Pct"/>
    <tableColumn id="6" name="Flat"/>
    <tableColumn id="7" name="Use"/>
  </tableColumns>
</table>
</file>

<file path=xl/tables/table35.xml><?xml version="1.0" encoding="utf-8"?>
<table xmlns="http://schemas.openxmlformats.org/spreadsheetml/2006/main" id="35" name="Logos31" displayName="Logos31" ref="BL2:BR23" headerRowCount="1" totalsRowCount="0" totalsRowShown="0">
  <autoFilter ref="BL2:BR23"/>
  <tableColumns count="7">
    <tableColumn id="1" name="Logos"/>
    <tableColumn id="2" name="Order"/>
    <tableColumn id="3" name="Display"/>
    <tableColumn id="4" name="Code"/>
    <tableColumn id="5" name="Pct"/>
    <tableColumn id="6" name="Flat"/>
    <tableColumn id="7" name="Use"/>
  </tableColumns>
</table>
</file>

<file path=xl/tables/table36.xml><?xml version="1.0" encoding="utf-8"?>
<table xmlns="http://schemas.openxmlformats.org/spreadsheetml/2006/main" id="36" name="Logos3154" displayName="Logos3154" ref="BL2:BR23" headerRowCount="1" totalsRowCount="0" totalsRowShown="0">
  <autoFilter ref="BL2:BR23"/>
  <tableColumns count="7">
    <tableColumn id="1" name="Logos"/>
    <tableColumn id="2" name="Order"/>
    <tableColumn id="3" name="Display"/>
    <tableColumn id="4" name="Code"/>
    <tableColumn id="5" name="Pct"/>
    <tableColumn id="6" name="Flat"/>
    <tableColumn id="7" name="Use"/>
  </tableColumns>
</table>
</file>

<file path=xl/tables/table37.xml><?xml version="1.0" encoding="utf-8"?>
<table xmlns="http://schemas.openxmlformats.org/spreadsheetml/2006/main" id="37" name="Name" displayName="Name" ref="CR2:CS3" headerRowCount="1" totalsRowCount="0" totalsRowShown="0">
  <autoFilter ref="CR2:CS3"/>
  <tableColumns count="2">
    <tableColumn id="1" name="Name"/>
    <tableColumn id="2" name="Price"/>
  </tableColumns>
</table>
</file>

<file path=xl/tables/table38.xml><?xml version="1.0" encoding="utf-8"?>
<table xmlns="http://schemas.openxmlformats.org/spreadsheetml/2006/main" id="38" name="Name34" displayName="Name34" ref="CR2:CS3" headerRowCount="1" totalsRowCount="0" totalsRowShown="0">
  <autoFilter ref="CR2:CS3"/>
  <tableColumns count="2">
    <tableColumn id="1" name="Name"/>
    <tableColumn id="2" name="Price"/>
  </tableColumns>
</table>
</file>

<file path=xl/tables/table39.xml><?xml version="1.0" encoding="utf-8"?>
<table xmlns="http://schemas.openxmlformats.org/spreadsheetml/2006/main" id="39" name="Name3457" displayName="Name3457" ref="CR2:CS3" headerRowCount="1" totalsRowCount="0" totalsRowShown="0">
  <autoFilter ref="CR2:CS3"/>
  <tableColumns count="2">
    <tableColumn id="1" name="Name"/>
    <tableColumn id="2" name="Price"/>
  </tableColumns>
</table>
</file>

<file path=xl/tables/table4.xml><?xml version="1.0" encoding="utf-8"?>
<table xmlns="http://schemas.openxmlformats.org/spreadsheetml/2006/main" id="4" name="Collar" displayName="Collar" ref="AF2:AM38" headerRowCount="1" totalsRowCount="0" totalsRowShown="0">
  <autoFilter ref="AF2:AM38"/>
  <tableColumns count="8">
    <tableColumn id="1" name="Collar"/>
    <tableColumn id="2" name="Order"/>
    <tableColumn id="3" name="Display"/>
    <tableColumn id="4" name="Code"/>
    <tableColumn id="5" name="Price"/>
    <tableColumn id="6" name="Sleeve"/>
    <tableColumn id="7" name="Collection"/>
    <tableColumn id="8" name="C&amp;S"/>
  </tableColumns>
</table>
</file>

<file path=xl/tables/table40.xml><?xml version="1.0" encoding="utf-8"?>
<table xmlns="http://schemas.openxmlformats.org/spreadsheetml/2006/main" id="40" name="NameDirection" displayName="NameDirection" ref="CW2:CW4" headerRowCount="1" totalsRowCount="0" totalsRowShown="0">
  <autoFilter ref="CW2:CW4"/>
  <tableColumns count="1">
    <tableColumn id="1" name="Name Direction"/>
  </tableColumns>
</table>
</file>

<file path=xl/tables/table41.xml><?xml version="1.0" encoding="utf-8"?>
<table xmlns="http://schemas.openxmlformats.org/spreadsheetml/2006/main" id="41" name="NameDirection33" displayName="NameDirection33" ref="CW2:CW4" headerRowCount="1" totalsRowCount="0" totalsRowShown="0">
  <autoFilter ref="CW2:CW4"/>
  <tableColumns count="1">
    <tableColumn id="1" name="Name Direction"/>
  </tableColumns>
</table>
</file>

<file path=xl/tables/table42.xml><?xml version="1.0" encoding="utf-8"?>
<table xmlns="http://schemas.openxmlformats.org/spreadsheetml/2006/main" id="42" name="NameDirection3356" displayName="NameDirection3356" ref="CW2:CW4" headerRowCount="1" totalsRowCount="0" totalsRowShown="0">
  <autoFilter ref="CW2:CW4"/>
  <tableColumns count="1">
    <tableColumn id="1" name="Name Direction"/>
  </tableColumns>
</table>
</file>

<file path=xl/tables/table43.xml><?xml version="1.0" encoding="utf-8"?>
<table xmlns="http://schemas.openxmlformats.org/spreadsheetml/2006/main" id="43" name="NameLines" displayName="NameLines" ref="CU2:CU4" headerRowCount="1" totalsRowCount="0" totalsRowShown="0">
  <autoFilter ref="CU2:CU4"/>
  <tableColumns count="1">
    <tableColumn id="1" name="Lines for Name"/>
  </tableColumns>
</table>
</file>

<file path=xl/tables/table44.xml><?xml version="1.0" encoding="utf-8"?>
<table xmlns="http://schemas.openxmlformats.org/spreadsheetml/2006/main" id="44" name="NameLines46" displayName="NameLines46" ref="CU2:CU4" headerRowCount="1" totalsRowCount="0" totalsRowShown="0">
  <autoFilter ref="CU2:CU4"/>
  <tableColumns count="1">
    <tableColumn id="1" name="Lines for Name"/>
  </tableColumns>
</table>
</file>

<file path=xl/tables/table45.xml><?xml version="1.0" encoding="utf-8"?>
<table xmlns="http://schemas.openxmlformats.org/spreadsheetml/2006/main" id="45" name="NameLines4669" displayName="NameLines4669" ref="CU2:CU4" headerRowCount="1" totalsRowCount="0" totalsRowShown="0">
  <autoFilter ref="CU2:CU4"/>
  <tableColumns count="1">
    <tableColumn id="1" name="Lines for Name"/>
  </tableColumns>
</table>
</file>

<file path=xl/tables/table46.xml><?xml version="1.0" encoding="utf-8"?>
<table xmlns="http://schemas.openxmlformats.org/spreadsheetml/2006/main" id="46" name="Price" displayName="Price" ref="A2:C7" headerRowCount="1" totalsRowCount="0" totalsRowShown="0">
  <autoFilter ref="A2:C7"/>
  <tableColumns count="3">
    <tableColumn id="1" name="Quantity"/>
    <tableColumn id="2" name="Discount"/>
    <tableColumn id="3" name="Cost"/>
  </tableColumns>
</table>
</file>

<file path=xl/tables/table47.xml><?xml version="1.0" encoding="utf-8"?>
<table xmlns="http://schemas.openxmlformats.org/spreadsheetml/2006/main" id="47" name="Price30" displayName="Price30" ref="A2:C7" headerRowCount="1" totalsRowCount="0" totalsRowShown="0">
  <autoFilter ref="A2:C7"/>
  <tableColumns count="3">
    <tableColumn id="1" name="Quantity"/>
    <tableColumn id="2" name="Discount"/>
    <tableColumn id="3" name="Cost"/>
  </tableColumns>
</table>
</file>

<file path=xl/tables/table48.xml><?xml version="1.0" encoding="utf-8"?>
<table xmlns="http://schemas.openxmlformats.org/spreadsheetml/2006/main" id="48" name="Price3053" displayName="Price3053" ref="A2:C7" headerRowCount="1" totalsRowCount="0" totalsRowShown="0">
  <autoFilter ref="A2:C7"/>
  <tableColumns count="3">
    <tableColumn id="1" name="Quantity"/>
    <tableColumn id="2" name="Discount"/>
    <tableColumn id="3" name="Cost"/>
  </tableColumns>
</table>
</file>

<file path=xl/tables/table49.xml><?xml version="1.0" encoding="utf-8"?>
<table xmlns="http://schemas.openxmlformats.org/spreadsheetml/2006/main" id="49" name="Pricing_Details" displayName="Pricing_Details" ref="B3:AQ303" headerRowCount="1" totalsRowCount="0" totalsRowShown="0">
  <autoFilter ref="B3:AQ303"/>
  <tableColumns count="42">
    <tableColumn id="1" name="#"/>
    <tableColumn id="2" name="Name"/>
    <tableColumn id="3" name="Base Price"/>
    <tableColumn id="4" name="Discounted Price"/>
    <tableColumn id="5" name="Size"/>
    <tableColumn id="6" name="Length"/>
    <tableColumn id="7" name="Collection"/>
    <tableColumn id="8" name="Sleeve"/>
    <tableColumn id="9" name="Collar"/>
    <tableColumn id="10" name="Name on Back"/>
    <tableColumn id="11" name="Front Logo"/>
    <tableColumn id="12" name="Left Chest"/>
    <tableColumn id="13" name="Right Chest"/>
    <tableColumn id="14" name="Left Sleeve"/>
    <tableColumn id="15" name="Right Sleeve"/>
    <tableColumn id="16" name="Total Add Ons"/>
    <tableColumn id="17" name="Volume Discount"/>
    <tableColumn id="18" name="FREE Collar"/>
    <tableColumn id="19" name="FREE Name"/>
    <tableColumn id="20" name="FREE Logo"/>
    <tableColumn id="21" name="Total Discount"/>
    <tableColumn id="22" name="Retail Price"/>
    <tableColumn id="23" name="Actual Price"/>
    <tableColumn id="24" name="Pct Savings"/>
    <tableColumn id="25" name="Quantity"/>
    <tableColumn id="26" name="Retail"/>
    <tableColumn id="27" name="Discount"/>
    <tableColumn id="28" name="Total"/>
    <tableColumn id="29" name="X"/>
    <tableColumn id="30" name="Style"/>
    <tableColumn id="31" name="Size2"/>
    <tableColumn id="32" name="SKU"/>
    <tableColumn id="33" name="Front Logo3"/>
    <tableColumn id="34" name="Left Chest4"/>
    <tableColumn id="35" name="Right Chest5"/>
    <tableColumn id="36" name="Left Sleeve6"/>
    <tableColumn id="37" name="Right Sleeve7"/>
    <tableColumn id="38" name="Logo"/>
    <tableColumn id="39" name="Name8"/>
    <tableColumn id="40" name="Font"/>
    <tableColumn id="41" name="Full SKU"/>
    <tableColumn id="42" name="Actual Price9"/>
  </tableColumns>
</table>
</file>

<file path=xl/tables/table5.xml><?xml version="1.0" encoding="utf-8"?>
<table xmlns="http://schemas.openxmlformats.org/spreadsheetml/2006/main" id="5" name="Collar19" displayName="Collar19" ref="AF2:AM38" headerRowCount="1" totalsRowCount="0" totalsRowShown="0">
  <autoFilter ref="AF2:AM38"/>
  <tableColumns count="8">
    <tableColumn id="1" name="Collar"/>
    <tableColumn id="2" name="Order"/>
    <tableColumn id="3" name="Display"/>
    <tableColumn id="4" name="Code"/>
    <tableColumn id="5" name="Price"/>
    <tableColumn id="6" name="Sleeve"/>
    <tableColumn id="7" name="Collection"/>
    <tableColumn id="8" name="C&amp;S"/>
  </tableColumns>
</table>
</file>

<file path=xl/tables/table50.xml><?xml version="1.0" encoding="utf-8"?>
<table xmlns="http://schemas.openxmlformats.org/spreadsheetml/2006/main" id="50" name="PriorityProduction" displayName="PriorityProduction" ref="DK2:DN5" headerRowCount="1" totalsRowCount="0" totalsRowShown="0">
  <autoFilter ref="DK2:DN5"/>
  <tableColumns count="4">
    <tableColumn id="1" name="Priority Production"/>
    <tableColumn id="2" name="No"/>
    <tableColumn id="3" name="Yes"/>
    <tableColumn id="4" name="Days"/>
  </tableColumns>
</table>
</file>

<file path=xl/tables/table51.xml><?xml version="1.0" encoding="utf-8"?>
<table xmlns="http://schemas.openxmlformats.org/spreadsheetml/2006/main" id="51" name="PriorityProduction42" displayName="PriorityProduction42" ref="DK2:DN5" headerRowCount="1" totalsRowCount="0" totalsRowShown="0">
  <autoFilter ref="DK2:DN5"/>
  <tableColumns count="4">
    <tableColumn id="1" name="Priority Production"/>
    <tableColumn id="2" name="No"/>
    <tableColumn id="3" name="Yes"/>
    <tableColumn id="4" name="Days"/>
  </tableColumns>
</table>
</file>

<file path=xl/tables/table52.xml><?xml version="1.0" encoding="utf-8"?>
<table xmlns="http://schemas.openxmlformats.org/spreadsheetml/2006/main" id="52" name="PriorityProduction4265" displayName="PriorityProduction4265" ref="DK2:DN5" headerRowCount="1" totalsRowCount="0" totalsRowShown="0">
  <autoFilter ref="DK2:DN5"/>
  <tableColumns count="4">
    <tableColumn id="1" name="Priority Production"/>
    <tableColumn id="2" name="No"/>
    <tableColumn id="3" name="Yes"/>
    <tableColumn id="4" name="Days"/>
  </tableColumns>
</table>
</file>

<file path=xl/tables/table53.xml><?xml version="1.0" encoding="utf-8"?>
<table xmlns="http://schemas.openxmlformats.org/spreadsheetml/2006/main" id="53" name="ProductionPriority" displayName="ProductionPriority" ref="DC2:DI5" headerRowCount="1" totalsRowCount="0" totalsRowShown="0">
  <autoFilter ref="DC2:DI5"/>
  <tableColumns count="7">
    <tableColumn id="1" name="Production"/>
    <tableColumn id="2" name="Display"/>
    <tableColumn id="3" name="Price"/>
    <tableColumn id="4" name="Upgrade"/>
    <tableColumn id="5" name="Minimum"/>
    <tableColumn id="6" name="Actual"/>
    <tableColumn id="7" name="Fee"/>
  </tableColumns>
</table>
</file>

<file path=xl/tables/table54.xml><?xml version="1.0" encoding="utf-8"?>
<table xmlns="http://schemas.openxmlformats.org/spreadsheetml/2006/main" id="54" name="ProductionPriority36" displayName="ProductionPriority36" ref="DC2:DI5" headerRowCount="1" totalsRowCount="0" totalsRowShown="0">
  <autoFilter ref="DC2:DI5"/>
  <tableColumns count="7">
    <tableColumn id="1" name="Production"/>
    <tableColumn id="2" name="Display"/>
    <tableColumn id="3" name="Price"/>
    <tableColumn id="4" name="Upgrade"/>
    <tableColumn id="5" name="Minimum"/>
    <tableColumn id="6" name="Actual"/>
    <tableColumn id="7" name="Fee"/>
  </tableColumns>
</table>
</file>

<file path=xl/tables/table55.xml><?xml version="1.0" encoding="utf-8"?>
<table xmlns="http://schemas.openxmlformats.org/spreadsheetml/2006/main" id="55" name="ProductionPriority3659" displayName="ProductionPriority3659" ref="DC2:DI5" headerRowCount="1" totalsRowCount="0" totalsRowShown="0">
  <autoFilter ref="DC2:DI5"/>
  <tableColumns count="7">
    <tableColumn id="1" name="Production"/>
    <tableColumn id="2" name="Display"/>
    <tableColumn id="3" name="Price"/>
    <tableColumn id="4" name="Upgrade"/>
    <tableColumn id="5" name="Minimum"/>
    <tableColumn id="6" name="Actual"/>
    <tableColumn id="7" name="Fee"/>
  </tableColumns>
</table>
</file>

<file path=xl/tables/table56.xml><?xml version="1.0" encoding="utf-8"?>
<table xmlns="http://schemas.openxmlformats.org/spreadsheetml/2006/main" id="56" name="RightSleeve" displayName="RightSleeve" ref="CJ2:CP8" headerRowCount="1" totalsRowCount="0" totalsRowShown="0">
  <autoFilter ref="CJ2:CP8"/>
  <tableColumns count="7">
    <tableColumn id="1" name="Logos"/>
    <tableColumn id="2" name="Order"/>
    <tableColumn id="3" name="Display"/>
    <tableColumn id="4" name="Code"/>
    <tableColumn id="5" name="Pct"/>
    <tableColumn id="6" name="Flat"/>
    <tableColumn id="7" name="Use"/>
  </tableColumns>
</table>
</file>

<file path=xl/tables/table57.xml><?xml version="1.0" encoding="utf-8"?>
<table xmlns="http://schemas.openxmlformats.org/spreadsheetml/2006/main" id="57" name="RightSleeve48" displayName="RightSleeve48" ref="CJ2:CP8" headerRowCount="1" totalsRowCount="0" totalsRowShown="0">
  <autoFilter ref="CJ2:CP8"/>
  <tableColumns count="7">
    <tableColumn id="1" name="Logos"/>
    <tableColumn id="2" name="Order"/>
    <tableColumn id="3" name="Display"/>
    <tableColumn id="4" name="Code"/>
    <tableColumn id="5" name="Pct"/>
    <tableColumn id="6" name="Flat"/>
    <tableColumn id="7" name="Use"/>
  </tableColumns>
</table>
</file>

<file path=xl/tables/table58.xml><?xml version="1.0" encoding="utf-8"?>
<table xmlns="http://schemas.openxmlformats.org/spreadsheetml/2006/main" id="58" name="RightSleeve4871" displayName="RightSleeve4871" ref="CJ2:CP8" headerRowCount="1" totalsRowCount="0" totalsRowShown="0">
  <autoFilter ref="CJ2:CP8"/>
  <tableColumns count="7">
    <tableColumn id="1" name="Logos"/>
    <tableColumn id="2" name="Order"/>
    <tableColumn id="3" name="Display"/>
    <tableColumn id="4" name="Code"/>
    <tableColumn id="5" name="Pct"/>
    <tableColumn id="6" name="Flat"/>
    <tableColumn id="7" name="Use"/>
  </tableColumns>
</table>
</file>

<file path=xl/tables/table59.xml><?xml version="1.0" encoding="utf-8"?>
<table xmlns="http://schemas.openxmlformats.org/spreadsheetml/2006/main" id="59" name="ShipDays" displayName="ShipDays" ref="DU2:DV6" headerRowCount="1" totalsRowCount="0" totalsRowShown="0">
  <autoFilter ref="DU2:DV6"/>
  <tableColumns count="2">
    <tableColumn id="1" name="Ship Days"/>
    <tableColumn id="2" name="Shipping Service"/>
  </tableColumns>
</table>
</file>

<file path=xl/tables/table6.xml><?xml version="1.0" encoding="utf-8"?>
<table xmlns="http://schemas.openxmlformats.org/spreadsheetml/2006/main" id="6" name="Collar1949" displayName="Collar1949" ref="AF2:AM38" headerRowCount="1" totalsRowCount="0" totalsRowShown="0">
  <autoFilter ref="AF2:AM38"/>
  <tableColumns count="8">
    <tableColumn id="1" name="Collar"/>
    <tableColumn id="2" name="Order"/>
    <tableColumn id="3" name="Display"/>
    <tableColumn id="4" name="Code"/>
    <tableColumn id="5" name="Price"/>
    <tableColumn id="6" name="Sleeve"/>
    <tableColumn id="7" name="Collection"/>
    <tableColumn id="8" name="C&amp;S"/>
  </tableColumns>
</table>
</file>

<file path=xl/tables/table60.xml><?xml version="1.0" encoding="utf-8"?>
<table xmlns="http://schemas.openxmlformats.org/spreadsheetml/2006/main" id="60" name="ShipDays44" displayName="ShipDays44" ref="DU2:DV6" headerRowCount="1" totalsRowCount="0" totalsRowShown="0">
  <autoFilter ref="DU2:DV6"/>
  <tableColumns count="2">
    <tableColumn id="1" name="Ship Days"/>
    <tableColumn id="2" name="Shipping Service"/>
  </tableColumns>
</table>
</file>

<file path=xl/tables/table61.xml><?xml version="1.0" encoding="utf-8"?>
<table xmlns="http://schemas.openxmlformats.org/spreadsheetml/2006/main" id="61" name="ShipDays4467" displayName="ShipDays4467" ref="DU2:DV6" headerRowCount="1" totalsRowCount="0" totalsRowShown="0">
  <autoFilter ref="DU2:DV6"/>
  <tableColumns count="2">
    <tableColumn id="1" name="Ship Days"/>
    <tableColumn id="2" name="Shipping Service"/>
  </tableColumns>
</table>
</file>

<file path=xl/tables/table62.xml><?xml version="1.0" encoding="utf-8"?>
<table xmlns="http://schemas.openxmlformats.org/spreadsheetml/2006/main" id="62" name="Size" displayName="Size" ref="AU2:AZ33" headerRowCount="1" totalsRowCount="0" totalsRowShown="0">
  <autoFilter ref="AU2:AZ33"/>
  <tableColumns count="6">
    <tableColumn id="1" name="Size"/>
    <tableColumn id="2" name="Order"/>
    <tableColumn id="3" name="Display"/>
    <tableColumn id="4" name="Code"/>
    <tableColumn id="5" name="Price"/>
    <tableColumn id="6" name="Cut"/>
  </tableColumns>
</table>
</file>

<file path=xl/tables/table63.xml><?xml version="1.0" encoding="utf-8"?>
<table xmlns="http://schemas.openxmlformats.org/spreadsheetml/2006/main" id="63" name="Size28" displayName="Size28" ref="AU2:AZ33" headerRowCount="1" totalsRowCount="0" totalsRowShown="0">
  <autoFilter ref="AU2:AZ33"/>
  <tableColumns count="6">
    <tableColumn id="1" name="Size"/>
    <tableColumn id="2" name="Order"/>
    <tableColumn id="3" name="Display"/>
    <tableColumn id="4" name="Code"/>
    <tableColumn id="5" name="Price"/>
    <tableColumn id="6" name="Cut"/>
  </tableColumns>
</table>
</file>

<file path=xl/tables/table64.xml><?xml version="1.0" encoding="utf-8"?>
<table xmlns="http://schemas.openxmlformats.org/spreadsheetml/2006/main" id="64" name="Size2851" displayName="Size2851" ref="AU2:AZ33" headerRowCount="1" totalsRowCount="0" totalsRowShown="0">
  <autoFilter ref="AU2:AZ33"/>
  <tableColumns count="6">
    <tableColumn id="1" name="Size"/>
    <tableColumn id="2" name="Order"/>
    <tableColumn id="3" name="Display"/>
    <tableColumn id="4" name="Code"/>
    <tableColumn id="5" name="Price"/>
    <tableColumn id="6" name="Cut"/>
  </tableColumns>
</table>
</file>

<file path=xl/tables/table65.xml><?xml version="1.0" encoding="utf-8"?>
<table xmlns="http://schemas.openxmlformats.org/spreadsheetml/2006/main" id="65" name="Sleeve" displayName="Sleeve" ref="V2:AA7" headerRowCount="1" totalsRowCount="0" totalsRowShown="0">
  <autoFilter ref="V2:AA7"/>
  <tableColumns count="6">
    <tableColumn id="1" name="Sleeve"/>
    <tableColumn id="2" name="Order"/>
    <tableColumn id="3" name="Display"/>
    <tableColumn id="4" name="Code"/>
    <tableColumn id="5" name="Price"/>
    <tableColumn id="6" name="Line"/>
  </tableColumns>
</table>
</file>

<file path=xl/tables/table66.xml><?xml version="1.0" encoding="utf-8"?>
<table xmlns="http://schemas.openxmlformats.org/spreadsheetml/2006/main" id="66" name="Sleeve32" displayName="Sleeve32" ref="V2:AA7" headerRowCount="1" totalsRowCount="0" totalsRowShown="0">
  <autoFilter ref="V2:AA7"/>
  <tableColumns count="6">
    <tableColumn id="1" name="Sleeve"/>
    <tableColumn id="2" name="Order"/>
    <tableColumn id="3" name="Display"/>
    <tableColumn id="4" name="Code"/>
    <tableColumn id="5" name="Price"/>
    <tableColumn id="6" name="Line"/>
  </tableColumns>
</table>
</file>

<file path=xl/tables/table67.xml><?xml version="1.0" encoding="utf-8"?>
<table xmlns="http://schemas.openxmlformats.org/spreadsheetml/2006/main" id="67" name="Sleeve3255" displayName="Sleeve3255" ref="V2:AA7" headerRowCount="1" totalsRowCount="0" totalsRowShown="0">
  <autoFilter ref="V2:AA7"/>
  <tableColumns count="6">
    <tableColumn id="1" name="Sleeve"/>
    <tableColumn id="2" name="Order"/>
    <tableColumn id="3" name="Display"/>
    <tableColumn id="4" name="Code"/>
    <tableColumn id="5" name="Price"/>
    <tableColumn id="6" name="Line"/>
  </tableColumns>
</table>
</file>

<file path=xl/tables/table68.xml><?xml version="1.0" encoding="utf-8"?>
<table xmlns="http://schemas.openxmlformats.org/spreadsheetml/2006/main" id="68" name="YesNo" displayName="YesNo" ref="DP2:DP4" headerRowCount="1" totalsRowCount="0" totalsRowShown="0">
  <autoFilter ref="DP2:DP4"/>
  <tableColumns count="1">
    <tableColumn id="1" name="Reorder"/>
  </tableColumns>
</table>
</file>

<file path=xl/tables/table69.xml><?xml version="1.0" encoding="utf-8"?>
<table xmlns="http://schemas.openxmlformats.org/spreadsheetml/2006/main" id="69" name="YesNo41" displayName="YesNo41" ref="DP2:DP4" headerRowCount="1" totalsRowCount="0" totalsRowShown="0">
  <autoFilter ref="DP2:DP4"/>
  <tableColumns count="1">
    <tableColumn id="1" name="Reorder"/>
  </tableColumns>
</table>
</file>

<file path=xl/tables/table7.xml><?xml version="1.0" encoding="utf-8"?>
<table xmlns="http://schemas.openxmlformats.org/spreadsheetml/2006/main" id="7" name="Collection" displayName="Collection" ref="P2:T4" headerRowCount="1" totalsRowCount="0" totalsRowShown="0">
  <autoFilter ref="P2:T4"/>
  <tableColumns count="5">
    <tableColumn id="1" name="Collection"/>
    <tableColumn id="2" name="Display"/>
    <tableColumn id="3" name="Code"/>
    <tableColumn id="4" name="Price"/>
    <tableColumn id="5" name="Line"/>
  </tableColumns>
</table>
</file>

<file path=xl/tables/table70.xml><?xml version="1.0" encoding="utf-8"?>
<table xmlns="http://schemas.openxmlformats.org/spreadsheetml/2006/main" id="70" name="YesNo4164" displayName="YesNo4164" ref="DP2:DP4" headerRowCount="1" totalsRowCount="0" totalsRowShown="0">
  <autoFilter ref="DP2:DP4"/>
  <tableColumns count="1">
    <tableColumn id="1" name="Reorder"/>
  </tableColumns>
</table>
</file>

<file path=xl/tables/table8.xml><?xml version="1.0" encoding="utf-8"?>
<table xmlns="http://schemas.openxmlformats.org/spreadsheetml/2006/main" id="8" name="Collection35" displayName="Collection35" ref="P2:T4" headerRowCount="1" totalsRowCount="0" totalsRowShown="0">
  <autoFilter ref="P2:T4"/>
  <tableColumns count="5">
    <tableColumn id="1" name="Collection"/>
    <tableColumn id="2" name="Display"/>
    <tableColumn id="3" name="Code"/>
    <tableColumn id="4" name="Price"/>
    <tableColumn id="5" name="Line"/>
  </tableColumns>
</table>
</file>

<file path=xl/tables/table9.xml><?xml version="1.0" encoding="utf-8"?>
<table xmlns="http://schemas.openxmlformats.org/spreadsheetml/2006/main" id="9" name="Collection3558" displayName="Collection3558" ref="P2:T4" headerRowCount="1" totalsRowCount="0" totalsRowShown="0">
  <autoFilter ref="P2:T4"/>
  <tableColumns count="5">
    <tableColumn id="1" name="Collection"/>
    <tableColumn id="2" name="Display"/>
    <tableColumn id="3" name="Code"/>
    <tableColumn id="4" name="Price"/>
    <tableColumn id="5" name="Line"/>
  </tableColumns>
</table>
</file>

<file path=xl/theme/theme1.xml><?xml version="1.0" encoding="utf-8"?>
<a:theme xmlns:a="http://schemas.openxmlformats.org/drawingml/2006/main" xmlns:r="http://schemas.openxmlformats.org/officeDocument/2006/relationships" name="Office Theme">
  <a:themeElements>
    <a:clrScheme name="Office Them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Office Theme">
      <a:majorFont>
        <a:latin typeface="Helvetica Neue" pitchFamily="0" charset="1"/>
        <a:ea typeface="Helvetica Neue" pitchFamily="0" charset="1"/>
        <a:cs typeface="Helvetica Neue" pitchFamily="0" charset="1"/>
      </a:majorFont>
      <a:minorFont>
        <a:latin typeface="Helvetica Neue" pitchFamily="0" charset="1"/>
        <a:ea typeface="Helvetica Neue" pitchFamily="0" charset="1"/>
        <a:cs typeface="Helvetica Neue" pitchFamily="0" charset="1"/>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tint val="100000"/>
                <a:shade val="100000"/>
              </a:schemeClr>
            </a:gs>
            <a:gs pos="100000">
              <a:schemeClr val="phClr">
                <a:tint val="50000"/>
                <a:shade val="100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table" Target="../tables/table49.xml"/>
</Relationships>
</file>

<file path=xl/worksheets/_rels/sheet4.xml.rels><?xml version="1.0" encoding="UTF-8"?>
<Relationships xmlns="http://schemas.openxmlformats.org/package/2006/relationships"><Relationship Id="rId1" Type="http://schemas.openxmlformats.org/officeDocument/2006/relationships/table" Target="../tables/table1.xml"/><Relationship Id="rId2" Type="http://schemas.openxmlformats.org/officeDocument/2006/relationships/table" Target="../tables/table4.xml"/><Relationship Id="rId3" Type="http://schemas.openxmlformats.org/officeDocument/2006/relationships/table" Target="../tables/table7.xml"/><Relationship Id="rId4" Type="http://schemas.openxmlformats.org/officeDocument/2006/relationships/table" Target="../tables/table10.xml"/><Relationship Id="rId5" Type="http://schemas.openxmlformats.org/officeDocument/2006/relationships/table" Target="../tables/table13.xml"/><Relationship Id="rId6" Type="http://schemas.openxmlformats.org/officeDocument/2006/relationships/table" Target="../tables/table16.xml"/><Relationship Id="rId7" Type="http://schemas.openxmlformats.org/officeDocument/2006/relationships/table" Target="../tables/table19.xml"/><Relationship Id="rId8" Type="http://schemas.openxmlformats.org/officeDocument/2006/relationships/table" Target="../tables/table22.xml"/><Relationship Id="rId9" Type="http://schemas.openxmlformats.org/officeDocument/2006/relationships/table" Target="../tables/table25.xml"/><Relationship Id="rId10" Type="http://schemas.openxmlformats.org/officeDocument/2006/relationships/table" Target="../tables/table28.xml"/><Relationship Id="rId11" Type="http://schemas.openxmlformats.org/officeDocument/2006/relationships/table" Target="../tables/table31.xml"/><Relationship Id="rId12" Type="http://schemas.openxmlformats.org/officeDocument/2006/relationships/table" Target="../tables/table34.xml"/><Relationship Id="rId13" Type="http://schemas.openxmlformats.org/officeDocument/2006/relationships/table" Target="../tables/table37.xml"/><Relationship Id="rId14" Type="http://schemas.openxmlformats.org/officeDocument/2006/relationships/table" Target="../tables/table40.xml"/><Relationship Id="rId15" Type="http://schemas.openxmlformats.org/officeDocument/2006/relationships/table" Target="../tables/table43.xml"/><Relationship Id="rId16" Type="http://schemas.openxmlformats.org/officeDocument/2006/relationships/table" Target="../tables/table46.xml"/><Relationship Id="rId17" Type="http://schemas.openxmlformats.org/officeDocument/2006/relationships/table" Target="../tables/table50.xml"/><Relationship Id="rId18" Type="http://schemas.openxmlformats.org/officeDocument/2006/relationships/table" Target="../tables/table53.xml"/><Relationship Id="rId19" Type="http://schemas.openxmlformats.org/officeDocument/2006/relationships/table" Target="../tables/table56.xml"/><Relationship Id="rId20" Type="http://schemas.openxmlformats.org/officeDocument/2006/relationships/table" Target="../tables/table59.xml"/><Relationship Id="rId21" Type="http://schemas.openxmlformats.org/officeDocument/2006/relationships/table" Target="../tables/table62.xml"/><Relationship Id="rId22" Type="http://schemas.openxmlformats.org/officeDocument/2006/relationships/table" Target="../tables/table65.xml"/><Relationship Id="rId23" Type="http://schemas.openxmlformats.org/officeDocument/2006/relationships/table" Target="../tables/table68.xml"/>
</Relationships>
</file>

<file path=xl/worksheets/_rels/sheet5.xml.rels><?xml version="1.0" encoding="UTF-8"?>
<Relationships xmlns="http://schemas.openxmlformats.org/package/2006/relationships"><Relationship Id="rId1" Type="http://schemas.openxmlformats.org/officeDocument/2006/relationships/table" Target="../tables/table2.xml"/><Relationship Id="rId2" Type="http://schemas.openxmlformats.org/officeDocument/2006/relationships/table" Target="../tables/table5.xml"/><Relationship Id="rId3" Type="http://schemas.openxmlformats.org/officeDocument/2006/relationships/table" Target="../tables/table8.xml"/><Relationship Id="rId4" Type="http://schemas.openxmlformats.org/officeDocument/2006/relationships/table" Target="../tables/table11.xml"/><Relationship Id="rId5" Type="http://schemas.openxmlformats.org/officeDocument/2006/relationships/table" Target="../tables/table14.xml"/><Relationship Id="rId6" Type="http://schemas.openxmlformats.org/officeDocument/2006/relationships/table" Target="../tables/table17.xml"/><Relationship Id="rId7" Type="http://schemas.openxmlformats.org/officeDocument/2006/relationships/table" Target="../tables/table20.xml"/><Relationship Id="rId8" Type="http://schemas.openxmlformats.org/officeDocument/2006/relationships/table" Target="../tables/table23.xml"/><Relationship Id="rId9" Type="http://schemas.openxmlformats.org/officeDocument/2006/relationships/table" Target="../tables/table26.xml"/><Relationship Id="rId10" Type="http://schemas.openxmlformats.org/officeDocument/2006/relationships/table" Target="../tables/table29.xml"/><Relationship Id="rId11" Type="http://schemas.openxmlformats.org/officeDocument/2006/relationships/table" Target="../tables/table32.xml"/><Relationship Id="rId12" Type="http://schemas.openxmlformats.org/officeDocument/2006/relationships/table" Target="../tables/table35.xml"/><Relationship Id="rId13" Type="http://schemas.openxmlformats.org/officeDocument/2006/relationships/table" Target="../tables/table38.xml"/><Relationship Id="rId14" Type="http://schemas.openxmlformats.org/officeDocument/2006/relationships/table" Target="../tables/table41.xml"/><Relationship Id="rId15" Type="http://schemas.openxmlformats.org/officeDocument/2006/relationships/table" Target="../tables/table44.xml"/><Relationship Id="rId16" Type="http://schemas.openxmlformats.org/officeDocument/2006/relationships/table" Target="../tables/table47.xml"/><Relationship Id="rId17" Type="http://schemas.openxmlformats.org/officeDocument/2006/relationships/table" Target="../tables/table51.xml"/><Relationship Id="rId18" Type="http://schemas.openxmlformats.org/officeDocument/2006/relationships/table" Target="../tables/table54.xml"/><Relationship Id="rId19" Type="http://schemas.openxmlformats.org/officeDocument/2006/relationships/table" Target="../tables/table57.xml"/><Relationship Id="rId20" Type="http://schemas.openxmlformats.org/officeDocument/2006/relationships/table" Target="../tables/table60.xml"/><Relationship Id="rId21" Type="http://schemas.openxmlformats.org/officeDocument/2006/relationships/table" Target="../tables/table63.xml"/><Relationship Id="rId22" Type="http://schemas.openxmlformats.org/officeDocument/2006/relationships/table" Target="../tables/table66.xml"/><Relationship Id="rId23" Type="http://schemas.openxmlformats.org/officeDocument/2006/relationships/table" Target="../tables/table69.xml"/>
</Relationships>
</file>

<file path=xl/worksheets/_rels/sheet6.xml.rels><?xml version="1.0" encoding="UTF-8"?>
<Relationships xmlns="http://schemas.openxmlformats.org/package/2006/relationships"><Relationship Id="rId1" Type="http://schemas.openxmlformats.org/officeDocument/2006/relationships/table" Target="../tables/table3.xml"/><Relationship Id="rId2" Type="http://schemas.openxmlformats.org/officeDocument/2006/relationships/table" Target="../tables/table6.xml"/><Relationship Id="rId3" Type="http://schemas.openxmlformats.org/officeDocument/2006/relationships/table" Target="../tables/table9.xml"/><Relationship Id="rId4" Type="http://schemas.openxmlformats.org/officeDocument/2006/relationships/table" Target="../tables/table12.xml"/><Relationship Id="rId5" Type="http://schemas.openxmlformats.org/officeDocument/2006/relationships/table" Target="../tables/table15.xml"/><Relationship Id="rId6" Type="http://schemas.openxmlformats.org/officeDocument/2006/relationships/table" Target="../tables/table18.xml"/><Relationship Id="rId7" Type="http://schemas.openxmlformats.org/officeDocument/2006/relationships/table" Target="../tables/table21.xml"/><Relationship Id="rId8" Type="http://schemas.openxmlformats.org/officeDocument/2006/relationships/table" Target="../tables/table24.xml"/><Relationship Id="rId9" Type="http://schemas.openxmlformats.org/officeDocument/2006/relationships/table" Target="../tables/table27.xml"/><Relationship Id="rId10" Type="http://schemas.openxmlformats.org/officeDocument/2006/relationships/table" Target="../tables/table30.xml"/><Relationship Id="rId11" Type="http://schemas.openxmlformats.org/officeDocument/2006/relationships/table" Target="../tables/table33.xml"/><Relationship Id="rId12" Type="http://schemas.openxmlformats.org/officeDocument/2006/relationships/table" Target="../tables/table36.xml"/><Relationship Id="rId13" Type="http://schemas.openxmlformats.org/officeDocument/2006/relationships/table" Target="../tables/table39.xml"/><Relationship Id="rId14" Type="http://schemas.openxmlformats.org/officeDocument/2006/relationships/table" Target="../tables/table42.xml"/><Relationship Id="rId15" Type="http://schemas.openxmlformats.org/officeDocument/2006/relationships/table" Target="../tables/table45.xml"/><Relationship Id="rId16" Type="http://schemas.openxmlformats.org/officeDocument/2006/relationships/table" Target="../tables/table48.xml"/><Relationship Id="rId17" Type="http://schemas.openxmlformats.org/officeDocument/2006/relationships/table" Target="../tables/table52.xml"/><Relationship Id="rId18" Type="http://schemas.openxmlformats.org/officeDocument/2006/relationships/table" Target="../tables/table55.xml"/><Relationship Id="rId19" Type="http://schemas.openxmlformats.org/officeDocument/2006/relationships/table" Target="../tables/table58.xml"/><Relationship Id="rId20" Type="http://schemas.openxmlformats.org/officeDocument/2006/relationships/table" Target="../tables/table61.xml"/><Relationship Id="rId21" Type="http://schemas.openxmlformats.org/officeDocument/2006/relationships/table" Target="../tables/table64.xml"/><Relationship Id="rId22" Type="http://schemas.openxmlformats.org/officeDocument/2006/relationships/table" Target="../tables/table67.xml"/><Relationship Id="rId23" Type="http://schemas.openxmlformats.org/officeDocument/2006/relationships/table" Target="../tables/table7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32"/>
  <sheetViews>
    <sheetView showFormulas="false" showGridLines="true" showRowColHeaders="true" showZeros="true" rightToLeft="false" tabSelected="false" showOutlineSymbols="true" defaultGridColor="true" view="normal" topLeftCell="F1" colorId="64" zoomScale="90" zoomScaleNormal="90" zoomScalePageLayoutView="100" workbookViewId="0">
      <selection pane="topLeft" activeCell="E1" activeCellId="0" sqref="E1"/>
    </sheetView>
  </sheetViews>
  <sheetFormatPr defaultColWidth="4.2734375" defaultRowHeight="14.25" zeroHeight="false" outlineLevelRow="0" outlineLevelCol="0"/>
  <cols>
    <col collapsed="false" customWidth="true" hidden="true" outlineLevel="0" max="1" min="1" style="1" width="10.16"/>
    <col collapsed="false" customWidth="true" hidden="true" outlineLevel="0" max="2" min="2" style="2" width="30.09"/>
    <col collapsed="false" customWidth="true" hidden="true" outlineLevel="0" max="3" min="3" style="2" width="4.45"/>
    <col collapsed="false" customWidth="true" hidden="true" outlineLevel="0" max="4" min="4" style="3" width="27.73"/>
    <col collapsed="false" customWidth="true" hidden="true" outlineLevel="0" max="5" min="5" style="2" width="1.9"/>
  </cols>
  <sheetData>
    <row r="1" customFormat="false" ht="19.5" hidden="false" customHeight="true" outlineLevel="0" collapsed="false">
      <c r="A1" s="4"/>
      <c r="B1" s="4"/>
      <c r="C1" s="4"/>
      <c r="D1" s="5"/>
      <c r="E1" s="4"/>
    </row>
    <row r="2" s="10" customFormat="true" ht="30" hidden="false" customHeight="true" outlineLevel="0" collapsed="false">
      <c r="A2" s="6"/>
      <c r="B2" s="7" t="s">
        <v>0</v>
      </c>
      <c r="C2" s="8"/>
      <c r="D2" s="9" t="s">
        <v>1</v>
      </c>
      <c r="E2" s="6"/>
    </row>
    <row r="3" s="10" customFormat="true" ht="30" hidden="false" customHeight="true" outlineLevel="0" collapsed="false">
      <c r="A3" s="6"/>
      <c r="B3" s="7" t="s">
        <v>2</v>
      </c>
      <c r="C3" s="8"/>
      <c r="D3" s="9" t="s">
        <v>3</v>
      </c>
      <c r="E3" s="6"/>
    </row>
    <row r="4" s="10" customFormat="true" ht="30" hidden="false" customHeight="true" outlineLevel="0" collapsed="false">
      <c r="A4" s="11"/>
      <c r="B4" s="7" t="s">
        <v>4</v>
      </c>
      <c r="C4" s="8"/>
      <c r="D4" s="12" t="n">
        <v>0</v>
      </c>
      <c r="E4" s="6"/>
    </row>
    <row r="5" s="10" customFormat="true" ht="30" hidden="false" customHeight="true" outlineLevel="0" collapsed="false">
      <c r="A5" s="11"/>
      <c r="B5" s="7" t="s">
        <v>5</v>
      </c>
      <c r="C5" s="8"/>
      <c r="D5" s="13" t="n">
        <v>0</v>
      </c>
      <c r="E5" s="6"/>
    </row>
    <row r="6" s="10" customFormat="true" ht="30" hidden="false" customHeight="true" outlineLevel="0" collapsed="false">
      <c r="A6" s="11"/>
      <c r="B6" s="7" t="s">
        <v>6</v>
      </c>
      <c r="C6" s="8"/>
      <c r="D6" s="14" t="str">
        <f aca="false" t="array" ref="D6:E6">'Bulk Order Details'!D4:E4</f>
        <v>Standard (approx 3 weeks)</v>
      </c>
      <c r="E6" s="15" t="n">
        <v>0</v>
      </c>
    </row>
    <row r="7" s="21" customFormat="true" ht="4.5" hidden="false" customHeight="true" outlineLevel="0" collapsed="false">
      <c r="A7" s="16"/>
      <c r="B7" s="17"/>
      <c r="C7" s="18"/>
      <c r="D7" s="19"/>
      <c r="E7" s="20"/>
    </row>
    <row r="8" s="21" customFormat="true" ht="24.75" hidden="false" customHeight="true" outlineLevel="0" collapsed="false">
      <c r="A8" s="20"/>
      <c r="B8" s="22" t="s">
        <v>7</v>
      </c>
      <c r="C8" s="23"/>
      <c r="D8" s="24" t="n">
        <f aca="false">SUM(Pricing_Details[Quantity])</f>
        <v>5</v>
      </c>
      <c r="E8" s="20"/>
    </row>
    <row r="9" s="30" customFormat="true" ht="30" hidden="false" customHeight="true" outlineLevel="0" collapsed="false">
      <c r="A9" s="25"/>
      <c r="B9" s="26" t="str">
        <f aca="false">IF(VLOOKUP(D2,CustomerGroup[],2)&gt;0,"Discounts Applied to Entire Order (See  Order Discounts Below)","Discounted Base Price")</f>
        <v>Discounted Base Price</v>
      </c>
      <c r="C9" s="27"/>
      <c r="D9" s="28" t="n">
        <f aca="false">IF(VLOOKUP(CustGroup,CustomerGroup[],2)=0,MIN((1-VLOOKUP(Jerseys,Price[],2))*VLOOKUP(CustGroup,CustomerGroup[],11),(1-VLOOKUP(CustGroup,CustomerGroup[],3))*VLOOKUP(CustGroup,CustomerGroup[],11)),VLOOKUP(CustGroup,CustomerGroup[],11))</f>
        <v>44.1</v>
      </c>
      <c r="E9" s="29"/>
    </row>
    <row r="10" s="21" customFormat="true" ht="19.5" hidden="false" customHeight="true" outlineLevel="0" collapsed="false">
      <c r="A10" s="20"/>
      <c r="B10" s="31" t="s">
        <v>8</v>
      </c>
      <c r="C10" s="32"/>
      <c r="D10" s="33" t="str">
        <f aca="false">VLOOKUP($D$2,CustomerGroup[],4)</f>
        <v>No</v>
      </c>
      <c r="E10" s="20"/>
    </row>
    <row r="11" s="21" customFormat="true" ht="19.5" hidden="false" customHeight="true" outlineLevel="0" collapsed="false">
      <c r="A11" s="20"/>
      <c r="B11" s="31" t="s">
        <v>9</v>
      </c>
      <c r="C11" s="32"/>
      <c r="D11" s="33" t="str">
        <f aca="false">VLOOKUP($D$2,CustomerGroup[],5)</f>
        <v>No</v>
      </c>
      <c r="E11" s="20"/>
    </row>
    <row r="12" s="21" customFormat="true" ht="19.5" hidden="false" customHeight="true" outlineLevel="0" collapsed="false">
      <c r="A12" s="20"/>
      <c r="B12" s="31" t="s">
        <v>10</v>
      </c>
      <c r="C12" s="32"/>
      <c r="D12" s="33" t="str">
        <f aca="false">VLOOKUP($D$2,CustomerGroup[],6)</f>
        <v>No</v>
      </c>
      <c r="E12" s="20"/>
    </row>
    <row r="13" s="21" customFormat="true" ht="19.5" hidden="false" customHeight="true" outlineLevel="0" collapsed="false">
      <c r="A13" s="20"/>
      <c r="B13" s="31" t="s">
        <v>11</v>
      </c>
      <c r="C13" s="32"/>
      <c r="D13" s="34" t="str">
        <f aca="false">IF(D3="Yes","No",IF(Jerseys&gt;=VLOOKUP($D$2,CustomerGroup[],7),"Yes","No"))</f>
        <v>No</v>
      </c>
      <c r="E13" s="20"/>
    </row>
    <row r="14" s="21" customFormat="true" ht="19.5" hidden="false" customHeight="true" outlineLevel="0" collapsed="false">
      <c r="A14" s="20"/>
      <c r="B14" s="31" t="s">
        <v>12</v>
      </c>
      <c r="C14" s="32"/>
      <c r="D14" s="34" t="str">
        <f aca="false">VLOOKUP($D$2,CustomerGroup[],8)</f>
        <v>No</v>
      </c>
      <c r="E14" s="20"/>
    </row>
    <row r="15" s="21" customFormat="true" ht="19.5" hidden="false" customHeight="true" outlineLevel="0" collapsed="false">
      <c r="A15" s="20"/>
      <c r="B15" s="31" t="s">
        <v>13</v>
      </c>
      <c r="C15" s="32"/>
      <c r="D15" s="34" t="str">
        <f aca="false">IF(VLOOKUP(CustGroup,CustomerGroup[],9)&gt;0,IF(VLOOKUP(CustGroup,CustomerGroup[],9)&lt;D23,"Yes","No"),"No")</f>
        <v>No</v>
      </c>
      <c r="E15" s="20"/>
    </row>
    <row r="16" s="21" customFormat="true" ht="19.5" hidden="false" customHeight="true" outlineLevel="0" collapsed="false">
      <c r="A16" s="20"/>
      <c r="B16" s="35" t="s">
        <v>14</v>
      </c>
      <c r="C16" s="36"/>
      <c r="D16" s="37" t="n">
        <f aca="false">LOOKUP(CustGroup,CustomerGroup[Customer Groups],CustomerGroup[Bulk Entry Discount])</f>
        <v>0</v>
      </c>
      <c r="E16" s="20"/>
    </row>
    <row r="17" s="21" customFormat="true" ht="4.5" hidden="false" customHeight="true" outlineLevel="0" collapsed="false">
      <c r="A17" s="20"/>
      <c r="B17" s="38"/>
      <c r="C17" s="39"/>
      <c r="D17" s="40"/>
      <c r="E17" s="20"/>
    </row>
    <row r="18" s="21" customFormat="true" ht="19.5" hidden="false" customHeight="true" outlineLevel="0" collapsed="false">
      <c r="A18" s="20"/>
      <c r="B18" s="41" t="s">
        <v>15</v>
      </c>
      <c r="C18" s="42"/>
      <c r="D18" s="43" t="n">
        <f aca="false">SUM('Pricing Details'!$AC:$AC)</f>
        <v>325.5</v>
      </c>
      <c r="E18" s="20"/>
    </row>
    <row r="19" s="21" customFormat="true" ht="19.5" hidden="false" customHeight="true" outlineLevel="0" collapsed="false">
      <c r="A19" s="20"/>
      <c r="B19" s="44" t="s">
        <v>16</v>
      </c>
      <c r="C19" s="45"/>
      <c r="D19" s="46" t="n">
        <f aca="false">D5*30</f>
        <v>0</v>
      </c>
      <c r="E19" s="20"/>
    </row>
    <row r="20" s="21" customFormat="true" ht="19.5" hidden="false" customHeight="true" outlineLevel="0" collapsed="false">
      <c r="A20" s="20"/>
      <c r="B20" s="44" t="s">
        <v>17</v>
      </c>
      <c r="C20" s="45"/>
      <c r="D20" s="46" t="n">
        <f aca="false">IF(D13="Yes",-MAX('Pricing Details'!$X:$X),0)</f>
        <v>0</v>
      </c>
      <c r="E20" s="20"/>
    </row>
    <row r="21" s="21" customFormat="true" ht="19.5" hidden="false" customHeight="true" outlineLevel="0" collapsed="false">
      <c r="A21" s="20"/>
      <c r="B21" s="47" t="s">
        <v>18</v>
      </c>
      <c r="C21" s="48"/>
      <c r="D21" s="49" t="n">
        <f aca="false">SUM(D18:D20)</f>
        <v>325.5</v>
      </c>
      <c r="E21" s="20"/>
    </row>
    <row r="22" s="21" customFormat="true" ht="19.5" hidden="false" customHeight="true" outlineLevel="0" collapsed="false">
      <c r="A22" s="20"/>
      <c r="B22" s="31" t="s">
        <v>19</v>
      </c>
      <c r="C22" s="50" t="str">
        <f aca="false">IF(VLOOKUP(D2,CustomerGroup[],2)+D16&gt;0,VLOOKUP(D2,CustomerGroup[],2)+D16,"")</f>
        <v/>
      </c>
      <c r="D22" s="33" t="n">
        <f aca="false">IFERROR(-ROUND(C22*D21,2),0)</f>
        <v>0</v>
      </c>
      <c r="E22" s="20"/>
    </row>
    <row r="23" s="54" customFormat="true" ht="31.5" hidden="false" customHeight="true" outlineLevel="0" collapsed="false">
      <c r="A23" s="51"/>
      <c r="B23" s="52" t="s">
        <v>20</v>
      </c>
      <c r="C23" s="53"/>
      <c r="D23" s="49" t="n">
        <f aca="false">IF(TeamAssuranceQuote="",SUM(D21:D22),MIN(ROUND(0.9*TeamAssuranceQuote,2),SUM(D21:D22)))</f>
        <v>325.5</v>
      </c>
      <c r="E23" s="51"/>
    </row>
    <row r="24" s="18" customFormat="true" ht="14.25" hidden="false" customHeight="false" outlineLevel="0" collapsed="false">
      <c r="A24" s="55"/>
      <c r="B24" s="56" t="s">
        <v>21</v>
      </c>
      <c r="C24" s="57"/>
      <c r="D24" s="58"/>
      <c r="E24" s="55"/>
    </row>
    <row r="25" s="21" customFormat="true" ht="19.5" hidden="false" customHeight="true" outlineLevel="0" collapsed="false">
      <c r="A25" s="20"/>
      <c r="B25" s="44" t="s">
        <v>22</v>
      </c>
      <c r="C25" s="45"/>
      <c r="D25" s="59" t="n">
        <f aca="false">VLOOKUP(Summary!D$6,PriorityProduction[],IF(Summary!D$14="Yes",3,2))</f>
        <v>0</v>
      </c>
      <c r="E25" s="20"/>
    </row>
    <row r="26" s="21" customFormat="true" ht="19.5" hidden="false" customHeight="true" outlineLevel="0" collapsed="false">
      <c r="A26" s="20"/>
      <c r="B26" s="44" t="s">
        <v>23</v>
      </c>
      <c r="C26" s="45"/>
      <c r="D26" s="59" t="n">
        <f aca="false">IF(D15="Yes",0,D$4)</f>
        <v>0</v>
      </c>
      <c r="E26" s="20"/>
    </row>
    <row r="27" s="64" customFormat="true" ht="30" hidden="false" customHeight="true" outlineLevel="0" collapsed="false">
      <c r="A27" s="60"/>
      <c r="B27" s="61" t="s">
        <v>24</v>
      </c>
      <c r="C27" s="62"/>
      <c r="D27" s="63" t="n">
        <f aca="false">IF(TeamAssuranceQuote="",D23,IF(D23&gt;TeamAssuranceQuote,0.9*TeamAssuranceQuote,D23))+SUM(D25:D26)</f>
        <v>325.5</v>
      </c>
      <c r="E27" s="60"/>
    </row>
    <row r="28" s="64" customFormat="true" ht="4.5" hidden="false" customHeight="true" outlineLevel="0" collapsed="false">
      <c r="A28" s="60"/>
      <c r="B28" s="65"/>
      <c r="D28" s="66"/>
      <c r="E28" s="60"/>
    </row>
    <row r="29" customFormat="false" ht="4.5" hidden="false" customHeight="true" outlineLevel="0" collapsed="false">
      <c r="A29" s="4"/>
      <c r="B29" s="67"/>
      <c r="C29" s="1"/>
      <c r="D29" s="68"/>
      <c r="E29" s="4"/>
    </row>
    <row r="30" customFormat="false" ht="14.25" hidden="false" customHeight="false" outlineLevel="0" collapsed="false">
      <c r="A30" s="4"/>
      <c r="B30" s="69" t="s">
        <v>25</v>
      </c>
      <c r="C30" s="70"/>
      <c r="D30" s="71" t="n">
        <f aca="false">D23/Jerseys</f>
        <v>65.1</v>
      </c>
      <c r="E30" s="4"/>
    </row>
    <row r="31" customFormat="false" ht="14.25" hidden="false" customHeight="false" outlineLevel="0" collapsed="false">
      <c r="A31" s="4"/>
      <c r="B31" s="72" t="s">
        <v>26</v>
      </c>
      <c r="C31" s="73"/>
      <c r="D31" s="74" t="n">
        <f aca="false">-SUM('Pricing Details'!$AB:$AB)/Jerseys-D22/Jerseys</f>
        <v>4.9</v>
      </c>
      <c r="E31" s="4"/>
    </row>
    <row r="32" customFormat="false" ht="14.25" hidden="false" customHeight="false" outlineLevel="0" collapsed="false">
      <c r="A32" s="4"/>
      <c r="B32" s="4"/>
      <c r="C32" s="4"/>
      <c r="D32" s="5"/>
      <c r="E32" s="4"/>
    </row>
  </sheetData>
  <sheetProtection algorithmName="SHA-512" hashValue="NN5PpzTVXh1aapY3W0dHmNeTAxpsP8mBgHsRQW6+Kc5YugLC/FdNLnxFnMCPcYKLmmy+10nECulkEtIvgjDeqA==" saltValue="cJ+t1SEIXMW6Z9lI/5NCVQ==" spinCount="100000" sheet="true" objects="true" scenarios="true"/>
  <protectedRanges>
    <protectedRange name="Range1" sqref="D2:D5"/>
  </protectedRanges>
  <dataValidations count="3">
    <dataValidation allowBlank="true" errorStyle="stop" operator="between" showDropDown="false" showErrorMessage="true" showInputMessage="true" sqref="C7:C8" type="list">
      <formula1>Prices!$DD$3:$DD$5</formula1>
      <formula2>0</formula2>
    </dataValidation>
    <dataValidation allowBlank="true" errorStyle="stop" operator="between" showDropDown="false" showErrorMessage="true" showInputMessage="true" sqref="D3" type="list">
      <formula1>Prices!$DP$3:$DP$4</formula1>
      <formula2>0</formula2>
    </dataValidation>
    <dataValidation allowBlank="true" errorStyle="stop" operator="between" showDropDown="false" showErrorMessage="true" showInputMessage="true" sqref="D2" type="list">
      <formula1>Prices!$EN$3:$EN$20</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B316"/>
  <sheetViews>
    <sheetView showFormulas="false" showGridLines="false" showRowColHeaders="true" showZeros="true" rightToLeft="false" tabSelected="true" showOutlineSymbols="true" defaultGridColor="true" view="normal" topLeftCell="A1" colorId="64" zoomScale="80" zoomScaleNormal="80" zoomScalePageLayoutView="100" workbookViewId="0">
      <pane xSplit="6" ySplit="0" topLeftCell="G1" activePane="topRight" state="frozen"/>
      <selection pane="topLeft" activeCell="A1" activeCellId="0" sqref="A1"/>
      <selection pane="topRight" activeCell="C14" activeCellId="0" sqref="C14"/>
    </sheetView>
  </sheetViews>
  <sheetFormatPr defaultColWidth="12.73046875" defaultRowHeight="12.8" zeroHeight="true" outlineLevelRow="0" outlineLevelCol="0"/>
  <cols>
    <col collapsed="false" customWidth="true" hidden="false" outlineLevel="0" max="1" min="1" style="4" width="2.73"/>
    <col collapsed="false" customWidth="true" hidden="false" outlineLevel="0" max="2" min="2" style="75" width="11.27"/>
    <col collapsed="false" customWidth="true" hidden="false" outlineLevel="0" max="3" min="3" style="75" width="50.64"/>
    <col collapsed="false" customWidth="true" hidden="false" outlineLevel="0" max="4" min="4" style="76" width="14.73"/>
    <col collapsed="false" customWidth="true" hidden="false" outlineLevel="0" max="6" min="5" style="75" width="19.09"/>
    <col collapsed="false" customWidth="true" hidden="false" outlineLevel="0" max="7" min="7" style="75" width="14.82"/>
    <col collapsed="false" customWidth="true" hidden="false" outlineLevel="0" max="8" min="8" style="75" width="18.91"/>
    <col collapsed="false" customWidth="true" hidden="false" outlineLevel="0" max="9" min="9" style="75" width="16.73"/>
    <col collapsed="false" customWidth="true" hidden="false" outlineLevel="0" max="10" min="10" style="75" width="22.73"/>
    <col collapsed="false" customWidth="true" hidden="false" outlineLevel="0" max="11" min="11" style="75" width="27.45"/>
    <col collapsed="false" customWidth="true" hidden="false" outlineLevel="0" max="12" min="12" style="75" width="15.27"/>
    <col collapsed="false" customWidth="true" hidden="false" outlineLevel="0" max="13" min="13" style="75" width="11.91"/>
    <col collapsed="false" customWidth="true" hidden="false" outlineLevel="0" max="14" min="14" style="75" width="24"/>
    <col collapsed="false" customWidth="true" hidden="false" outlineLevel="0" max="18" min="15" style="75" width="18.82"/>
    <col collapsed="false" customWidth="true" hidden="false" outlineLevel="0" max="19" min="19" style="75" width="16.27"/>
    <col collapsed="false" customWidth="true" hidden="false" outlineLevel="0" max="20" min="20" style="75" width="9.73"/>
    <col collapsed="false" customWidth="true" hidden="false" outlineLevel="0" max="21" min="21" style="75" width="41.27"/>
    <col collapsed="false" customWidth="true" hidden="false" outlineLevel="0" max="22" min="22" style="77" width="11"/>
    <col collapsed="false" customWidth="true" hidden="false" outlineLevel="0" max="24" min="23" style="78" width="11"/>
    <col collapsed="false" customWidth="true" hidden="false" outlineLevel="0" max="25" min="25" style="79" width="11"/>
    <col collapsed="false" customWidth="true" hidden="false" outlineLevel="0" max="26" min="26" style="78" width="11"/>
    <col collapsed="false" customWidth="true" hidden="false" outlineLevel="0" max="27" min="27" style="80" width="3.18"/>
    <col collapsed="false" customWidth="false" hidden="true" outlineLevel="0" max="29" min="28" style="1" width="12.73"/>
    <col collapsed="false" customWidth="true" hidden="true" outlineLevel="0" max="30" min="30" style="1" width="5"/>
    <col collapsed="false" customWidth="false" hidden="true" outlineLevel="0" max="31" min="31" style="1" width="12.73"/>
    <col collapsed="false" customWidth="true" hidden="true" outlineLevel="0" max="47" min="32" style="1" width="10.16"/>
    <col collapsed="false" customWidth="false" hidden="false" outlineLevel="0" max="16384" min="48" style="1" width="12.73"/>
  </cols>
  <sheetData>
    <row r="1" s="4" customFormat="true" ht="15" hidden="false" customHeight="true" outlineLevel="0" collapsed="false">
      <c r="B1" s="81"/>
      <c r="C1" s="81"/>
      <c r="D1" s="81"/>
      <c r="E1" s="82"/>
      <c r="F1" s="81"/>
      <c r="G1" s="83"/>
      <c r="H1" s="81"/>
      <c r="I1" s="81"/>
      <c r="J1" s="81"/>
      <c r="K1" s="81"/>
      <c r="L1" s="81"/>
      <c r="M1" s="81"/>
      <c r="N1" s="81"/>
      <c r="O1" s="81"/>
      <c r="P1" s="81"/>
      <c r="Q1" s="81"/>
      <c r="R1" s="81"/>
      <c r="S1" s="81"/>
      <c r="T1" s="81"/>
      <c r="U1" s="81"/>
      <c r="V1" s="81"/>
      <c r="W1" s="81"/>
      <c r="X1" s="84"/>
      <c r="Y1" s="80"/>
      <c r="Z1" s="80"/>
      <c r="AA1" s="80"/>
    </row>
    <row r="2" s="21" customFormat="true" ht="37.5" hidden="false" customHeight="true" outlineLevel="0" collapsed="false">
      <c r="A2" s="20"/>
      <c r="B2" s="85" t="s">
        <v>27</v>
      </c>
      <c r="C2" s="85"/>
      <c r="D2" s="85"/>
      <c r="E2" s="85"/>
      <c r="F2" s="86" t="n">
        <f aca="false">Summary!D21</f>
        <v>325.5</v>
      </c>
      <c r="G2" s="87"/>
      <c r="H2" s="88" t="s">
        <v>28</v>
      </c>
      <c r="I2" s="88"/>
      <c r="J2" s="88"/>
      <c r="K2" s="88"/>
      <c r="L2" s="88"/>
      <c r="M2" s="88"/>
      <c r="N2" s="89" t="s">
        <v>29</v>
      </c>
      <c r="O2" s="8"/>
      <c r="P2" s="90" t="s">
        <v>30</v>
      </c>
      <c r="Q2" s="90" t="s">
        <v>31</v>
      </c>
      <c r="R2" s="91" t="e">
        <f aca="false">Q10&gt;Q9</f>
        <v>#NAME?</v>
      </c>
      <c r="S2" s="92"/>
      <c r="T2" s="92"/>
      <c r="U2" s="92"/>
      <c r="V2" s="92"/>
      <c r="W2" s="92"/>
      <c r="X2" s="39"/>
      <c r="AA2" s="20"/>
    </row>
    <row r="3" s="21" customFormat="true" ht="30" hidden="false" customHeight="true" outlineLevel="0" collapsed="false">
      <c r="A3" s="20"/>
      <c r="B3" s="93" t="str">
        <f aca="false">IF(BOD_Discount&lt;&gt;"",Summary!$D$2&amp;" Discount","")</f>
        <v/>
      </c>
      <c r="C3" s="93"/>
      <c r="D3" s="93"/>
      <c r="E3" s="93"/>
      <c r="F3" s="94" t="str">
        <f aca="false">IF(Summary!$D$22=0,"",Summary!$D$22)</f>
        <v/>
      </c>
      <c r="G3" s="87"/>
      <c r="H3" s="95" t="s">
        <v>32</v>
      </c>
      <c r="I3" s="95"/>
      <c r="J3" s="95"/>
      <c r="K3" s="95"/>
      <c r="L3" s="95"/>
      <c r="M3" s="95"/>
      <c r="N3" s="96" t="s">
        <v>33</v>
      </c>
      <c r="O3" s="97"/>
      <c r="P3" s="98" t="str">
        <f aca="false">IF(F8="","",VLOOKUP(WEEKDAY(Q3,16),Day[],2))</f>
        <v/>
      </c>
      <c r="Q3" s="99" t="str">
        <f aca="false">IF(F8="","",LOOKUP(BOD_IHD,IHD_Calc[Delivery Date],IHD_Calc[Est Order Date]))</f>
        <v/>
      </c>
      <c r="T3" s="92"/>
      <c r="U3" s="92"/>
      <c r="V3" s="92"/>
      <c r="W3" s="92"/>
      <c r="X3" s="39"/>
      <c r="AA3" s="20"/>
    </row>
    <row r="4" s="21" customFormat="true" ht="30" hidden="false" customHeight="true" outlineLevel="0" collapsed="false">
      <c r="A4" s="20"/>
      <c r="B4" s="100" t="s">
        <v>34</v>
      </c>
      <c r="C4" s="101"/>
      <c r="D4" s="102" t="s">
        <v>35</v>
      </c>
      <c r="E4" s="102"/>
      <c r="F4" s="103" t="e">
        <f aca="false">_xlfn.xlookup(Selected_ProdPriority,ProductionPriority[Display],ProductionPriority[Fee])</f>
        <v>#NAME?</v>
      </c>
      <c r="G4" s="87"/>
      <c r="H4" s="95" t="s">
        <v>36</v>
      </c>
      <c r="I4" s="95"/>
      <c r="J4" s="95"/>
      <c r="K4" s="95"/>
      <c r="L4" s="95"/>
      <c r="M4" s="95"/>
      <c r="N4" s="104" t="s">
        <v>37</v>
      </c>
      <c r="O4" s="105"/>
      <c r="P4" s="106" t="str">
        <f aca="false">IF(F8="","",VLOOKUP(WEEKDAY(Q4,16),Day[],2))</f>
        <v/>
      </c>
      <c r="Q4" s="99" t="str">
        <f aca="false">IF(F8="","",LOOKUP(BOD_IHD,IHD_Calc[Delivery Date],IHD_Calc[Approval Date]))</f>
        <v/>
      </c>
      <c r="T4" s="92"/>
      <c r="U4" s="92"/>
      <c r="V4" s="92"/>
      <c r="W4" s="92"/>
      <c r="X4" s="39"/>
      <c r="AA4" s="20"/>
    </row>
    <row r="5" s="21" customFormat="true" ht="30" hidden="false" customHeight="true" outlineLevel="0" collapsed="false">
      <c r="A5" s="20"/>
      <c r="B5" s="107" t="s">
        <v>38</v>
      </c>
      <c r="C5" s="108"/>
      <c r="D5" s="108"/>
      <c r="E5" s="109"/>
      <c r="F5" s="110" t="e">
        <f aca="false">IF(_xlfn.xlookup(CustGroup,CustomerGroup[Customer Groups],CustomerGroup[Free Shipping])&gt;0,IF(_xlfn.xlookup(CustGroup,CustomerGroup[Customer Groups],CustomerGroup[Free Shipping])&lt;(F2+F3+ProductionFee),"FREE UPS GROUND",IF(Shipping&gt;0,Shipping,"TBD")),IF(Shipping&gt;0,Shipping,"TBD"))</f>
        <v>#NAME?</v>
      </c>
      <c r="G5" s="87"/>
      <c r="H5" s="95" t="s">
        <v>39</v>
      </c>
      <c r="I5" s="95"/>
      <c r="J5" s="95"/>
      <c r="K5" s="95"/>
      <c r="L5" s="95"/>
      <c r="M5" s="95"/>
      <c r="N5" s="100" t="s">
        <v>40</v>
      </c>
      <c r="O5" s="8"/>
      <c r="P5" s="8"/>
      <c r="Q5" s="111"/>
      <c r="R5" s="112"/>
      <c r="S5" s="112"/>
      <c r="T5" s="112"/>
      <c r="U5" s="112"/>
      <c r="V5" s="112"/>
      <c r="W5" s="112"/>
      <c r="X5" s="112"/>
      <c r="AA5" s="20"/>
    </row>
    <row r="6" s="21" customFormat="true" ht="30" hidden="false" customHeight="true" outlineLevel="0" collapsed="false">
      <c r="A6" s="20"/>
      <c r="B6" s="113" t="str">
        <f aca="false">"TOTAL PRICE BASED UPON "&amp;UPPER(CustGroup)&amp;" DISCOUNT"</f>
        <v>TOTAL PRICE BASED UPON WEBSITE DISCOUNT</v>
      </c>
      <c r="C6" s="113"/>
      <c r="D6" s="113"/>
      <c r="E6" s="113"/>
      <c r="F6" s="114" t="e">
        <f aca="false">IF(TeamAssuranceQuote="",SUM(F2:F5),MIN(ROUND(0.9*TeamAssuranceQuote,2),SUM(F2:F3))+SUM(F4:F5))</f>
        <v>#NAME?</v>
      </c>
      <c r="G6" s="87"/>
      <c r="H6" s="95" t="s">
        <v>41</v>
      </c>
      <c r="I6" s="95"/>
      <c r="J6" s="95"/>
      <c r="K6" s="95"/>
      <c r="L6" s="95"/>
      <c r="M6" s="95"/>
      <c r="N6" s="104" t="s">
        <v>42</v>
      </c>
      <c r="O6" s="105"/>
      <c r="P6" s="98" t="str">
        <f aca="false">IFERROR(IF(F8="","",VLOOKUP(WEEKDAY(Q6,16),Day[],2)),"Error")</f>
        <v/>
      </c>
      <c r="Q6" s="99" t="str">
        <f aca="false">IF(F8="","",LOOKUP(BOD_IHD,IHD_Calc[Delivery Date],IHD_Calc[In Transit]))</f>
        <v/>
      </c>
      <c r="T6" s="92"/>
      <c r="U6" s="92"/>
      <c r="V6" s="92"/>
      <c r="W6" s="92"/>
      <c r="X6" s="39"/>
      <c r="AA6" s="20"/>
    </row>
    <row r="7" s="21" customFormat="true" ht="30" hidden="false" customHeight="true" outlineLevel="0" collapsed="false">
      <c r="A7" s="20"/>
      <c r="B7" s="115" t="s">
        <v>43</v>
      </c>
      <c r="C7" s="115"/>
      <c r="D7" s="115"/>
      <c r="E7" s="116" t="n">
        <f aca="false">TeamAssuranceQuote</f>
        <v>0</v>
      </c>
      <c r="F7" s="117" t="b">
        <f aca="false">TeamAssuranceQuote&lt;&gt;""</f>
        <v>0</v>
      </c>
      <c r="G7" s="87"/>
      <c r="H7" s="95" t="s">
        <v>44</v>
      </c>
      <c r="I7" s="95"/>
      <c r="J7" s="95"/>
      <c r="K7" s="95"/>
      <c r="L7" s="95"/>
      <c r="M7" s="95"/>
      <c r="N7" s="7" t="s">
        <v>45</v>
      </c>
      <c r="O7" s="8"/>
      <c r="P7" s="90" t="str">
        <f aca="false">IF(F8="","","Tuesday")</f>
        <v/>
      </c>
      <c r="Q7" s="99" t="str">
        <f aca="false">IF(F8="","",LOOKUP(BOD_IHD,IHD_Calc[Delivery Date],IHD_Calc[Est Ship Date]))</f>
        <v/>
      </c>
      <c r="T7" s="92"/>
      <c r="U7" s="92"/>
      <c r="V7" s="92"/>
      <c r="W7" s="92"/>
      <c r="AA7" s="20"/>
    </row>
    <row r="8" s="21" customFormat="true" ht="30" hidden="false" customHeight="true" outlineLevel="0" collapsed="false">
      <c r="A8" s="20"/>
      <c r="B8" s="118" t="s">
        <v>46</v>
      </c>
      <c r="C8" s="118"/>
      <c r="D8" s="118"/>
      <c r="E8" s="119" t="str">
        <f aca="false">IF(F8="","",VLOOKUP(WEEKDAY(F8,16),Day[],2))</f>
        <v/>
      </c>
      <c r="F8" s="120"/>
      <c r="G8" s="117" t="b">
        <f aca="false">IF(BOD_IHD="",FALSE(),IFERROR(Q8&lt;&gt;"GROUND",TRUE()))</f>
        <v>0</v>
      </c>
      <c r="H8" s="95" t="s">
        <v>47</v>
      </c>
      <c r="I8" s="95"/>
      <c r="J8" s="95"/>
      <c r="K8" s="95"/>
      <c r="L8" s="95"/>
      <c r="M8" s="121"/>
      <c r="N8" s="7" t="s">
        <v>48</v>
      </c>
      <c r="O8" s="8"/>
      <c r="P8" s="119"/>
      <c r="Q8" s="122" t="str">
        <f aca="false">IF(F8="","",LOOKUP(BOD_IHD,IHD_Calc[Delivery Date],IHD_Calc[Shipping]))</f>
        <v/>
      </c>
      <c r="R8" s="123"/>
      <c r="S8" s="123"/>
      <c r="T8" s="123"/>
      <c r="U8" s="123"/>
      <c r="V8" s="123"/>
      <c r="W8" s="124"/>
      <c r="X8" s="123"/>
      <c r="AA8" s="20"/>
    </row>
    <row r="9" s="21" customFormat="true" ht="30" hidden="false" customHeight="true" outlineLevel="0" collapsed="false">
      <c r="A9" s="20"/>
      <c r="B9" s="125" t="str">
        <f aca="false">IF(BOD_IHD="","",VLOOKUP(BOD_IHD,Prices!$EI$3:$EL$13,4))</f>
        <v/>
      </c>
      <c r="C9" s="125"/>
      <c r="D9" s="125"/>
      <c r="E9" s="125"/>
      <c r="F9" s="125"/>
      <c r="G9" s="87"/>
      <c r="H9" s="95"/>
      <c r="I9" s="95"/>
      <c r="J9" s="95"/>
      <c r="K9" s="95"/>
      <c r="L9" s="95"/>
      <c r="M9" s="121"/>
      <c r="N9" s="126" t="s">
        <v>49</v>
      </c>
      <c r="O9" s="127"/>
      <c r="P9" s="128" t="str">
        <f aca="false">IF(F8="","",VLOOKUP(WEEKDAY(Q9,16),Day[],2))</f>
        <v/>
      </c>
      <c r="Q9" s="129" t="str">
        <f aca="false">IF(F8="","",LOOKUP(BOD_IHD,IHD_Calc[Delivery Date],IHD_Calc[Delivery Date]))</f>
        <v/>
      </c>
      <c r="R9" s="112" t="str">
        <f aca="false">IF(F8="","","   ** Bowlifi will use their best efforts to meet the In Hand Date, but In Hand Dates are not guaranteed.")</f>
        <v/>
      </c>
      <c r="S9" s="112"/>
      <c r="T9" s="112"/>
      <c r="U9" s="112"/>
      <c r="V9" s="112"/>
      <c r="W9" s="112"/>
      <c r="X9" s="112"/>
      <c r="AA9" s="20"/>
    </row>
    <row r="10" s="21" customFormat="true" ht="4.5" hidden="false" customHeight="true" outlineLevel="0" collapsed="false">
      <c r="A10" s="20"/>
      <c r="B10" s="130" t="s">
        <v>50</v>
      </c>
      <c r="C10" s="130"/>
      <c r="D10" s="130"/>
      <c r="E10" s="130"/>
      <c r="F10" s="130"/>
      <c r="G10" s="87"/>
      <c r="H10" s="95"/>
      <c r="I10" s="95"/>
      <c r="J10" s="95"/>
      <c r="K10" s="95"/>
      <c r="L10" s="95"/>
      <c r="M10" s="131"/>
      <c r="N10" s="132"/>
      <c r="Q10" s="133" t="e">
        <f aca="false">_xlfn.xlookup(Selected_ProdPriority,IHD_Calc[Production Priority],IHD_Calc[Delivery Date])</f>
        <v>#NAME?</v>
      </c>
      <c r="R10" s="112"/>
      <c r="S10" s="112"/>
      <c r="T10" s="112"/>
      <c r="U10" s="112"/>
      <c r="V10" s="112"/>
      <c r="W10" s="112"/>
      <c r="X10" s="112"/>
      <c r="AA10" s="134"/>
    </row>
    <row r="11" s="21" customFormat="true" ht="36" hidden="false" customHeight="true" outlineLevel="0" collapsed="false">
      <c r="A11" s="20"/>
      <c r="B11" s="130"/>
      <c r="C11" s="130"/>
      <c r="D11" s="130"/>
      <c r="E11" s="130"/>
      <c r="F11" s="130"/>
      <c r="G11" s="135"/>
      <c r="H11" s="136" t="s">
        <v>51</v>
      </c>
      <c r="I11" s="136"/>
      <c r="J11" s="136"/>
      <c r="K11" s="136"/>
      <c r="L11" s="136"/>
      <c r="M11" s="137"/>
      <c r="W11" s="92"/>
      <c r="AA11" s="20"/>
    </row>
    <row r="12" s="21" customFormat="true" ht="7.5" hidden="false" customHeight="true" outlineLevel="0" collapsed="false">
      <c r="A12" s="20"/>
      <c r="B12" s="138"/>
      <c r="C12" s="138"/>
      <c r="D12" s="138"/>
      <c r="E12" s="138"/>
      <c r="F12" s="138"/>
      <c r="G12" s="135"/>
      <c r="H12" s="92"/>
      <c r="I12" s="92"/>
      <c r="J12" s="92"/>
      <c r="K12" s="92"/>
      <c r="L12" s="92"/>
      <c r="M12" s="92"/>
      <c r="N12" s="92"/>
      <c r="O12" s="92"/>
      <c r="P12" s="92"/>
      <c r="Q12" s="92"/>
      <c r="R12" s="92"/>
      <c r="S12" s="92"/>
      <c r="T12" s="92"/>
      <c r="U12" s="92"/>
      <c r="V12" s="92"/>
      <c r="W12" s="92"/>
      <c r="X12" s="139"/>
      <c r="AA12" s="20"/>
    </row>
    <row r="13" s="149" customFormat="true" ht="46.25" hidden="false" customHeight="false" outlineLevel="0" collapsed="false">
      <c r="A13" s="140"/>
      <c r="B13" s="141" t="s">
        <v>52</v>
      </c>
      <c r="C13" s="142" t="s">
        <v>53</v>
      </c>
      <c r="D13" s="143" t="s">
        <v>54</v>
      </c>
      <c r="E13" s="142" t="s">
        <v>55</v>
      </c>
      <c r="F13" s="144" t="s">
        <v>56</v>
      </c>
      <c r="G13" s="142" t="s">
        <v>57</v>
      </c>
      <c r="H13" s="142" t="s">
        <v>58</v>
      </c>
      <c r="I13" s="144" t="s">
        <v>59</v>
      </c>
      <c r="J13" s="142" t="s">
        <v>60</v>
      </c>
      <c r="K13" s="142" t="str">
        <f aca="false">"Name on Back of Jersey (Optional +"&amp;TEXT(_xlfn.xlookup("Name",Name[Name],Name[Price]),"0.00")&amp;")"</f>
        <v>Name on Back of Jersey (Optional +8.00)</v>
      </c>
      <c r="L13" s="142" t="s">
        <v>61</v>
      </c>
      <c r="M13" s="142" t="s">
        <v>62</v>
      </c>
      <c r="N13" s="144" t="s">
        <v>63</v>
      </c>
      <c r="O13" s="142" t="s">
        <v>64</v>
      </c>
      <c r="P13" s="142" t="s">
        <v>65</v>
      </c>
      <c r="Q13" s="142" t="s">
        <v>66</v>
      </c>
      <c r="R13" s="142" t="s">
        <v>67</v>
      </c>
      <c r="S13" s="142" t="s">
        <v>68</v>
      </c>
      <c r="T13" s="142" t="s">
        <v>69</v>
      </c>
      <c r="U13" s="142" t="s">
        <v>70</v>
      </c>
      <c r="V13" s="145" t="s">
        <v>71</v>
      </c>
      <c r="W13" s="145" t="s">
        <v>72</v>
      </c>
      <c r="X13" s="145" t="s">
        <v>73</v>
      </c>
      <c r="Y13" s="146" t="s">
        <v>74</v>
      </c>
      <c r="Z13" s="147" t="s">
        <v>75</v>
      </c>
      <c r="AA13" s="148"/>
    </row>
    <row r="14" s="21" customFormat="true" ht="30" hidden="false" customHeight="true" outlineLevel="0" collapsed="false">
      <c r="A14" s="20"/>
      <c r="B14" s="128" t="n">
        <v>1</v>
      </c>
      <c r="C14" s="150"/>
      <c r="D14" s="151" t="n">
        <v>5</v>
      </c>
      <c r="E14" s="152" t="s">
        <v>76</v>
      </c>
      <c r="F14" s="152" t="s">
        <v>77</v>
      </c>
      <c r="G14" s="152" t="s">
        <v>78</v>
      </c>
      <c r="H14" s="152" t="s">
        <v>79</v>
      </c>
      <c r="I14" s="153" t="s">
        <v>80</v>
      </c>
      <c r="J14" s="152" t="s">
        <v>81</v>
      </c>
      <c r="K14" s="153" t="s">
        <v>82</v>
      </c>
      <c r="L14" s="152" t="s">
        <v>83</v>
      </c>
      <c r="M14" s="152" t="s">
        <v>84</v>
      </c>
      <c r="N14" s="152" t="s">
        <v>85</v>
      </c>
      <c r="O14" s="153"/>
      <c r="P14" s="153"/>
      <c r="Q14" s="153"/>
      <c r="R14" s="153"/>
      <c r="S14" s="153"/>
      <c r="T14" s="154"/>
      <c r="U14" s="154"/>
      <c r="V14" s="155" t="n">
        <f aca="false">IF(J14="","",'Pricing Details'!D4+'Pricing Details'!Q4)</f>
        <v>70</v>
      </c>
      <c r="W14" s="155" t="n">
        <f aca="false">IF(J14="","",'Pricing Details'!V4)</f>
        <v>-4.9</v>
      </c>
      <c r="X14" s="156" t="n">
        <f aca="false">IF(J14="","",'Pricing Details'!X4)</f>
        <v>65.1</v>
      </c>
      <c r="Y14" s="157" t="n">
        <f aca="false">'Pricing Details'!Z4</f>
        <v>5</v>
      </c>
      <c r="Z14" s="158" t="n">
        <f aca="false">'Pricing Details'!AC4</f>
        <v>325.5</v>
      </c>
      <c r="AA14" s="134"/>
      <c r="AB14" s="21" t="str">
        <f aca="false">IFERROR(_xlfn.xlookup(H14,Collection[Display],Collection[Line])&amp;_xlfn.xlookup(I14,Sleeve[Display],Sleeve[Sleeve]),"")</f>
        <v>PerformanceShort</v>
      </c>
    </row>
    <row r="15" s="21" customFormat="true" ht="30" hidden="false" customHeight="true" outlineLevel="0" collapsed="false">
      <c r="A15" s="20"/>
      <c r="B15" s="90" t="n">
        <v>2</v>
      </c>
      <c r="C15" s="150"/>
      <c r="D15" s="151"/>
      <c r="E15" s="152"/>
      <c r="F15" s="152"/>
      <c r="G15" s="152"/>
      <c r="H15" s="152"/>
      <c r="I15" s="153"/>
      <c r="J15" s="152"/>
      <c r="K15" s="153"/>
      <c r="L15" s="152"/>
      <c r="M15" s="152"/>
      <c r="N15" s="152"/>
      <c r="O15" s="153"/>
      <c r="P15" s="153"/>
      <c r="Q15" s="153"/>
      <c r="R15" s="153"/>
      <c r="S15" s="153"/>
      <c r="T15" s="154"/>
      <c r="U15" s="154"/>
      <c r="V15" s="155" t="str">
        <f aca="false">IF(J15="","",'Pricing Details'!D5+'Pricing Details'!Q5)</f>
        <v/>
      </c>
      <c r="W15" s="155" t="str">
        <f aca="false">IF(J15="","",'Pricing Details'!V5)</f>
        <v/>
      </c>
      <c r="X15" s="156" t="str">
        <f aca="false">IF(J15="","",'Pricing Details'!X5)</f>
        <v/>
      </c>
      <c r="Y15" s="157" t="str">
        <f aca="false">'Pricing Details'!Z5</f>
        <v/>
      </c>
      <c r="Z15" s="158" t="str">
        <f aca="false">'Pricing Details'!AC5</f>
        <v/>
      </c>
      <c r="AA15" s="134"/>
      <c r="AB15" s="21" t="str">
        <f aca="false">IFERROR(_xlfn.xlookup(H15,Collection[Display],Collection[Line])&amp;_xlfn.xlookup(I15,Sleeve[Display],Sleeve[Sleeve]),"")</f>
        <v/>
      </c>
    </row>
    <row r="16" s="21" customFormat="true" ht="30" hidden="false" customHeight="true" outlineLevel="0" collapsed="false">
      <c r="A16" s="20"/>
      <c r="B16" s="90" t="n">
        <v>3</v>
      </c>
      <c r="C16" s="150"/>
      <c r="D16" s="151"/>
      <c r="E16" s="152"/>
      <c r="F16" s="152"/>
      <c r="G16" s="152"/>
      <c r="H16" s="152"/>
      <c r="I16" s="153"/>
      <c r="J16" s="152"/>
      <c r="K16" s="153"/>
      <c r="L16" s="152"/>
      <c r="M16" s="152"/>
      <c r="N16" s="152"/>
      <c r="O16" s="153"/>
      <c r="P16" s="153"/>
      <c r="Q16" s="153"/>
      <c r="R16" s="153"/>
      <c r="S16" s="153"/>
      <c r="T16" s="154"/>
      <c r="U16" s="154"/>
      <c r="V16" s="155" t="str">
        <f aca="false">IF(J16="","",'Pricing Details'!D6+'Pricing Details'!Q6)</f>
        <v/>
      </c>
      <c r="W16" s="155" t="str">
        <f aca="false">IF(J16="","",'Pricing Details'!V6)</f>
        <v/>
      </c>
      <c r="X16" s="156" t="str">
        <f aca="false">IF(J16="","",'Pricing Details'!X6)</f>
        <v/>
      </c>
      <c r="Y16" s="157" t="str">
        <f aca="false">'Pricing Details'!Z6</f>
        <v/>
      </c>
      <c r="Z16" s="158" t="str">
        <f aca="false">'Pricing Details'!AC6</f>
        <v/>
      </c>
      <c r="AA16" s="134"/>
      <c r="AB16" s="21" t="str">
        <f aca="false">IFERROR(_xlfn.xlookup(H16,Collection[Display],Collection[Line])&amp;_xlfn.xlookup(I16,Sleeve[Display],Sleeve[Sleeve]),"")</f>
        <v/>
      </c>
    </row>
    <row r="17" s="21" customFormat="true" ht="30" hidden="false" customHeight="true" outlineLevel="0" collapsed="false">
      <c r="A17" s="20"/>
      <c r="B17" s="90" t="n">
        <v>4</v>
      </c>
      <c r="C17" s="150"/>
      <c r="D17" s="151"/>
      <c r="E17" s="152"/>
      <c r="F17" s="152"/>
      <c r="G17" s="152"/>
      <c r="H17" s="152"/>
      <c r="I17" s="153"/>
      <c r="J17" s="152"/>
      <c r="K17" s="153"/>
      <c r="L17" s="152"/>
      <c r="M17" s="152"/>
      <c r="N17" s="152"/>
      <c r="O17" s="153"/>
      <c r="P17" s="153"/>
      <c r="Q17" s="153"/>
      <c r="R17" s="153"/>
      <c r="S17" s="153"/>
      <c r="T17" s="154"/>
      <c r="U17" s="154"/>
      <c r="V17" s="155" t="str">
        <f aca="false">IF(J17="","",'Pricing Details'!D7+'Pricing Details'!Q7)</f>
        <v/>
      </c>
      <c r="W17" s="155" t="str">
        <f aca="false">IF(J17="","",'Pricing Details'!V7)</f>
        <v/>
      </c>
      <c r="X17" s="156" t="str">
        <f aca="false">IF(J17="","",'Pricing Details'!X7)</f>
        <v/>
      </c>
      <c r="Y17" s="157" t="str">
        <f aca="false">'Pricing Details'!Z7</f>
        <v/>
      </c>
      <c r="Z17" s="158" t="str">
        <f aca="false">'Pricing Details'!AC7</f>
        <v/>
      </c>
      <c r="AA17" s="134"/>
      <c r="AB17" s="21" t="str">
        <f aca="false">IFERROR(_xlfn.xlookup(H17,Collection[Display],Collection[Line])&amp;_xlfn.xlookup(I17,Sleeve[Display],Sleeve[Sleeve]),"")</f>
        <v/>
      </c>
    </row>
    <row r="18" s="21" customFormat="true" ht="30" hidden="false" customHeight="true" outlineLevel="0" collapsed="false">
      <c r="A18" s="20"/>
      <c r="B18" s="90" t="n">
        <v>5</v>
      </c>
      <c r="C18" s="150"/>
      <c r="D18" s="151"/>
      <c r="E18" s="152"/>
      <c r="F18" s="152"/>
      <c r="G18" s="152"/>
      <c r="H18" s="152"/>
      <c r="I18" s="153"/>
      <c r="J18" s="152"/>
      <c r="K18" s="153"/>
      <c r="L18" s="152"/>
      <c r="M18" s="152"/>
      <c r="N18" s="152"/>
      <c r="O18" s="153"/>
      <c r="P18" s="153"/>
      <c r="Q18" s="153"/>
      <c r="R18" s="153"/>
      <c r="S18" s="153"/>
      <c r="T18" s="154"/>
      <c r="U18" s="154"/>
      <c r="V18" s="155" t="str">
        <f aca="false">IF(J18="","",'Pricing Details'!D8+'Pricing Details'!Q8)</f>
        <v/>
      </c>
      <c r="W18" s="155" t="str">
        <f aca="false">IF(J18="","",'Pricing Details'!V8)</f>
        <v/>
      </c>
      <c r="X18" s="156" t="str">
        <f aca="false">IF(J18="","",'Pricing Details'!X8)</f>
        <v/>
      </c>
      <c r="Y18" s="157" t="str">
        <f aca="false">'Pricing Details'!Z8</f>
        <v/>
      </c>
      <c r="Z18" s="158" t="str">
        <f aca="false">'Pricing Details'!AC8</f>
        <v/>
      </c>
      <c r="AA18" s="134"/>
      <c r="AB18" s="21" t="str">
        <f aca="false">IFERROR(_xlfn.xlookup(H18,Collection[Display],Collection[Line])&amp;_xlfn.xlookup(I18,Sleeve[Display],Sleeve[Sleeve]),"")</f>
        <v/>
      </c>
    </row>
    <row r="19" s="21" customFormat="true" ht="30" hidden="false" customHeight="true" outlineLevel="0" collapsed="false">
      <c r="A19" s="20"/>
      <c r="B19" s="90" t="n">
        <v>6</v>
      </c>
      <c r="C19" s="150"/>
      <c r="D19" s="151"/>
      <c r="E19" s="152"/>
      <c r="F19" s="152"/>
      <c r="G19" s="152"/>
      <c r="H19" s="152"/>
      <c r="I19" s="153"/>
      <c r="J19" s="152"/>
      <c r="K19" s="153"/>
      <c r="L19" s="152"/>
      <c r="M19" s="152"/>
      <c r="N19" s="152"/>
      <c r="O19" s="153"/>
      <c r="P19" s="153"/>
      <c r="Q19" s="153"/>
      <c r="R19" s="153"/>
      <c r="S19" s="153"/>
      <c r="T19" s="154"/>
      <c r="U19" s="154"/>
      <c r="V19" s="155" t="str">
        <f aca="false">IF(J19="","",'Pricing Details'!D9+'Pricing Details'!Q9)</f>
        <v/>
      </c>
      <c r="W19" s="155" t="str">
        <f aca="false">IF(J19="","",'Pricing Details'!V9)</f>
        <v/>
      </c>
      <c r="X19" s="156" t="str">
        <f aca="false">IF(J19="","",'Pricing Details'!X9)</f>
        <v/>
      </c>
      <c r="Y19" s="157" t="str">
        <f aca="false">'Pricing Details'!Z9</f>
        <v/>
      </c>
      <c r="Z19" s="158" t="str">
        <f aca="false">'Pricing Details'!AC9</f>
        <v/>
      </c>
      <c r="AA19" s="20"/>
      <c r="AB19" s="21" t="str">
        <f aca="false">IFERROR(_xlfn.xlookup(H19,Collection[Display],Collection[Line])&amp;_xlfn.xlookup(I19,Sleeve[Display],Sleeve[Sleeve]),"")</f>
        <v/>
      </c>
    </row>
    <row r="20" s="21" customFormat="true" ht="30" hidden="false" customHeight="true" outlineLevel="0" collapsed="false">
      <c r="A20" s="20"/>
      <c r="B20" s="90" t="n">
        <v>7</v>
      </c>
      <c r="C20" s="150"/>
      <c r="D20" s="151"/>
      <c r="E20" s="152"/>
      <c r="F20" s="152"/>
      <c r="G20" s="152"/>
      <c r="H20" s="152"/>
      <c r="I20" s="153"/>
      <c r="J20" s="152"/>
      <c r="K20" s="153"/>
      <c r="L20" s="152"/>
      <c r="M20" s="152"/>
      <c r="N20" s="152"/>
      <c r="O20" s="153"/>
      <c r="P20" s="153"/>
      <c r="Q20" s="153"/>
      <c r="R20" s="153"/>
      <c r="S20" s="153"/>
      <c r="T20" s="154"/>
      <c r="U20" s="154"/>
      <c r="V20" s="155" t="str">
        <f aca="false">IF(J20="","",'Pricing Details'!D10+'Pricing Details'!Q10)</f>
        <v/>
      </c>
      <c r="W20" s="155" t="str">
        <f aca="false">IF(J20="","",'Pricing Details'!V10)</f>
        <v/>
      </c>
      <c r="X20" s="156" t="str">
        <f aca="false">IF(J20="","",'Pricing Details'!X10)</f>
        <v/>
      </c>
      <c r="Y20" s="157" t="str">
        <f aca="false">'Pricing Details'!Z10</f>
        <v/>
      </c>
      <c r="Z20" s="158" t="str">
        <f aca="false">'Pricing Details'!AC10</f>
        <v/>
      </c>
      <c r="AA20" s="20"/>
      <c r="AB20" s="21" t="str">
        <f aca="false">IFERROR(_xlfn.xlookup(H20,Collection[Display],Collection[Line])&amp;_xlfn.xlookup(I20,Sleeve[Display],Sleeve[Sleeve]),"")</f>
        <v/>
      </c>
    </row>
    <row r="21" s="21" customFormat="true" ht="30" hidden="false" customHeight="true" outlineLevel="0" collapsed="false">
      <c r="A21" s="20"/>
      <c r="B21" s="90" t="n">
        <v>8</v>
      </c>
      <c r="C21" s="150"/>
      <c r="D21" s="151"/>
      <c r="E21" s="152"/>
      <c r="F21" s="152"/>
      <c r="G21" s="152"/>
      <c r="H21" s="152"/>
      <c r="I21" s="153"/>
      <c r="J21" s="152"/>
      <c r="K21" s="153"/>
      <c r="L21" s="152"/>
      <c r="M21" s="152"/>
      <c r="N21" s="152"/>
      <c r="O21" s="153"/>
      <c r="P21" s="153"/>
      <c r="Q21" s="153"/>
      <c r="R21" s="153"/>
      <c r="S21" s="153"/>
      <c r="T21" s="154"/>
      <c r="U21" s="154"/>
      <c r="V21" s="155" t="str">
        <f aca="false">IF(J21="","",'Pricing Details'!D11+'Pricing Details'!Q11)</f>
        <v/>
      </c>
      <c r="W21" s="155" t="str">
        <f aca="false">IF(J21="","",'Pricing Details'!V11)</f>
        <v/>
      </c>
      <c r="X21" s="156" t="str">
        <f aca="false">IF(J21="","",'Pricing Details'!X11)</f>
        <v/>
      </c>
      <c r="Y21" s="157" t="str">
        <f aca="false">'Pricing Details'!Z11</f>
        <v/>
      </c>
      <c r="Z21" s="158" t="str">
        <f aca="false">'Pricing Details'!AC11</f>
        <v/>
      </c>
      <c r="AA21" s="20"/>
      <c r="AB21" s="21" t="str">
        <f aca="false">IFERROR(_xlfn.xlookup(H21,Collection[Display],Collection[Line])&amp;_xlfn.xlookup(I21,Sleeve[Display],Sleeve[Sleeve]),"")</f>
        <v/>
      </c>
    </row>
    <row r="22" s="21" customFormat="true" ht="30" hidden="false" customHeight="true" outlineLevel="0" collapsed="false">
      <c r="A22" s="20"/>
      <c r="B22" s="90" t="n">
        <v>9</v>
      </c>
      <c r="C22" s="150"/>
      <c r="D22" s="151"/>
      <c r="E22" s="152"/>
      <c r="F22" s="152"/>
      <c r="G22" s="152"/>
      <c r="H22" s="152"/>
      <c r="I22" s="153"/>
      <c r="J22" s="152"/>
      <c r="K22" s="153"/>
      <c r="L22" s="152"/>
      <c r="M22" s="152"/>
      <c r="N22" s="152"/>
      <c r="O22" s="153"/>
      <c r="P22" s="153"/>
      <c r="Q22" s="153"/>
      <c r="R22" s="153"/>
      <c r="S22" s="153"/>
      <c r="T22" s="154"/>
      <c r="U22" s="154"/>
      <c r="V22" s="155" t="str">
        <f aca="false">IF(J22="","",'Pricing Details'!D12+'Pricing Details'!Q12)</f>
        <v/>
      </c>
      <c r="W22" s="155" t="str">
        <f aca="false">IF(J22="","",'Pricing Details'!V12)</f>
        <v/>
      </c>
      <c r="X22" s="156" t="str">
        <f aca="false">IF(J22="","",'Pricing Details'!X12)</f>
        <v/>
      </c>
      <c r="Y22" s="157" t="str">
        <f aca="false">'Pricing Details'!Z12</f>
        <v/>
      </c>
      <c r="Z22" s="158" t="str">
        <f aca="false">'Pricing Details'!AC12</f>
        <v/>
      </c>
      <c r="AA22" s="20"/>
      <c r="AB22" s="21" t="str">
        <f aca="false">IFERROR(_xlfn.xlookup(H22,Collection[Display],Collection[Line])&amp;_xlfn.xlookup(I22,Sleeve[Display],Sleeve[Sleeve]),"")</f>
        <v/>
      </c>
    </row>
    <row r="23" s="21" customFormat="true" ht="30" hidden="false" customHeight="true" outlineLevel="0" collapsed="false">
      <c r="A23" s="20"/>
      <c r="B23" s="90" t="n">
        <v>10</v>
      </c>
      <c r="C23" s="150"/>
      <c r="D23" s="151"/>
      <c r="E23" s="152"/>
      <c r="F23" s="152"/>
      <c r="G23" s="152"/>
      <c r="H23" s="152"/>
      <c r="I23" s="153"/>
      <c r="J23" s="152"/>
      <c r="K23" s="153"/>
      <c r="L23" s="152"/>
      <c r="M23" s="152"/>
      <c r="N23" s="152"/>
      <c r="O23" s="153"/>
      <c r="P23" s="153"/>
      <c r="Q23" s="153"/>
      <c r="R23" s="153"/>
      <c r="S23" s="153"/>
      <c r="T23" s="154"/>
      <c r="U23" s="154"/>
      <c r="V23" s="155" t="str">
        <f aca="false">IF(J23="","",'Pricing Details'!D13+'Pricing Details'!Q13)</f>
        <v/>
      </c>
      <c r="W23" s="155" t="str">
        <f aca="false">IF(J23="","",'Pricing Details'!V13)</f>
        <v/>
      </c>
      <c r="X23" s="156" t="str">
        <f aca="false">IF(J23="","",'Pricing Details'!X13)</f>
        <v/>
      </c>
      <c r="Y23" s="157" t="str">
        <f aca="false">'Pricing Details'!Z13</f>
        <v/>
      </c>
      <c r="Z23" s="158" t="str">
        <f aca="false">'Pricing Details'!AC13</f>
        <v/>
      </c>
      <c r="AA23" s="20"/>
      <c r="AB23" s="21" t="str">
        <f aca="false">IFERROR(_xlfn.xlookup(H23,Collection[Display],Collection[Line])&amp;_xlfn.xlookup(I23,Sleeve[Display],Sleeve[Sleeve]),"")</f>
        <v/>
      </c>
    </row>
    <row r="24" s="21" customFormat="true" ht="30" hidden="false" customHeight="true" outlineLevel="0" collapsed="false">
      <c r="A24" s="20"/>
      <c r="B24" s="90" t="n">
        <v>11</v>
      </c>
      <c r="C24" s="150"/>
      <c r="D24" s="151"/>
      <c r="E24" s="152"/>
      <c r="F24" s="152"/>
      <c r="G24" s="152"/>
      <c r="H24" s="152"/>
      <c r="I24" s="153"/>
      <c r="J24" s="152"/>
      <c r="K24" s="153"/>
      <c r="L24" s="152"/>
      <c r="M24" s="152"/>
      <c r="N24" s="152"/>
      <c r="O24" s="153"/>
      <c r="P24" s="153"/>
      <c r="Q24" s="153"/>
      <c r="R24" s="153"/>
      <c r="S24" s="153"/>
      <c r="T24" s="154"/>
      <c r="U24" s="154"/>
      <c r="V24" s="155" t="str">
        <f aca="false">IF(J24="","",'Pricing Details'!D14+'Pricing Details'!Q14)</f>
        <v/>
      </c>
      <c r="W24" s="155" t="str">
        <f aca="false">IF(J24="","",'Pricing Details'!V14)</f>
        <v/>
      </c>
      <c r="X24" s="156" t="str">
        <f aca="false">IF(J24="","",'Pricing Details'!X14)</f>
        <v/>
      </c>
      <c r="Y24" s="157" t="str">
        <f aca="false">'Pricing Details'!Z14</f>
        <v/>
      </c>
      <c r="Z24" s="158" t="str">
        <f aca="false">'Pricing Details'!AC14</f>
        <v/>
      </c>
      <c r="AA24" s="20"/>
      <c r="AB24" s="21" t="str">
        <f aca="false">IFERROR(_xlfn.xlookup(H24,Collection[Display],Collection[Line])&amp;_xlfn.xlookup(I24,Sleeve[Display],Sleeve[Sleeve]),"")</f>
        <v/>
      </c>
    </row>
    <row r="25" s="21" customFormat="true" ht="30" hidden="false" customHeight="true" outlineLevel="0" collapsed="false">
      <c r="A25" s="20"/>
      <c r="B25" s="90" t="n">
        <v>12</v>
      </c>
      <c r="C25" s="150"/>
      <c r="D25" s="151"/>
      <c r="E25" s="152"/>
      <c r="F25" s="152"/>
      <c r="G25" s="152"/>
      <c r="H25" s="152"/>
      <c r="I25" s="153"/>
      <c r="J25" s="152"/>
      <c r="K25" s="153"/>
      <c r="L25" s="152"/>
      <c r="M25" s="152"/>
      <c r="N25" s="152"/>
      <c r="O25" s="153"/>
      <c r="P25" s="153"/>
      <c r="Q25" s="153"/>
      <c r="R25" s="153"/>
      <c r="S25" s="153"/>
      <c r="T25" s="154"/>
      <c r="U25" s="154"/>
      <c r="V25" s="155" t="str">
        <f aca="false">IF(J25="","",'Pricing Details'!D15+'Pricing Details'!Q15)</f>
        <v/>
      </c>
      <c r="W25" s="155" t="str">
        <f aca="false">IF(J25="","",'Pricing Details'!V15)</f>
        <v/>
      </c>
      <c r="X25" s="156" t="str">
        <f aca="false">IF(J25="","",'Pricing Details'!X15)</f>
        <v/>
      </c>
      <c r="Y25" s="157" t="str">
        <f aca="false">'Pricing Details'!Z15</f>
        <v/>
      </c>
      <c r="Z25" s="158" t="str">
        <f aca="false">'Pricing Details'!AC15</f>
        <v/>
      </c>
      <c r="AA25" s="20"/>
      <c r="AB25" s="21" t="str">
        <f aca="false">IFERROR(_xlfn.xlookup(H25,Collection[Display],Collection[Line])&amp;_xlfn.xlookup(I25,Sleeve[Display],Sleeve[Sleeve]),"")</f>
        <v/>
      </c>
    </row>
    <row r="26" s="21" customFormat="true" ht="30" hidden="false" customHeight="true" outlineLevel="0" collapsed="false">
      <c r="A26" s="20"/>
      <c r="B26" s="90" t="n">
        <v>13</v>
      </c>
      <c r="C26" s="150"/>
      <c r="D26" s="151"/>
      <c r="E26" s="152"/>
      <c r="F26" s="152"/>
      <c r="G26" s="152"/>
      <c r="H26" s="152"/>
      <c r="I26" s="153"/>
      <c r="J26" s="152"/>
      <c r="K26" s="153"/>
      <c r="L26" s="152"/>
      <c r="M26" s="152"/>
      <c r="N26" s="152"/>
      <c r="O26" s="153"/>
      <c r="P26" s="153"/>
      <c r="Q26" s="153"/>
      <c r="R26" s="153"/>
      <c r="S26" s="153"/>
      <c r="T26" s="154"/>
      <c r="U26" s="154"/>
      <c r="V26" s="155" t="str">
        <f aca="false">IF(J26="","",'Pricing Details'!D16+'Pricing Details'!Q16)</f>
        <v/>
      </c>
      <c r="W26" s="155" t="str">
        <f aca="false">IF(J26="","",'Pricing Details'!V16)</f>
        <v/>
      </c>
      <c r="X26" s="156" t="str">
        <f aca="false">IF(J26="","",'Pricing Details'!X16)</f>
        <v/>
      </c>
      <c r="Y26" s="157" t="str">
        <f aca="false">'Pricing Details'!Z16</f>
        <v/>
      </c>
      <c r="Z26" s="158" t="str">
        <f aca="false">'Pricing Details'!AC16</f>
        <v/>
      </c>
      <c r="AA26" s="20"/>
      <c r="AB26" s="21" t="str">
        <f aca="false">IFERROR(_xlfn.xlookup(H26,Collection[Display],Collection[Line])&amp;_xlfn.xlookup(I26,Sleeve[Display],Sleeve[Sleeve]),"")</f>
        <v/>
      </c>
    </row>
    <row r="27" s="21" customFormat="true" ht="30" hidden="false" customHeight="true" outlineLevel="0" collapsed="false">
      <c r="A27" s="20"/>
      <c r="B27" s="90" t="n">
        <v>14</v>
      </c>
      <c r="C27" s="150"/>
      <c r="D27" s="151"/>
      <c r="E27" s="152"/>
      <c r="F27" s="152"/>
      <c r="G27" s="152"/>
      <c r="H27" s="152"/>
      <c r="I27" s="153"/>
      <c r="J27" s="152"/>
      <c r="K27" s="153"/>
      <c r="L27" s="152"/>
      <c r="M27" s="152"/>
      <c r="N27" s="152"/>
      <c r="O27" s="153"/>
      <c r="P27" s="153"/>
      <c r="Q27" s="153"/>
      <c r="R27" s="153"/>
      <c r="S27" s="153"/>
      <c r="T27" s="154"/>
      <c r="U27" s="154"/>
      <c r="V27" s="155" t="str">
        <f aca="false">IF(J27="","",'Pricing Details'!D17+'Pricing Details'!Q17)</f>
        <v/>
      </c>
      <c r="W27" s="155" t="str">
        <f aca="false">IF(J27="","",'Pricing Details'!V17)</f>
        <v/>
      </c>
      <c r="X27" s="156" t="str">
        <f aca="false">IF(J27="","",'Pricing Details'!X17)</f>
        <v/>
      </c>
      <c r="Y27" s="157" t="str">
        <f aca="false">'Pricing Details'!Z17</f>
        <v/>
      </c>
      <c r="Z27" s="158" t="str">
        <f aca="false">'Pricing Details'!AC17</f>
        <v/>
      </c>
      <c r="AA27" s="20"/>
      <c r="AB27" s="21" t="str">
        <f aca="false">IFERROR(_xlfn.xlookup(H27,Collection[Display],Collection[Line])&amp;_xlfn.xlookup(I27,Sleeve[Display],Sleeve[Sleeve]),"")</f>
        <v/>
      </c>
    </row>
    <row r="28" s="21" customFormat="true" ht="30" hidden="false" customHeight="true" outlineLevel="0" collapsed="false">
      <c r="A28" s="20"/>
      <c r="B28" s="90" t="n">
        <v>15</v>
      </c>
      <c r="C28" s="150"/>
      <c r="D28" s="151"/>
      <c r="E28" s="152"/>
      <c r="F28" s="152"/>
      <c r="G28" s="152"/>
      <c r="H28" s="152"/>
      <c r="I28" s="153"/>
      <c r="J28" s="152"/>
      <c r="K28" s="153"/>
      <c r="L28" s="152"/>
      <c r="M28" s="152"/>
      <c r="N28" s="152"/>
      <c r="O28" s="153"/>
      <c r="P28" s="153"/>
      <c r="Q28" s="153"/>
      <c r="R28" s="153"/>
      <c r="S28" s="153"/>
      <c r="T28" s="154"/>
      <c r="U28" s="154"/>
      <c r="V28" s="155" t="str">
        <f aca="false">IF(J28="","",'Pricing Details'!D18+'Pricing Details'!Q18)</f>
        <v/>
      </c>
      <c r="W28" s="155" t="str">
        <f aca="false">IF(J28="","",'Pricing Details'!V18)</f>
        <v/>
      </c>
      <c r="X28" s="156" t="str">
        <f aca="false">IF(J28="","",'Pricing Details'!X18)</f>
        <v/>
      </c>
      <c r="Y28" s="157" t="str">
        <f aca="false">'Pricing Details'!Z18</f>
        <v/>
      </c>
      <c r="Z28" s="158" t="str">
        <f aca="false">'Pricing Details'!AC18</f>
        <v/>
      </c>
      <c r="AA28" s="20"/>
      <c r="AB28" s="21" t="str">
        <f aca="false">IFERROR(_xlfn.xlookup(H28,Collection[Display],Collection[Line])&amp;_xlfn.xlookup(I28,Sleeve[Display],Sleeve[Sleeve]),"")</f>
        <v/>
      </c>
    </row>
    <row r="29" s="21" customFormat="true" ht="30" hidden="false" customHeight="true" outlineLevel="0" collapsed="false">
      <c r="A29" s="20"/>
      <c r="B29" s="90" t="n">
        <v>16</v>
      </c>
      <c r="C29" s="150"/>
      <c r="D29" s="151"/>
      <c r="E29" s="152"/>
      <c r="F29" s="152"/>
      <c r="G29" s="152"/>
      <c r="H29" s="152"/>
      <c r="I29" s="153"/>
      <c r="J29" s="152"/>
      <c r="K29" s="153"/>
      <c r="L29" s="152"/>
      <c r="M29" s="152"/>
      <c r="N29" s="152"/>
      <c r="O29" s="153"/>
      <c r="P29" s="153"/>
      <c r="Q29" s="153"/>
      <c r="R29" s="153"/>
      <c r="S29" s="153"/>
      <c r="T29" s="154"/>
      <c r="U29" s="154"/>
      <c r="V29" s="155" t="str">
        <f aca="false">IF(J29="","",'Pricing Details'!D19+'Pricing Details'!Q19)</f>
        <v/>
      </c>
      <c r="W29" s="155" t="str">
        <f aca="false">IF(J29="","",'Pricing Details'!V19)</f>
        <v/>
      </c>
      <c r="X29" s="156" t="str">
        <f aca="false">IF(J29="","",'Pricing Details'!X19)</f>
        <v/>
      </c>
      <c r="Y29" s="157" t="str">
        <f aca="false">'Pricing Details'!Z19</f>
        <v/>
      </c>
      <c r="Z29" s="158" t="str">
        <f aca="false">'Pricing Details'!AC19</f>
        <v/>
      </c>
      <c r="AA29" s="20"/>
      <c r="AB29" s="21" t="str">
        <f aca="false">IFERROR(_xlfn.xlookup(H29,Collection[Display],Collection[Line])&amp;_xlfn.xlookup(I29,Sleeve[Display],Sleeve[Sleeve]),"")</f>
        <v/>
      </c>
    </row>
    <row r="30" s="21" customFormat="true" ht="30" hidden="false" customHeight="true" outlineLevel="0" collapsed="false">
      <c r="A30" s="20"/>
      <c r="B30" s="90" t="n">
        <v>17</v>
      </c>
      <c r="C30" s="150"/>
      <c r="D30" s="151"/>
      <c r="E30" s="152"/>
      <c r="F30" s="152"/>
      <c r="G30" s="152"/>
      <c r="H30" s="152"/>
      <c r="I30" s="153"/>
      <c r="J30" s="152"/>
      <c r="K30" s="153"/>
      <c r="L30" s="152"/>
      <c r="M30" s="152"/>
      <c r="N30" s="152"/>
      <c r="O30" s="153"/>
      <c r="P30" s="153"/>
      <c r="Q30" s="153"/>
      <c r="R30" s="153"/>
      <c r="S30" s="153"/>
      <c r="T30" s="154"/>
      <c r="U30" s="154"/>
      <c r="V30" s="155" t="str">
        <f aca="false">IF(J30="","",'Pricing Details'!D20+'Pricing Details'!Q20)</f>
        <v/>
      </c>
      <c r="W30" s="155" t="str">
        <f aca="false">IF(J30="","",'Pricing Details'!V20)</f>
        <v/>
      </c>
      <c r="X30" s="156" t="str">
        <f aca="false">IF(J30="","",'Pricing Details'!X20)</f>
        <v/>
      </c>
      <c r="Y30" s="157" t="str">
        <f aca="false">'Pricing Details'!Z20</f>
        <v/>
      </c>
      <c r="Z30" s="158" t="str">
        <f aca="false">'Pricing Details'!AC20</f>
        <v/>
      </c>
      <c r="AA30" s="20"/>
      <c r="AB30" s="21" t="str">
        <f aca="false">IFERROR(_xlfn.xlookup(H30,Collection[Display],Collection[Line])&amp;_xlfn.xlookup(I30,Sleeve[Display],Sleeve[Sleeve]),"")</f>
        <v/>
      </c>
    </row>
    <row r="31" s="21" customFormat="true" ht="30" hidden="false" customHeight="true" outlineLevel="0" collapsed="false">
      <c r="A31" s="20"/>
      <c r="B31" s="90" t="n">
        <v>18</v>
      </c>
      <c r="C31" s="150"/>
      <c r="D31" s="151"/>
      <c r="E31" s="152"/>
      <c r="F31" s="152"/>
      <c r="G31" s="152"/>
      <c r="H31" s="152"/>
      <c r="I31" s="153"/>
      <c r="J31" s="152"/>
      <c r="K31" s="153"/>
      <c r="L31" s="152"/>
      <c r="M31" s="152"/>
      <c r="N31" s="152"/>
      <c r="O31" s="153"/>
      <c r="P31" s="153"/>
      <c r="Q31" s="153"/>
      <c r="R31" s="153"/>
      <c r="S31" s="153"/>
      <c r="T31" s="154"/>
      <c r="U31" s="154"/>
      <c r="V31" s="155" t="str">
        <f aca="false">IF(J31="","",'Pricing Details'!D21+'Pricing Details'!Q21)</f>
        <v/>
      </c>
      <c r="W31" s="155" t="str">
        <f aca="false">IF(J31="","",'Pricing Details'!V21)</f>
        <v/>
      </c>
      <c r="X31" s="156" t="str">
        <f aca="false">IF(J31="","",'Pricing Details'!X21)</f>
        <v/>
      </c>
      <c r="Y31" s="157" t="str">
        <f aca="false">'Pricing Details'!Z21</f>
        <v/>
      </c>
      <c r="Z31" s="158" t="str">
        <f aca="false">'Pricing Details'!AC21</f>
        <v/>
      </c>
      <c r="AA31" s="20"/>
      <c r="AB31" s="21" t="str">
        <f aca="false">IFERROR(_xlfn.xlookup(H31,Collection[Display],Collection[Line])&amp;_xlfn.xlookup(I31,Sleeve[Display],Sleeve[Sleeve]),"")</f>
        <v/>
      </c>
    </row>
    <row r="32" s="21" customFormat="true" ht="30" hidden="false" customHeight="true" outlineLevel="0" collapsed="false">
      <c r="A32" s="20"/>
      <c r="B32" s="90" t="n">
        <v>19</v>
      </c>
      <c r="C32" s="150"/>
      <c r="D32" s="151"/>
      <c r="E32" s="152"/>
      <c r="F32" s="152"/>
      <c r="G32" s="152"/>
      <c r="H32" s="152"/>
      <c r="I32" s="153"/>
      <c r="J32" s="152"/>
      <c r="K32" s="153"/>
      <c r="L32" s="152"/>
      <c r="M32" s="152"/>
      <c r="N32" s="152"/>
      <c r="O32" s="153"/>
      <c r="P32" s="153"/>
      <c r="Q32" s="153"/>
      <c r="R32" s="153"/>
      <c r="S32" s="153"/>
      <c r="T32" s="154"/>
      <c r="U32" s="154"/>
      <c r="V32" s="155" t="str">
        <f aca="false">IF(J32="","",'Pricing Details'!D22+'Pricing Details'!Q22)</f>
        <v/>
      </c>
      <c r="W32" s="155" t="str">
        <f aca="false">IF(J32="","",'Pricing Details'!V22)</f>
        <v/>
      </c>
      <c r="X32" s="156" t="str">
        <f aca="false">IF(J32="","",'Pricing Details'!X22)</f>
        <v/>
      </c>
      <c r="Y32" s="157" t="str">
        <f aca="false">'Pricing Details'!Z22</f>
        <v/>
      </c>
      <c r="Z32" s="158" t="str">
        <f aca="false">'Pricing Details'!AC22</f>
        <v/>
      </c>
      <c r="AA32" s="20"/>
      <c r="AB32" s="21" t="str">
        <f aca="false">IFERROR(_xlfn.xlookup(H32,Collection[Display],Collection[Line])&amp;_xlfn.xlookup(I32,Sleeve[Display],Sleeve[Sleeve]),"")</f>
        <v/>
      </c>
    </row>
    <row r="33" s="21" customFormat="true" ht="30" hidden="false" customHeight="true" outlineLevel="0" collapsed="false">
      <c r="A33" s="20"/>
      <c r="B33" s="90" t="n">
        <v>20</v>
      </c>
      <c r="C33" s="150"/>
      <c r="D33" s="151"/>
      <c r="E33" s="152"/>
      <c r="F33" s="152"/>
      <c r="G33" s="152"/>
      <c r="H33" s="152"/>
      <c r="I33" s="153"/>
      <c r="J33" s="152"/>
      <c r="K33" s="153"/>
      <c r="L33" s="152"/>
      <c r="M33" s="152"/>
      <c r="N33" s="152"/>
      <c r="O33" s="153"/>
      <c r="P33" s="153"/>
      <c r="Q33" s="153"/>
      <c r="R33" s="153"/>
      <c r="S33" s="153"/>
      <c r="T33" s="154"/>
      <c r="U33" s="154"/>
      <c r="V33" s="155" t="str">
        <f aca="false">IF(J33="","",'Pricing Details'!D23+'Pricing Details'!Q23)</f>
        <v/>
      </c>
      <c r="W33" s="155" t="str">
        <f aca="false">IF(J33="","",'Pricing Details'!V23)</f>
        <v/>
      </c>
      <c r="X33" s="156" t="str">
        <f aca="false">IF(J33="","",'Pricing Details'!X23)</f>
        <v/>
      </c>
      <c r="Y33" s="157" t="str">
        <f aca="false">'Pricing Details'!Z23</f>
        <v/>
      </c>
      <c r="Z33" s="158" t="str">
        <f aca="false">'Pricing Details'!AC23</f>
        <v/>
      </c>
      <c r="AA33" s="20"/>
      <c r="AB33" s="21" t="str">
        <f aca="false">IFERROR(_xlfn.xlookup(H33,Collection[Display],Collection[Line])&amp;_xlfn.xlookup(I33,Sleeve[Display],Sleeve[Sleeve]),"")</f>
        <v/>
      </c>
    </row>
    <row r="34" s="21" customFormat="true" ht="30" hidden="false" customHeight="true" outlineLevel="0" collapsed="false">
      <c r="A34" s="20"/>
      <c r="B34" s="90" t="n">
        <v>21</v>
      </c>
      <c r="C34" s="150"/>
      <c r="D34" s="151"/>
      <c r="E34" s="152"/>
      <c r="F34" s="152"/>
      <c r="G34" s="152"/>
      <c r="H34" s="152"/>
      <c r="I34" s="153"/>
      <c r="J34" s="152"/>
      <c r="K34" s="153"/>
      <c r="L34" s="152"/>
      <c r="M34" s="152"/>
      <c r="N34" s="152"/>
      <c r="O34" s="153"/>
      <c r="P34" s="153"/>
      <c r="Q34" s="153"/>
      <c r="R34" s="153"/>
      <c r="S34" s="153"/>
      <c r="T34" s="154"/>
      <c r="U34" s="154"/>
      <c r="V34" s="155" t="str">
        <f aca="false">IF(J34="","",'Pricing Details'!D24+'Pricing Details'!Q24)</f>
        <v/>
      </c>
      <c r="W34" s="155" t="str">
        <f aca="false">IF(J34="","",'Pricing Details'!V24)</f>
        <v/>
      </c>
      <c r="X34" s="156" t="str">
        <f aca="false">IF(J34="","",'Pricing Details'!X24)</f>
        <v/>
      </c>
      <c r="Y34" s="157" t="str">
        <f aca="false">'Pricing Details'!Z24</f>
        <v/>
      </c>
      <c r="Z34" s="158" t="str">
        <f aca="false">'Pricing Details'!AC24</f>
        <v/>
      </c>
      <c r="AA34" s="20"/>
      <c r="AB34" s="21" t="str">
        <f aca="false">IFERROR(_xlfn.xlookup(H34,Collection[Display],Collection[Line])&amp;_xlfn.xlookup(I34,Sleeve[Display],Sleeve[Sleeve]),"")</f>
        <v/>
      </c>
    </row>
    <row r="35" s="21" customFormat="true" ht="30" hidden="false" customHeight="true" outlineLevel="0" collapsed="false">
      <c r="A35" s="20"/>
      <c r="B35" s="90" t="n">
        <v>22</v>
      </c>
      <c r="C35" s="150"/>
      <c r="D35" s="151"/>
      <c r="E35" s="152"/>
      <c r="F35" s="152"/>
      <c r="G35" s="152"/>
      <c r="H35" s="152"/>
      <c r="I35" s="153"/>
      <c r="J35" s="152"/>
      <c r="K35" s="153"/>
      <c r="L35" s="152"/>
      <c r="M35" s="152"/>
      <c r="N35" s="152"/>
      <c r="O35" s="153"/>
      <c r="P35" s="153"/>
      <c r="Q35" s="153"/>
      <c r="R35" s="153"/>
      <c r="S35" s="153"/>
      <c r="T35" s="154"/>
      <c r="U35" s="154"/>
      <c r="V35" s="155" t="str">
        <f aca="false">IF(J35="","",'Pricing Details'!D25+'Pricing Details'!Q25)</f>
        <v/>
      </c>
      <c r="W35" s="155" t="str">
        <f aca="false">IF(J35="","",'Pricing Details'!V25)</f>
        <v/>
      </c>
      <c r="X35" s="156" t="str">
        <f aca="false">IF(J35="","",'Pricing Details'!X25)</f>
        <v/>
      </c>
      <c r="Y35" s="157" t="str">
        <f aca="false">'Pricing Details'!Z25</f>
        <v/>
      </c>
      <c r="Z35" s="158" t="str">
        <f aca="false">'Pricing Details'!AC25</f>
        <v/>
      </c>
      <c r="AA35" s="20"/>
      <c r="AB35" s="21" t="str">
        <f aca="false">IFERROR(_xlfn.xlookup(H35,Collection[Display],Collection[Line])&amp;_xlfn.xlookup(I35,Sleeve[Display],Sleeve[Sleeve]),"")</f>
        <v/>
      </c>
    </row>
    <row r="36" s="21" customFormat="true" ht="30" hidden="false" customHeight="true" outlineLevel="0" collapsed="false">
      <c r="A36" s="20"/>
      <c r="B36" s="90" t="n">
        <v>23</v>
      </c>
      <c r="C36" s="150"/>
      <c r="D36" s="151"/>
      <c r="E36" s="152"/>
      <c r="F36" s="152"/>
      <c r="G36" s="152"/>
      <c r="H36" s="152"/>
      <c r="I36" s="153"/>
      <c r="J36" s="152"/>
      <c r="K36" s="153"/>
      <c r="L36" s="152"/>
      <c r="M36" s="152"/>
      <c r="N36" s="152"/>
      <c r="O36" s="153"/>
      <c r="P36" s="153"/>
      <c r="Q36" s="153"/>
      <c r="R36" s="153"/>
      <c r="S36" s="153"/>
      <c r="T36" s="154"/>
      <c r="U36" s="154"/>
      <c r="V36" s="155" t="str">
        <f aca="false">IF(J36="","",'Pricing Details'!D26+'Pricing Details'!Q26)</f>
        <v/>
      </c>
      <c r="W36" s="155" t="str">
        <f aca="false">IF(J36="","",'Pricing Details'!V26)</f>
        <v/>
      </c>
      <c r="X36" s="156" t="str">
        <f aca="false">IF(J36="","",'Pricing Details'!X26)</f>
        <v/>
      </c>
      <c r="Y36" s="157" t="str">
        <f aca="false">'Pricing Details'!Z26</f>
        <v/>
      </c>
      <c r="Z36" s="158" t="str">
        <f aca="false">'Pricing Details'!AC26</f>
        <v/>
      </c>
      <c r="AA36" s="20"/>
      <c r="AB36" s="21" t="str">
        <f aca="false">IFERROR(_xlfn.xlookup(H36,Collection[Display],Collection[Line])&amp;_xlfn.xlookup(I36,Sleeve[Display],Sleeve[Sleeve]),"")</f>
        <v/>
      </c>
    </row>
    <row r="37" s="21" customFormat="true" ht="30" hidden="false" customHeight="true" outlineLevel="0" collapsed="false">
      <c r="A37" s="20"/>
      <c r="B37" s="90" t="n">
        <v>24</v>
      </c>
      <c r="C37" s="150"/>
      <c r="D37" s="151"/>
      <c r="E37" s="152"/>
      <c r="F37" s="152"/>
      <c r="G37" s="152"/>
      <c r="H37" s="152"/>
      <c r="I37" s="153"/>
      <c r="J37" s="152"/>
      <c r="K37" s="153"/>
      <c r="L37" s="152"/>
      <c r="M37" s="152"/>
      <c r="N37" s="152"/>
      <c r="O37" s="153"/>
      <c r="P37" s="153"/>
      <c r="Q37" s="153"/>
      <c r="R37" s="153"/>
      <c r="S37" s="153"/>
      <c r="T37" s="154"/>
      <c r="U37" s="154"/>
      <c r="V37" s="155" t="str">
        <f aca="false">IF(J37="","",'Pricing Details'!D27+'Pricing Details'!Q27)</f>
        <v/>
      </c>
      <c r="W37" s="155" t="str">
        <f aca="false">IF(J37="","",'Pricing Details'!V27)</f>
        <v/>
      </c>
      <c r="X37" s="156" t="str">
        <f aca="false">IF(J37="","",'Pricing Details'!X27)</f>
        <v/>
      </c>
      <c r="Y37" s="157" t="str">
        <f aca="false">'Pricing Details'!Z27</f>
        <v/>
      </c>
      <c r="Z37" s="158" t="str">
        <f aca="false">'Pricing Details'!AC27</f>
        <v/>
      </c>
      <c r="AA37" s="20"/>
      <c r="AB37" s="21" t="str">
        <f aca="false">IFERROR(_xlfn.xlookup(H37,Collection[Display],Collection[Line])&amp;_xlfn.xlookup(I37,Sleeve[Display],Sleeve[Sleeve]),"")</f>
        <v/>
      </c>
    </row>
    <row r="38" s="21" customFormat="true" ht="30" hidden="false" customHeight="true" outlineLevel="0" collapsed="false">
      <c r="A38" s="20"/>
      <c r="B38" s="90" t="n">
        <v>25</v>
      </c>
      <c r="C38" s="150"/>
      <c r="D38" s="151"/>
      <c r="E38" s="152"/>
      <c r="F38" s="152"/>
      <c r="G38" s="152"/>
      <c r="H38" s="152"/>
      <c r="I38" s="153"/>
      <c r="J38" s="152"/>
      <c r="K38" s="153"/>
      <c r="L38" s="152"/>
      <c r="M38" s="152"/>
      <c r="N38" s="152"/>
      <c r="O38" s="153"/>
      <c r="P38" s="153"/>
      <c r="Q38" s="153"/>
      <c r="R38" s="153"/>
      <c r="S38" s="153"/>
      <c r="T38" s="154"/>
      <c r="U38" s="154"/>
      <c r="V38" s="155" t="str">
        <f aca="false">IF(J38="","",'Pricing Details'!D28+'Pricing Details'!Q28)</f>
        <v/>
      </c>
      <c r="W38" s="155" t="str">
        <f aca="false">IF(J38="","",'Pricing Details'!V28)</f>
        <v/>
      </c>
      <c r="X38" s="156" t="str">
        <f aca="false">IF(J38="","",'Pricing Details'!X28)</f>
        <v/>
      </c>
      <c r="Y38" s="157" t="str">
        <f aca="false">'Pricing Details'!Z28</f>
        <v/>
      </c>
      <c r="Z38" s="158" t="str">
        <f aca="false">'Pricing Details'!AC28</f>
        <v/>
      </c>
      <c r="AA38" s="20"/>
      <c r="AB38" s="21" t="str">
        <f aca="false">IFERROR(_xlfn.xlookup(H38,Collection[Display],Collection[Line])&amp;_xlfn.xlookup(I38,Sleeve[Display],Sleeve[Sleeve]),"")</f>
        <v/>
      </c>
    </row>
    <row r="39" s="21" customFormat="true" ht="30" hidden="false" customHeight="true" outlineLevel="0" collapsed="false">
      <c r="A39" s="20"/>
      <c r="B39" s="90" t="n">
        <v>26</v>
      </c>
      <c r="C39" s="150"/>
      <c r="D39" s="151"/>
      <c r="E39" s="152"/>
      <c r="F39" s="152"/>
      <c r="G39" s="152"/>
      <c r="H39" s="152"/>
      <c r="I39" s="153"/>
      <c r="J39" s="152"/>
      <c r="K39" s="153"/>
      <c r="L39" s="152"/>
      <c r="M39" s="152"/>
      <c r="N39" s="152"/>
      <c r="O39" s="153"/>
      <c r="P39" s="153"/>
      <c r="Q39" s="153"/>
      <c r="R39" s="153"/>
      <c r="S39" s="153"/>
      <c r="T39" s="154"/>
      <c r="U39" s="154"/>
      <c r="V39" s="155" t="str">
        <f aca="false">IF(J39="","",'Pricing Details'!D29+'Pricing Details'!Q29)</f>
        <v/>
      </c>
      <c r="W39" s="155" t="str">
        <f aca="false">IF(J39="","",'Pricing Details'!V29)</f>
        <v/>
      </c>
      <c r="X39" s="156" t="str">
        <f aca="false">IF(J39="","",'Pricing Details'!X29)</f>
        <v/>
      </c>
      <c r="Y39" s="157" t="str">
        <f aca="false">'Pricing Details'!Z29</f>
        <v/>
      </c>
      <c r="Z39" s="158" t="str">
        <f aca="false">'Pricing Details'!AC29</f>
        <v/>
      </c>
      <c r="AA39" s="20"/>
      <c r="AB39" s="21" t="str">
        <f aca="false">IFERROR(_xlfn.xlookup(H39,Collection[Display],Collection[Line])&amp;_xlfn.xlookup(I39,Sleeve[Display],Sleeve[Sleeve]),"")</f>
        <v/>
      </c>
    </row>
    <row r="40" s="21" customFormat="true" ht="30" hidden="false" customHeight="true" outlineLevel="0" collapsed="false">
      <c r="A40" s="20"/>
      <c r="B40" s="90" t="n">
        <v>27</v>
      </c>
      <c r="C40" s="150"/>
      <c r="D40" s="151"/>
      <c r="E40" s="152"/>
      <c r="F40" s="152"/>
      <c r="G40" s="152"/>
      <c r="H40" s="152"/>
      <c r="I40" s="153"/>
      <c r="J40" s="152"/>
      <c r="K40" s="153"/>
      <c r="L40" s="152"/>
      <c r="M40" s="152"/>
      <c r="N40" s="152"/>
      <c r="O40" s="153"/>
      <c r="P40" s="153"/>
      <c r="Q40" s="153"/>
      <c r="R40" s="153"/>
      <c r="S40" s="153"/>
      <c r="T40" s="154"/>
      <c r="U40" s="154"/>
      <c r="V40" s="155" t="str">
        <f aca="false">IF(J40="","",'Pricing Details'!D30+'Pricing Details'!Q30)</f>
        <v/>
      </c>
      <c r="W40" s="155" t="str">
        <f aca="false">IF(J40="","",'Pricing Details'!V30)</f>
        <v/>
      </c>
      <c r="X40" s="156" t="str">
        <f aca="false">IF(J40="","",'Pricing Details'!X30)</f>
        <v/>
      </c>
      <c r="Y40" s="157" t="str">
        <f aca="false">'Pricing Details'!Z30</f>
        <v/>
      </c>
      <c r="Z40" s="158" t="str">
        <f aca="false">'Pricing Details'!AC30</f>
        <v/>
      </c>
      <c r="AA40" s="20"/>
      <c r="AB40" s="21" t="str">
        <f aca="false">IFERROR(_xlfn.xlookup(H40,Collection[Display],Collection[Line])&amp;_xlfn.xlookup(I40,Sleeve[Display],Sleeve[Sleeve]),"")</f>
        <v/>
      </c>
    </row>
    <row r="41" s="21" customFormat="true" ht="30" hidden="false" customHeight="true" outlineLevel="0" collapsed="false">
      <c r="A41" s="20"/>
      <c r="B41" s="90" t="n">
        <v>28</v>
      </c>
      <c r="C41" s="150"/>
      <c r="D41" s="151"/>
      <c r="E41" s="152"/>
      <c r="F41" s="152"/>
      <c r="G41" s="152"/>
      <c r="H41" s="152"/>
      <c r="I41" s="153"/>
      <c r="J41" s="152"/>
      <c r="K41" s="153"/>
      <c r="L41" s="152"/>
      <c r="M41" s="152"/>
      <c r="N41" s="152"/>
      <c r="O41" s="153"/>
      <c r="P41" s="153"/>
      <c r="Q41" s="153"/>
      <c r="R41" s="153"/>
      <c r="S41" s="153"/>
      <c r="T41" s="154"/>
      <c r="U41" s="154"/>
      <c r="V41" s="155" t="str">
        <f aca="false">IF(J41="","",'Pricing Details'!D31+'Pricing Details'!Q31)</f>
        <v/>
      </c>
      <c r="W41" s="155" t="str">
        <f aca="false">IF(J41="","",'Pricing Details'!V31)</f>
        <v/>
      </c>
      <c r="X41" s="156" t="str">
        <f aca="false">IF(J41="","",'Pricing Details'!X31)</f>
        <v/>
      </c>
      <c r="Y41" s="157" t="str">
        <f aca="false">'Pricing Details'!Z31</f>
        <v/>
      </c>
      <c r="Z41" s="158" t="str">
        <f aca="false">'Pricing Details'!AC31</f>
        <v/>
      </c>
      <c r="AA41" s="20"/>
      <c r="AB41" s="21" t="str">
        <f aca="false">IFERROR(_xlfn.xlookup(H41,Collection[Display],Collection[Line])&amp;_xlfn.xlookup(I41,Sleeve[Display],Sleeve[Sleeve]),"")</f>
        <v/>
      </c>
    </row>
    <row r="42" s="21" customFormat="true" ht="30" hidden="false" customHeight="true" outlineLevel="0" collapsed="false">
      <c r="A42" s="20"/>
      <c r="B42" s="90" t="n">
        <v>29</v>
      </c>
      <c r="C42" s="150"/>
      <c r="D42" s="151"/>
      <c r="E42" s="152"/>
      <c r="F42" s="152"/>
      <c r="G42" s="152"/>
      <c r="H42" s="152"/>
      <c r="I42" s="153"/>
      <c r="J42" s="152"/>
      <c r="K42" s="153"/>
      <c r="L42" s="152"/>
      <c r="M42" s="152"/>
      <c r="N42" s="152"/>
      <c r="O42" s="153"/>
      <c r="P42" s="153"/>
      <c r="Q42" s="153"/>
      <c r="R42" s="153"/>
      <c r="S42" s="153"/>
      <c r="T42" s="154"/>
      <c r="U42" s="154"/>
      <c r="V42" s="155" t="str">
        <f aca="false">IF(J42="","",'Pricing Details'!D32+'Pricing Details'!Q32)</f>
        <v/>
      </c>
      <c r="W42" s="155" t="str">
        <f aca="false">IF(J42="","",'Pricing Details'!V32)</f>
        <v/>
      </c>
      <c r="X42" s="156" t="str">
        <f aca="false">IF(J42="","",'Pricing Details'!X32)</f>
        <v/>
      </c>
      <c r="Y42" s="157" t="str">
        <f aca="false">'Pricing Details'!Z32</f>
        <v/>
      </c>
      <c r="Z42" s="158" t="str">
        <f aca="false">'Pricing Details'!AC32</f>
        <v/>
      </c>
      <c r="AA42" s="20"/>
      <c r="AB42" s="21" t="str">
        <f aca="false">IFERROR(_xlfn.xlookup(H42,Collection[Display],Collection[Line])&amp;_xlfn.xlookup(I42,Sleeve[Display],Sleeve[Sleeve]),"")</f>
        <v/>
      </c>
    </row>
    <row r="43" s="21" customFormat="true" ht="30" hidden="false" customHeight="true" outlineLevel="0" collapsed="false">
      <c r="A43" s="20"/>
      <c r="B43" s="90" t="n">
        <v>30</v>
      </c>
      <c r="C43" s="150"/>
      <c r="D43" s="151"/>
      <c r="E43" s="152"/>
      <c r="F43" s="152"/>
      <c r="G43" s="152"/>
      <c r="H43" s="152"/>
      <c r="I43" s="153"/>
      <c r="J43" s="152"/>
      <c r="K43" s="153"/>
      <c r="L43" s="152"/>
      <c r="M43" s="152"/>
      <c r="N43" s="152"/>
      <c r="O43" s="153"/>
      <c r="P43" s="153"/>
      <c r="Q43" s="153"/>
      <c r="R43" s="153"/>
      <c r="S43" s="153"/>
      <c r="T43" s="154"/>
      <c r="U43" s="154"/>
      <c r="V43" s="155" t="str">
        <f aca="false">IF(J43="","",'Pricing Details'!D33+'Pricing Details'!Q33)</f>
        <v/>
      </c>
      <c r="W43" s="155" t="str">
        <f aca="false">IF(J43="","",'Pricing Details'!V33)</f>
        <v/>
      </c>
      <c r="X43" s="156" t="str">
        <f aca="false">IF(J43="","",'Pricing Details'!X33)</f>
        <v/>
      </c>
      <c r="Y43" s="157" t="str">
        <f aca="false">'Pricing Details'!Z33</f>
        <v/>
      </c>
      <c r="Z43" s="158" t="str">
        <f aca="false">'Pricing Details'!AC33</f>
        <v/>
      </c>
      <c r="AA43" s="20"/>
      <c r="AB43" s="21" t="str">
        <f aca="false">IFERROR(_xlfn.xlookup(H43,Collection[Display],Collection[Line])&amp;_xlfn.xlookup(I43,Sleeve[Display],Sleeve[Sleeve]),"")</f>
        <v/>
      </c>
    </row>
    <row r="44" s="21" customFormat="true" ht="30" hidden="false" customHeight="true" outlineLevel="0" collapsed="false">
      <c r="A44" s="20"/>
      <c r="B44" s="90" t="n">
        <v>31</v>
      </c>
      <c r="C44" s="150"/>
      <c r="D44" s="151"/>
      <c r="E44" s="152"/>
      <c r="F44" s="152"/>
      <c r="G44" s="152"/>
      <c r="H44" s="152"/>
      <c r="I44" s="153"/>
      <c r="J44" s="152"/>
      <c r="K44" s="153"/>
      <c r="L44" s="152"/>
      <c r="M44" s="152"/>
      <c r="N44" s="152"/>
      <c r="O44" s="153"/>
      <c r="P44" s="153"/>
      <c r="Q44" s="153"/>
      <c r="R44" s="153"/>
      <c r="S44" s="153"/>
      <c r="T44" s="154"/>
      <c r="U44" s="159"/>
      <c r="V44" s="155" t="str">
        <f aca="false">IF(J44="","",'Pricing Details'!D34+'Pricing Details'!Q34)</f>
        <v/>
      </c>
      <c r="W44" s="155" t="str">
        <f aca="false">IF(J44="","",'Pricing Details'!V34)</f>
        <v/>
      </c>
      <c r="X44" s="156" t="str">
        <f aca="false">IF(J44="","",'Pricing Details'!X34)</f>
        <v/>
      </c>
      <c r="Y44" s="157" t="str">
        <f aca="false">'Pricing Details'!Z34</f>
        <v/>
      </c>
      <c r="Z44" s="158" t="str">
        <f aca="false">'Pricing Details'!AC34</f>
        <v/>
      </c>
      <c r="AA44" s="20"/>
      <c r="AB44" s="21" t="str">
        <f aca="false">IFERROR(_xlfn.xlookup(H44,Collection[Display],Collection[Line])&amp;_xlfn.xlookup(I44,Sleeve[Display],Sleeve[Sleeve]),"")</f>
        <v/>
      </c>
    </row>
    <row r="45" s="21" customFormat="true" ht="30" hidden="false" customHeight="true" outlineLevel="0" collapsed="false">
      <c r="A45" s="20"/>
      <c r="B45" s="90" t="n">
        <v>32</v>
      </c>
      <c r="C45" s="150"/>
      <c r="D45" s="151"/>
      <c r="E45" s="152"/>
      <c r="F45" s="152"/>
      <c r="G45" s="152"/>
      <c r="H45" s="152"/>
      <c r="I45" s="153"/>
      <c r="J45" s="152"/>
      <c r="K45" s="153"/>
      <c r="L45" s="152"/>
      <c r="M45" s="152"/>
      <c r="N45" s="152"/>
      <c r="O45" s="153"/>
      <c r="P45" s="153"/>
      <c r="Q45" s="153"/>
      <c r="R45" s="153"/>
      <c r="S45" s="153"/>
      <c r="T45" s="154"/>
      <c r="U45" s="159"/>
      <c r="V45" s="155" t="str">
        <f aca="false">IF(J45="","",'Pricing Details'!D35+'Pricing Details'!Q35)</f>
        <v/>
      </c>
      <c r="W45" s="155" t="str">
        <f aca="false">IF(J45="","",'Pricing Details'!V35)</f>
        <v/>
      </c>
      <c r="X45" s="156" t="str">
        <f aca="false">IF(J45="","",'Pricing Details'!X35)</f>
        <v/>
      </c>
      <c r="Y45" s="157" t="str">
        <f aca="false">'Pricing Details'!Z35</f>
        <v/>
      </c>
      <c r="Z45" s="158" t="str">
        <f aca="false">'Pricing Details'!AC35</f>
        <v/>
      </c>
      <c r="AA45" s="20"/>
      <c r="AB45" s="21" t="str">
        <f aca="false">IFERROR(_xlfn.xlookup(H45,Collection[Display],Collection[Line])&amp;_xlfn.xlookup(I45,Sleeve[Display],Sleeve[Sleeve]),"")</f>
        <v/>
      </c>
    </row>
    <row r="46" s="21" customFormat="true" ht="30" hidden="false" customHeight="true" outlineLevel="0" collapsed="false">
      <c r="A46" s="20"/>
      <c r="B46" s="90" t="n">
        <v>33</v>
      </c>
      <c r="C46" s="150"/>
      <c r="D46" s="151"/>
      <c r="E46" s="152"/>
      <c r="F46" s="152"/>
      <c r="G46" s="152"/>
      <c r="H46" s="152"/>
      <c r="I46" s="153"/>
      <c r="J46" s="152"/>
      <c r="K46" s="153"/>
      <c r="L46" s="152"/>
      <c r="M46" s="152"/>
      <c r="N46" s="152"/>
      <c r="O46" s="153"/>
      <c r="P46" s="153"/>
      <c r="Q46" s="153"/>
      <c r="R46" s="153"/>
      <c r="S46" s="153"/>
      <c r="T46" s="154"/>
      <c r="U46" s="159"/>
      <c r="V46" s="155" t="str">
        <f aca="false">IF(J46="","",'Pricing Details'!D36+'Pricing Details'!Q36)</f>
        <v/>
      </c>
      <c r="W46" s="155" t="str">
        <f aca="false">IF(J46="","",'Pricing Details'!V36)</f>
        <v/>
      </c>
      <c r="X46" s="156" t="str">
        <f aca="false">IF(J46="","",'Pricing Details'!X36)</f>
        <v/>
      </c>
      <c r="Y46" s="157" t="str">
        <f aca="false">'Pricing Details'!Z36</f>
        <v/>
      </c>
      <c r="Z46" s="158" t="str">
        <f aca="false">'Pricing Details'!AC36</f>
        <v/>
      </c>
      <c r="AA46" s="20"/>
      <c r="AB46" s="21" t="str">
        <f aca="false">IFERROR(_xlfn.xlookup(H46,Collection[Display],Collection[Line])&amp;_xlfn.xlookup(I46,Sleeve[Display],Sleeve[Sleeve]),"")</f>
        <v/>
      </c>
    </row>
    <row r="47" s="21" customFormat="true" ht="30" hidden="false" customHeight="true" outlineLevel="0" collapsed="false">
      <c r="A47" s="20"/>
      <c r="B47" s="90" t="n">
        <v>34</v>
      </c>
      <c r="C47" s="150"/>
      <c r="D47" s="151"/>
      <c r="E47" s="152"/>
      <c r="F47" s="152"/>
      <c r="G47" s="152"/>
      <c r="H47" s="152"/>
      <c r="I47" s="153"/>
      <c r="J47" s="152"/>
      <c r="K47" s="153"/>
      <c r="L47" s="152"/>
      <c r="M47" s="152"/>
      <c r="N47" s="152"/>
      <c r="O47" s="153"/>
      <c r="P47" s="153"/>
      <c r="Q47" s="153"/>
      <c r="R47" s="153"/>
      <c r="S47" s="153"/>
      <c r="T47" s="154"/>
      <c r="U47" s="159"/>
      <c r="V47" s="155" t="str">
        <f aca="false">IF(J47="","",'Pricing Details'!D37+'Pricing Details'!Q37)</f>
        <v/>
      </c>
      <c r="W47" s="155" t="str">
        <f aca="false">IF(J47="","",'Pricing Details'!V37)</f>
        <v/>
      </c>
      <c r="X47" s="156" t="str">
        <f aca="false">IF(J47="","",'Pricing Details'!X37)</f>
        <v/>
      </c>
      <c r="Y47" s="157" t="str">
        <f aca="false">'Pricing Details'!Z37</f>
        <v/>
      </c>
      <c r="Z47" s="158" t="str">
        <f aca="false">'Pricing Details'!AC37</f>
        <v/>
      </c>
      <c r="AA47" s="20"/>
      <c r="AB47" s="21" t="str">
        <f aca="false">IFERROR(_xlfn.xlookup(H47,Collection[Display],Collection[Line])&amp;_xlfn.xlookup(I47,Sleeve[Display],Sleeve[Sleeve]),"")</f>
        <v/>
      </c>
    </row>
    <row r="48" s="21" customFormat="true" ht="30" hidden="false" customHeight="true" outlineLevel="0" collapsed="false">
      <c r="A48" s="20"/>
      <c r="B48" s="90" t="n">
        <v>35</v>
      </c>
      <c r="C48" s="150"/>
      <c r="D48" s="151"/>
      <c r="E48" s="152"/>
      <c r="F48" s="152"/>
      <c r="G48" s="152"/>
      <c r="H48" s="152"/>
      <c r="I48" s="153"/>
      <c r="J48" s="152"/>
      <c r="K48" s="153"/>
      <c r="L48" s="152"/>
      <c r="M48" s="152"/>
      <c r="N48" s="152"/>
      <c r="O48" s="153"/>
      <c r="P48" s="153"/>
      <c r="Q48" s="153"/>
      <c r="R48" s="153"/>
      <c r="S48" s="153"/>
      <c r="T48" s="154"/>
      <c r="U48" s="159"/>
      <c r="V48" s="155" t="str">
        <f aca="false">IF(J48="","",'Pricing Details'!D38+'Pricing Details'!Q38)</f>
        <v/>
      </c>
      <c r="W48" s="155" t="str">
        <f aca="false">IF(J48="","",'Pricing Details'!V38)</f>
        <v/>
      </c>
      <c r="X48" s="156" t="str">
        <f aca="false">IF(J48="","",'Pricing Details'!X38)</f>
        <v/>
      </c>
      <c r="Y48" s="157" t="str">
        <f aca="false">'Pricing Details'!Z38</f>
        <v/>
      </c>
      <c r="Z48" s="158" t="str">
        <f aca="false">'Pricing Details'!AC38</f>
        <v/>
      </c>
      <c r="AA48" s="20"/>
      <c r="AB48" s="21" t="str">
        <f aca="false">IFERROR(_xlfn.xlookup(H48,Collection[Display],Collection[Line])&amp;_xlfn.xlookup(I48,Sleeve[Display],Sleeve[Sleeve]),"")</f>
        <v/>
      </c>
    </row>
    <row r="49" s="21" customFormat="true" ht="30" hidden="false" customHeight="true" outlineLevel="0" collapsed="false">
      <c r="A49" s="20"/>
      <c r="B49" s="90" t="n">
        <v>36</v>
      </c>
      <c r="C49" s="150"/>
      <c r="D49" s="151"/>
      <c r="E49" s="152"/>
      <c r="F49" s="152"/>
      <c r="G49" s="152"/>
      <c r="H49" s="152"/>
      <c r="I49" s="153"/>
      <c r="J49" s="152"/>
      <c r="K49" s="153"/>
      <c r="L49" s="152"/>
      <c r="M49" s="152"/>
      <c r="N49" s="152"/>
      <c r="O49" s="153"/>
      <c r="P49" s="153"/>
      <c r="Q49" s="153"/>
      <c r="R49" s="153"/>
      <c r="S49" s="153"/>
      <c r="T49" s="154"/>
      <c r="U49" s="159"/>
      <c r="V49" s="155" t="str">
        <f aca="false">IF(J49="","",'Pricing Details'!D39+'Pricing Details'!Q39)</f>
        <v/>
      </c>
      <c r="W49" s="155" t="str">
        <f aca="false">IF(J49="","",'Pricing Details'!V39)</f>
        <v/>
      </c>
      <c r="X49" s="156" t="str">
        <f aca="false">IF(J49="","",'Pricing Details'!X39)</f>
        <v/>
      </c>
      <c r="Y49" s="157" t="str">
        <f aca="false">'Pricing Details'!Z39</f>
        <v/>
      </c>
      <c r="Z49" s="158" t="str">
        <f aca="false">'Pricing Details'!AC39</f>
        <v/>
      </c>
      <c r="AA49" s="20"/>
      <c r="AB49" s="21" t="str">
        <f aca="false">IFERROR(_xlfn.xlookup(H49,Collection[Display],Collection[Line])&amp;_xlfn.xlookup(I49,Sleeve[Display],Sleeve[Sleeve]),"")</f>
        <v/>
      </c>
    </row>
    <row r="50" s="21" customFormat="true" ht="30" hidden="false" customHeight="true" outlineLevel="0" collapsed="false">
      <c r="A50" s="20"/>
      <c r="B50" s="90" t="n">
        <v>37</v>
      </c>
      <c r="C50" s="150"/>
      <c r="D50" s="151"/>
      <c r="E50" s="152"/>
      <c r="F50" s="152"/>
      <c r="G50" s="152"/>
      <c r="H50" s="152"/>
      <c r="I50" s="153"/>
      <c r="J50" s="152"/>
      <c r="K50" s="153"/>
      <c r="L50" s="152"/>
      <c r="M50" s="152"/>
      <c r="N50" s="152"/>
      <c r="O50" s="153"/>
      <c r="P50" s="153"/>
      <c r="Q50" s="153"/>
      <c r="R50" s="153"/>
      <c r="S50" s="153"/>
      <c r="T50" s="154"/>
      <c r="U50" s="159"/>
      <c r="V50" s="155" t="str">
        <f aca="false">IF(J50="","",'Pricing Details'!D40+'Pricing Details'!Q40)</f>
        <v/>
      </c>
      <c r="W50" s="155" t="str">
        <f aca="false">IF(J50="","",'Pricing Details'!V40)</f>
        <v/>
      </c>
      <c r="X50" s="156" t="str">
        <f aca="false">IF(J50="","",'Pricing Details'!X40)</f>
        <v/>
      </c>
      <c r="Y50" s="157" t="str">
        <f aca="false">'Pricing Details'!Z40</f>
        <v/>
      </c>
      <c r="Z50" s="158" t="str">
        <f aca="false">'Pricing Details'!AC40</f>
        <v/>
      </c>
      <c r="AA50" s="20"/>
      <c r="AB50" s="21" t="str">
        <f aca="false">IFERROR(_xlfn.xlookup(H50,Collection[Display],Collection[Line])&amp;_xlfn.xlookup(I50,Sleeve[Display],Sleeve[Sleeve]),"")</f>
        <v/>
      </c>
    </row>
    <row r="51" s="21" customFormat="true" ht="30" hidden="false" customHeight="true" outlineLevel="0" collapsed="false">
      <c r="A51" s="20"/>
      <c r="B51" s="90" t="n">
        <v>38</v>
      </c>
      <c r="C51" s="150"/>
      <c r="D51" s="151"/>
      <c r="E51" s="152"/>
      <c r="F51" s="152"/>
      <c r="G51" s="152"/>
      <c r="H51" s="152"/>
      <c r="I51" s="153"/>
      <c r="J51" s="152"/>
      <c r="K51" s="153"/>
      <c r="L51" s="152"/>
      <c r="M51" s="152"/>
      <c r="N51" s="152"/>
      <c r="O51" s="153"/>
      <c r="P51" s="153"/>
      <c r="Q51" s="153"/>
      <c r="R51" s="153"/>
      <c r="S51" s="153"/>
      <c r="T51" s="154"/>
      <c r="U51" s="159"/>
      <c r="V51" s="155" t="str">
        <f aca="false">IF(J51="","",'Pricing Details'!D41+'Pricing Details'!Q41)</f>
        <v/>
      </c>
      <c r="W51" s="155" t="str">
        <f aca="false">IF(J51="","",'Pricing Details'!V41)</f>
        <v/>
      </c>
      <c r="X51" s="156" t="str">
        <f aca="false">IF(J51="","",'Pricing Details'!X41)</f>
        <v/>
      </c>
      <c r="Y51" s="157" t="str">
        <f aca="false">'Pricing Details'!Z41</f>
        <v/>
      </c>
      <c r="Z51" s="158" t="str">
        <f aca="false">'Pricing Details'!AC41</f>
        <v/>
      </c>
      <c r="AA51" s="20"/>
      <c r="AB51" s="21" t="str">
        <f aca="false">IFERROR(_xlfn.xlookup(H51,Collection[Display],Collection[Line])&amp;_xlfn.xlookup(I51,Sleeve[Display],Sleeve[Sleeve]),"")</f>
        <v/>
      </c>
    </row>
    <row r="52" s="21" customFormat="true" ht="30" hidden="false" customHeight="true" outlineLevel="0" collapsed="false">
      <c r="A52" s="20"/>
      <c r="B52" s="90" t="n">
        <v>39</v>
      </c>
      <c r="C52" s="150"/>
      <c r="D52" s="151"/>
      <c r="E52" s="152"/>
      <c r="F52" s="152"/>
      <c r="G52" s="152"/>
      <c r="H52" s="152"/>
      <c r="I52" s="153"/>
      <c r="J52" s="152"/>
      <c r="K52" s="153"/>
      <c r="L52" s="152"/>
      <c r="M52" s="152"/>
      <c r="N52" s="152"/>
      <c r="O52" s="153"/>
      <c r="P52" s="153"/>
      <c r="Q52" s="153"/>
      <c r="R52" s="153"/>
      <c r="S52" s="153"/>
      <c r="T52" s="154"/>
      <c r="U52" s="159"/>
      <c r="V52" s="155" t="str">
        <f aca="false">IF(J52="","",'Pricing Details'!D42+'Pricing Details'!Q42)</f>
        <v/>
      </c>
      <c r="W52" s="155" t="str">
        <f aca="false">IF(J52="","",'Pricing Details'!V42)</f>
        <v/>
      </c>
      <c r="X52" s="156" t="str">
        <f aca="false">IF(J52="","",'Pricing Details'!X42)</f>
        <v/>
      </c>
      <c r="Y52" s="157" t="str">
        <f aca="false">'Pricing Details'!Z42</f>
        <v/>
      </c>
      <c r="Z52" s="158" t="str">
        <f aca="false">'Pricing Details'!AC42</f>
        <v/>
      </c>
      <c r="AA52" s="20"/>
      <c r="AB52" s="21" t="str">
        <f aca="false">IFERROR(_xlfn.xlookup(H52,Collection[Display],Collection[Line])&amp;_xlfn.xlookup(I52,Sleeve[Display],Sleeve[Sleeve]),"")</f>
        <v/>
      </c>
    </row>
    <row r="53" s="21" customFormat="true" ht="30" hidden="false" customHeight="true" outlineLevel="0" collapsed="false">
      <c r="A53" s="20"/>
      <c r="B53" s="90" t="n">
        <v>40</v>
      </c>
      <c r="C53" s="150"/>
      <c r="D53" s="151"/>
      <c r="E53" s="152"/>
      <c r="F53" s="152"/>
      <c r="G53" s="152"/>
      <c r="H53" s="152"/>
      <c r="I53" s="153"/>
      <c r="J53" s="152"/>
      <c r="K53" s="153"/>
      <c r="L53" s="152"/>
      <c r="M53" s="152"/>
      <c r="N53" s="152"/>
      <c r="O53" s="153"/>
      <c r="P53" s="153"/>
      <c r="Q53" s="153"/>
      <c r="R53" s="153"/>
      <c r="S53" s="153"/>
      <c r="T53" s="154"/>
      <c r="U53" s="159"/>
      <c r="V53" s="155" t="str">
        <f aca="false">IF(J53="","",'Pricing Details'!D43+'Pricing Details'!Q43)</f>
        <v/>
      </c>
      <c r="W53" s="155" t="str">
        <f aca="false">IF(J53="","",'Pricing Details'!V43)</f>
        <v/>
      </c>
      <c r="X53" s="156" t="str">
        <f aca="false">IF(J53="","",'Pricing Details'!X43)</f>
        <v/>
      </c>
      <c r="Y53" s="157" t="str">
        <f aca="false">'Pricing Details'!Z43</f>
        <v/>
      </c>
      <c r="Z53" s="158" t="str">
        <f aca="false">'Pricing Details'!AC43</f>
        <v/>
      </c>
      <c r="AA53" s="20"/>
      <c r="AB53" s="21" t="str">
        <f aca="false">IFERROR(_xlfn.xlookup(H53,Collection[Display],Collection[Line])&amp;_xlfn.xlookup(I53,Sleeve[Display],Sleeve[Sleeve]),"")</f>
        <v/>
      </c>
    </row>
    <row r="54" s="21" customFormat="true" ht="30" hidden="false" customHeight="true" outlineLevel="0" collapsed="false">
      <c r="A54" s="20"/>
      <c r="B54" s="90" t="n">
        <v>41</v>
      </c>
      <c r="C54" s="150"/>
      <c r="D54" s="151"/>
      <c r="E54" s="152"/>
      <c r="F54" s="152"/>
      <c r="G54" s="152"/>
      <c r="H54" s="152"/>
      <c r="I54" s="153"/>
      <c r="J54" s="152"/>
      <c r="K54" s="153"/>
      <c r="L54" s="152"/>
      <c r="M54" s="152"/>
      <c r="N54" s="152"/>
      <c r="O54" s="153"/>
      <c r="P54" s="153"/>
      <c r="Q54" s="153"/>
      <c r="R54" s="153"/>
      <c r="S54" s="153"/>
      <c r="T54" s="154"/>
      <c r="U54" s="159"/>
      <c r="V54" s="155" t="str">
        <f aca="false">IF(J54="","",'Pricing Details'!D44+'Pricing Details'!Q44)</f>
        <v/>
      </c>
      <c r="W54" s="155" t="str">
        <f aca="false">IF(J54="","",'Pricing Details'!V44)</f>
        <v/>
      </c>
      <c r="X54" s="156" t="str">
        <f aca="false">IF(J54="","",'Pricing Details'!X44)</f>
        <v/>
      </c>
      <c r="Y54" s="157" t="str">
        <f aca="false">'Pricing Details'!Z44</f>
        <v/>
      </c>
      <c r="Z54" s="158" t="str">
        <f aca="false">'Pricing Details'!AC44</f>
        <v/>
      </c>
      <c r="AA54" s="20"/>
      <c r="AB54" s="21" t="str">
        <f aca="false">IFERROR(_xlfn.xlookup(H54,Collection[Display],Collection[Line])&amp;_xlfn.xlookup(I54,Sleeve[Display],Sleeve[Sleeve]),"")</f>
        <v/>
      </c>
    </row>
    <row r="55" s="21" customFormat="true" ht="30" hidden="false" customHeight="true" outlineLevel="0" collapsed="false">
      <c r="A55" s="20"/>
      <c r="B55" s="90" t="n">
        <v>42</v>
      </c>
      <c r="C55" s="150"/>
      <c r="D55" s="151"/>
      <c r="E55" s="152"/>
      <c r="F55" s="152"/>
      <c r="G55" s="152"/>
      <c r="H55" s="152"/>
      <c r="I55" s="153"/>
      <c r="J55" s="152"/>
      <c r="K55" s="153"/>
      <c r="L55" s="152"/>
      <c r="M55" s="152"/>
      <c r="N55" s="152"/>
      <c r="O55" s="153"/>
      <c r="P55" s="153"/>
      <c r="Q55" s="153"/>
      <c r="R55" s="153"/>
      <c r="S55" s="153"/>
      <c r="T55" s="154"/>
      <c r="U55" s="159"/>
      <c r="V55" s="155" t="str">
        <f aca="false">IF(J55="","",'Pricing Details'!D45+'Pricing Details'!Q45)</f>
        <v/>
      </c>
      <c r="W55" s="155" t="str">
        <f aca="false">IF(J55="","",'Pricing Details'!V45)</f>
        <v/>
      </c>
      <c r="X55" s="156" t="str">
        <f aca="false">IF(J55="","",'Pricing Details'!X45)</f>
        <v/>
      </c>
      <c r="Y55" s="157" t="str">
        <f aca="false">'Pricing Details'!Z45</f>
        <v/>
      </c>
      <c r="Z55" s="158" t="str">
        <f aca="false">'Pricing Details'!AC45</f>
        <v/>
      </c>
      <c r="AA55" s="20"/>
      <c r="AB55" s="21" t="str">
        <f aca="false">IFERROR(_xlfn.xlookup(H55,Collection[Display],Collection[Line])&amp;_xlfn.xlookup(I55,Sleeve[Display],Sleeve[Sleeve]),"")</f>
        <v/>
      </c>
    </row>
    <row r="56" s="21" customFormat="true" ht="30" hidden="false" customHeight="true" outlineLevel="0" collapsed="false">
      <c r="A56" s="20"/>
      <c r="B56" s="90" t="n">
        <v>43</v>
      </c>
      <c r="C56" s="150"/>
      <c r="D56" s="151"/>
      <c r="E56" s="152"/>
      <c r="F56" s="152"/>
      <c r="G56" s="152"/>
      <c r="H56" s="152"/>
      <c r="I56" s="153"/>
      <c r="J56" s="152"/>
      <c r="K56" s="153"/>
      <c r="L56" s="152"/>
      <c r="M56" s="152"/>
      <c r="N56" s="152"/>
      <c r="O56" s="153"/>
      <c r="P56" s="153"/>
      <c r="Q56" s="153"/>
      <c r="R56" s="153"/>
      <c r="S56" s="153"/>
      <c r="T56" s="154"/>
      <c r="U56" s="159"/>
      <c r="V56" s="155" t="str">
        <f aca="false">IF(J56="","",'Pricing Details'!D46+'Pricing Details'!Q46)</f>
        <v/>
      </c>
      <c r="W56" s="155" t="str">
        <f aca="false">IF(J56="","",'Pricing Details'!V46)</f>
        <v/>
      </c>
      <c r="X56" s="156" t="str">
        <f aca="false">IF(J56="","",'Pricing Details'!X46)</f>
        <v/>
      </c>
      <c r="Y56" s="157" t="str">
        <f aca="false">'Pricing Details'!Z46</f>
        <v/>
      </c>
      <c r="Z56" s="158" t="str">
        <f aca="false">'Pricing Details'!AC46</f>
        <v/>
      </c>
      <c r="AA56" s="20"/>
      <c r="AB56" s="21" t="str">
        <f aca="false">IFERROR(_xlfn.xlookup(H56,Collection[Display],Collection[Line])&amp;_xlfn.xlookup(I56,Sleeve[Display],Sleeve[Sleeve]),"")</f>
        <v/>
      </c>
    </row>
    <row r="57" s="21" customFormat="true" ht="30" hidden="false" customHeight="true" outlineLevel="0" collapsed="false">
      <c r="A57" s="20"/>
      <c r="B57" s="90" t="n">
        <v>44</v>
      </c>
      <c r="C57" s="150"/>
      <c r="D57" s="151"/>
      <c r="E57" s="152"/>
      <c r="F57" s="152"/>
      <c r="G57" s="152"/>
      <c r="H57" s="152"/>
      <c r="I57" s="153"/>
      <c r="J57" s="152"/>
      <c r="K57" s="153"/>
      <c r="L57" s="152"/>
      <c r="M57" s="152"/>
      <c r="N57" s="152"/>
      <c r="O57" s="153"/>
      <c r="P57" s="153"/>
      <c r="Q57" s="153"/>
      <c r="R57" s="153"/>
      <c r="S57" s="153"/>
      <c r="T57" s="154"/>
      <c r="U57" s="159"/>
      <c r="V57" s="155" t="str">
        <f aca="false">IF(J57="","",'Pricing Details'!D47+'Pricing Details'!Q47)</f>
        <v/>
      </c>
      <c r="W57" s="155" t="str">
        <f aca="false">IF(J57="","",'Pricing Details'!V47)</f>
        <v/>
      </c>
      <c r="X57" s="156" t="str">
        <f aca="false">IF(J57="","",'Pricing Details'!X47)</f>
        <v/>
      </c>
      <c r="Y57" s="157" t="str">
        <f aca="false">'Pricing Details'!Z47</f>
        <v/>
      </c>
      <c r="Z57" s="158" t="str">
        <f aca="false">'Pricing Details'!AC47</f>
        <v/>
      </c>
      <c r="AA57" s="20"/>
      <c r="AB57" s="21" t="str">
        <f aca="false">IFERROR(_xlfn.xlookup(H57,Collection[Display],Collection[Line])&amp;_xlfn.xlookup(I57,Sleeve[Display],Sleeve[Sleeve]),"")</f>
        <v/>
      </c>
    </row>
    <row r="58" s="21" customFormat="true" ht="30" hidden="false" customHeight="true" outlineLevel="0" collapsed="false">
      <c r="A58" s="20"/>
      <c r="B58" s="90" t="n">
        <v>45</v>
      </c>
      <c r="C58" s="150"/>
      <c r="D58" s="151"/>
      <c r="E58" s="152"/>
      <c r="F58" s="152"/>
      <c r="G58" s="152"/>
      <c r="H58" s="152"/>
      <c r="I58" s="153"/>
      <c r="J58" s="152"/>
      <c r="K58" s="153"/>
      <c r="L58" s="152"/>
      <c r="M58" s="152"/>
      <c r="N58" s="152"/>
      <c r="O58" s="153"/>
      <c r="P58" s="153"/>
      <c r="Q58" s="153"/>
      <c r="R58" s="153"/>
      <c r="S58" s="153"/>
      <c r="T58" s="154"/>
      <c r="U58" s="159"/>
      <c r="V58" s="155" t="str">
        <f aca="false">IF(J58="","",'Pricing Details'!D48+'Pricing Details'!Q48)</f>
        <v/>
      </c>
      <c r="W58" s="155" t="str">
        <f aca="false">IF(J58="","",'Pricing Details'!V48)</f>
        <v/>
      </c>
      <c r="X58" s="156" t="str">
        <f aca="false">IF(J58="","",'Pricing Details'!X48)</f>
        <v/>
      </c>
      <c r="Y58" s="157" t="str">
        <f aca="false">'Pricing Details'!Z48</f>
        <v/>
      </c>
      <c r="Z58" s="158" t="str">
        <f aca="false">'Pricing Details'!AC48</f>
        <v/>
      </c>
      <c r="AA58" s="20"/>
      <c r="AB58" s="21" t="str">
        <f aca="false">IFERROR(_xlfn.xlookup(H58,Collection[Display],Collection[Line])&amp;_xlfn.xlookup(I58,Sleeve[Display],Sleeve[Sleeve]),"")</f>
        <v/>
      </c>
    </row>
    <row r="59" s="21" customFormat="true" ht="30" hidden="false" customHeight="true" outlineLevel="0" collapsed="false">
      <c r="A59" s="20"/>
      <c r="B59" s="90" t="n">
        <v>46</v>
      </c>
      <c r="C59" s="150"/>
      <c r="D59" s="151"/>
      <c r="E59" s="152"/>
      <c r="F59" s="152"/>
      <c r="G59" s="152"/>
      <c r="H59" s="152"/>
      <c r="I59" s="153"/>
      <c r="J59" s="152"/>
      <c r="K59" s="153"/>
      <c r="L59" s="152"/>
      <c r="M59" s="152"/>
      <c r="N59" s="152"/>
      <c r="O59" s="153"/>
      <c r="P59" s="153"/>
      <c r="Q59" s="153"/>
      <c r="R59" s="153"/>
      <c r="S59" s="153"/>
      <c r="T59" s="154"/>
      <c r="U59" s="159"/>
      <c r="V59" s="155" t="str">
        <f aca="false">IF(J59="","",'Pricing Details'!D49+'Pricing Details'!Q49)</f>
        <v/>
      </c>
      <c r="W59" s="155" t="str">
        <f aca="false">IF(J59="","",'Pricing Details'!V49)</f>
        <v/>
      </c>
      <c r="X59" s="156" t="str">
        <f aca="false">IF(J59="","",'Pricing Details'!X49)</f>
        <v/>
      </c>
      <c r="Y59" s="157" t="str">
        <f aca="false">'Pricing Details'!Z49</f>
        <v/>
      </c>
      <c r="Z59" s="158" t="str">
        <f aca="false">'Pricing Details'!AC49</f>
        <v/>
      </c>
      <c r="AA59" s="20"/>
      <c r="AB59" s="21" t="str">
        <f aca="false">IFERROR(_xlfn.xlookup(H59,Collection[Display],Collection[Line])&amp;_xlfn.xlookup(I59,Sleeve[Display],Sleeve[Sleeve]),"")</f>
        <v/>
      </c>
    </row>
    <row r="60" s="21" customFormat="true" ht="30" hidden="false" customHeight="true" outlineLevel="0" collapsed="false">
      <c r="A60" s="20"/>
      <c r="B60" s="90" t="n">
        <v>47</v>
      </c>
      <c r="C60" s="150"/>
      <c r="D60" s="151"/>
      <c r="E60" s="152"/>
      <c r="F60" s="152"/>
      <c r="G60" s="152"/>
      <c r="H60" s="152"/>
      <c r="I60" s="153"/>
      <c r="J60" s="152"/>
      <c r="K60" s="153"/>
      <c r="L60" s="152"/>
      <c r="M60" s="152"/>
      <c r="N60" s="152"/>
      <c r="O60" s="153"/>
      <c r="P60" s="153"/>
      <c r="Q60" s="153"/>
      <c r="R60" s="153"/>
      <c r="S60" s="153"/>
      <c r="T60" s="154"/>
      <c r="U60" s="159"/>
      <c r="V60" s="155" t="str">
        <f aca="false">IF(J60="","",'Pricing Details'!D50+'Pricing Details'!Q50)</f>
        <v/>
      </c>
      <c r="W60" s="155" t="str">
        <f aca="false">IF(J60="","",'Pricing Details'!V50)</f>
        <v/>
      </c>
      <c r="X60" s="156" t="str">
        <f aca="false">IF(J60="","",'Pricing Details'!X50)</f>
        <v/>
      </c>
      <c r="Y60" s="157" t="str">
        <f aca="false">'Pricing Details'!Z50</f>
        <v/>
      </c>
      <c r="Z60" s="158" t="str">
        <f aca="false">'Pricing Details'!AC50</f>
        <v/>
      </c>
      <c r="AA60" s="20"/>
      <c r="AB60" s="21" t="str">
        <f aca="false">IFERROR(_xlfn.xlookup(H60,Collection[Display],Collection[Line])&amp;_xlfn.xlookup(I60,Sleeve[Display],Sleeve[Sleeve]),"")</f>
        <v/>
      </c>
    </row>
    <row r="61" s="21" customFormat="true" ht="30" hidden="false" customHeight="true" outlineLevel="0" collapsed="false">
      <c r="A61" s="20"/>
      <c r="B61" s="90" t="n">
        <v>48</v>
      </c>
      <c r="C61" s="150"/>
      <c r="D61" s="151"/>
      <c r="E61" s="152"/>
      <c r="F61" s="152"/>
      <c r="G61" s="152"/>
      <c r="H61" s="152"/>
      <c r="I61" s="153"/>
      <c r="J61" s="152"/>
      <c r="K61" s="153"/>
      <c r="L61" s="152"/>
      <c r="M61" s="152"/>
      <c r="N61" s="152"/>
      <c r="O61" s="153"/>
      <c r="P61" s="153"/>
      <c r="Q61" s="153"/>
      <c r="R61" s="153"/>
      <c r="S61" s="153"/>
      <c r="T61" s="154"/>
      <c r="U61" s="159"/>
      <c r="V61" s="155" t="str">
        <f aca="false">IF(J61="","",'Pricing Details'!D51+'Pricing Details'!Q51)</f>
        <v/>
      </c>
      <c r="W61" s="155" t="str">
        <f aca="false">IF(J61="","",'Pricing Details'!V51)</f>
        <v/>
      </c>
      <c r="X61" s="156" t="str">
        <f aca="false">IF(J61="","",'Pricing Details'!X51)</f>
        <v/>
      </c>
      <c r="Y61" s="157" t="str">
        <f aca="false">'Pricing Details'!Z51</f>
        <v/>
      </c>
      <c r="Z61" s="158" t="str">
        <f aca="false">'Pricing Details'!AC51</f>
        <v/>
      </c>
      <c r="AA61" s="20"/>
      <c r="AB61" s="21" t="str">
        <f aca="false">IFERROR(_xlfn.xlookup(H61,Collection[Display],Collection[Line])&amp;_xlfn.xlookup(I61,Sleeve[Display],Sleeve[Sleeve]),"")</f>
        <v/>
      </c>
    </row>
    <row r="62" s="21" customFormat="true" ht="30" hidden="false" customHeight="true" outlineLevel="0" collapsed="false">
      <c r="A62" s="20"/>
      <c r="B62" s="90" t="n">
        <v>49</v>
      </c>
      <c r="C62" s="150"/>
      <c r="D62" s="151"/>
      <c r="E62" s="152"/>
      <c r="F62" s="152"/>
      <c r="G62" s="152"/>
      <c r="H62" s="152"/>
      <c r="I62" s="153"/>
      <c r="J62" s="152"/>
      <c r="K62" s="153"/>
      <c r="L62" s="152"/>
      <c r="M62" s="152"/>
      <c r="N62" s="152"/>
      <c r="O62" s="153"/>
      <c r="P62" s="153"/>
      <c r="Q62" s="153"/>
      <c r="R62" s="153"/>
      <c r="S62" s="153"/>
      <c r="T62" s="154"/>
      <c r="U62" s="159"/>
      <c r="V62" s="155" t="str">
        <f aca="false">IF(J62="","",'Pricing Details'!D52+'Pricing Details'!Q52)</f>
        <v/>
      </c>
      <c r="W62" s="155" t="str">
        <f aca="false">IF(J62="","",'Pricing Details'!V52)</f>
        <v/>
      </c>
      <c r="X62" s="156" t="str">
        <f aca="false">IF(J62="","",'Pricing Details'!X52)</f>
        <v/>
      </c>
      <c r="Y62" s="157" t="str">
        <f aca="false">'Pricing Details'!Z52</f>
        <v/>
      </c>
      <c r="Z62" s="158" t="str">
        <f aca="false">'Pricing Details'!AC52</f>
        <v/>
      </c>
      <c r="AA62" s="20"/>
      <c r="AB62" s="21" t="str">
        <f aca="false">IFERROR(_xlfn.xlookup(H62,Collection[Display],Collection[Line])&amp;_xlfn.xlookup(I62,Sleeve[Display],Sleeve[Sleeve]),"")</f>
        <v/>
      </c>
    </row>
    <row r="63" s="21" customFormat="true" ht="30" hidden="false" customHeight="true" outlineLevel="0" collapsed="false">
      <c r="A63" s="20"/>
      <c r="B63" s="90" t="n">
        <v>50</v>
      </c>
      <c r="C63" s="150"/>
      <c r="D63" s="151"/>
      <c r="E63" s="152"/>
      <c r="F63" s="152"/>
      <c r="G63" s="152"/>
      <c r="H63" s="152"/>
      <c r="I63" s="153"/>
      <c r="J63" s="152"/>
      <c r="K63" s="153"/>
      <c r="L63" s="152"/>
      <c r="M63" s="152"/>
      <c r="N63" s="152"/>
      <c r="O63" s="153"/>
      <c r="P63" s="153"/>
      <c r="Q63" s="153"/>
      <c r="R63" s="153"/>
      <c r="S63" s="153"/>
      <c r="T63" s="154"/>
      <c r="U63" s="159"/>
      <c r="V63" s="155" t="str">
        <f aca="false">IF(J63="","",'Pricing Details'!D53+'Pricing Details'!Q53)</f>
        <v/>
      </c>
      <c r="W63" s="155" t="str">
        <f aca="false">IF(J63="","",'Pricing Details'!V53)</f>
        <v/>
      </c>
      <c r="X63" s="156" t="str">
        <f aca="false">IF(J63="","",'Pricing Details'!X53)</f>
        <v/>
      </c>
      <c r="Y63" s="157" t="str">
        <f aca="false">'Pricing Details'!Z53</f>
        <v/>
      </c>
      <c r="Z63" s="158" t="str">
        <f aca="false">'Pricing Details'!AC53</f>
        <v/>
      </c>
      <c r="AA63" s="20"/>
      <c r="AB63" s="21" t="str">
        <f aca="false">IFERROR(_xlfn.xlookup(H63,Collection[Display],Collection[Line])&amp;_xlfn.xlookup(I63,Sleeve[Display],Sleeve[Sleeve]),"")</f>
        <v/>
      </c>
    </row>
    <row r="64" s="21" customFormat="true" ht="30" hidden="false" customHeight="true" outlineLevel="0" collapsed="false">
      <c r="A64" s="20"/>
      <c r="B64" s="90" t="n">
        <v>51</v>
      </c>
      <c r="C64" s="150"/>
      <c r="D64" s="151"/>
      <c r="E64" s="152"/>
      <c r="F64" s="152"/>
      <c r="G64" s="152"/>
      <c r="H64" s="152"/>
      <c r="I64" s="153"/>
      <c r="J64" s="152"/>
      <c r="K64" s="153"/>
      <c r="L64" s="152"/>
      <c r="M64" s="152"/>
      <c r="N64" s="152"/>
      <c r="O64" s="153"/>
      <c r="P64" s="153"/>
      <c r="Q64" s="153"/>
      <c r="R64" s="153"/>
      <c r="S64" s="153"/>
      <c r="T64" s="154"/>
      <c r="U64" s="159"/>
      <c r="V64" s="155" t="str">
        <f aca="false">IF(J64="","",'Pricing Details'!D54+'Pricing Details'!Q54)</f>
        <v/>
      </c>
      <c r="W64" s="155" t="str">
        <f aca="false">IF(J64="","",'Pricing Details'!V54)</f>
        <v/>
      </c>
      <c r="X64" s="156" t="str">
        <f aca="false">IF(J64="","",'Pricing Details'!X54)</f>
        <v/>
      </c>
      <c r="Y64" s="157" t="str">
        <f aca="false">'Pricing Details'!Z54</f>
        <v/>
      </c>
      <c r="Z64" s="158" t="str">
        <f aca="false">'Pricing Details'!AC54</f>
        <v/>
      </c>
      <c r="AA64" s="20"/>
      <c r="AB64" s="21" t="str">
        <f aca="false">IFERROR(_xlfn.xlookup(H64,Collection[Display],Collection[Line])&amp;_xlfn.xlookup(I64,Sleeve[Display],Sleeve[Sleeve]),"")</f>
        <v/>
      </c>
    </row>
    <row r="65" s="21" customFormat="true" ht="30" hidden="false" customHeight="true" outlineLevel="0" collapsed="false">
      <c r="A65" s="20"/>
      <c r="B65" s="90" t="n">
        <v>52</v>
      </c>
      <c r="C65" s="150"/>
      <c r="D65" s="151"/>
      <c r="E65" s="152"/>
      <c r="F65" s="152"/>
      <c r="G65" s="152"/>
      <c r="H65" s="152"/>
      <c r="I65" s="153"/>
      <c r="J65" s="152"/>
      <c r="K65" s="153"/>
      <c r="L65" s="152"/>
      <c r="M65" s="152"/>
      <c r="N65" s="152"/>
      <c r="O65" s="153"/>
      <c r="P65" s="153"/>
      <c r="Q65" s="153"/>
      <c r="R65" s="153"/>
      <c r="S65" s="153"/>
      <c r="T65" s="154"/>
      <c r="U65" s="159"/>
      <c r="V65" s="155" t="str">
        <f aca="false">IF(J65="","",'Pricing Details'!D55+'Pricing Details'!Q55)</f>
        <v/>
      </c>
      <c r="W65" s="155" t="str">
        <f aca="false">IF(J65="","",'Pricing Details'!V55)</f>
        <v/>
      </c>
      <c r="X65" s="156" t="str">
        <f aca="false">IF(J65="","",'Pricing Details'!X55)</f>
        <v/>
      </c>
      <c r="Y65" s="157" t="str">
        <f aca="false">'Pricing Details'!Z55</f>
        <v/>
      </c>
      <c r="Z65" s="158" t="str">
        <f aca="false">'Pricing Details'!AC55</f>
        <v/>
      </c>
      <c r="AA65" s="20"/>
      <c r="AB65" s="21" t="str">
        <f aca="false">IFERROR(_xlfn.xlookup(H65,Collection[Display],Collection[Line])&amp;_xlfn.xlookup(I65,Sleeve[Display],Sleeve[Sleeve]),"")</f>
        <v/>
      </c>
    </row>
    <row r="66" s="21" customFormat="true" ht="30" hidden="false" customHeight="true" outlineLevel="0" collapsed="false">
      <c r="A66" s="20"/>
      <c r="B66" s="90" t="n">
        <v>53</v>
      </c>
      <c r="C66" s="150"/>
      <c r="D66" s="151"/>
      <c r="E66" s="152"/>
      <c r="F66" s="152"/>
      <c r="G66" s="152"/>
      <c r="H66" s="152"/>
      <c r="I66" s="153"/>
      <c r="J66" s="152"/>
      <c r="K66" s="153"/>
      <c r="L66" s="152"/>
      <c r="M66" s="152"/>
      <c r="N66" s="152"/>
      <c r="O66" s="153"/>
      <c r="P66" s="153"/>
      <c r="Q66" s="153"/>
      <c r="R66" s="153"/>
      <c r="S66" s="153"/>
      <c r="T66" s="154"/>
      <c r="U66" s="159"/>
      <c r="V66" s="155" t="str">
        <f aca="false">IF(J66="","",'Pricing Details'!D56+'Pricing Details'!Q56)</f>
        <v/>
      </c>
      <c r="W66" s="155" t="str">
        <f aca="false">IF(J66="","",'Pricing Details'!V56)</f>
        <v/>
      </c>
      <c r="X66" s="156" t="str">
        <f aca="false">IF(J66="","",'Pricing Details'!X56)</f>
        <v/>
      </c>
      <c r="Y66" s="157" t="str">
        <f aca="false">'Pricing Details'!Z56</f>
        <v/>
      </c>
      <c r="Z66" s="158" t="str">
        <f aca="false">'Pricing Details'!AC56</f>
        <v/>
      </c>
      <c r="AA66" s="20"/>
      <c r="AB66" s="21" t="str">
        <f aca="false">IFERROR(_xlfn.xlookup(H66,Collection[Display],Collection[Line])&amp;_xlfn.xlookup(I66,Sleeve[Display],Sleeve[Sleeve]),"")</f>
        <v/>
      </c>
    </row>
    <row r="67" s="21" customFormat="true" ht="30" hidden="false" customHeight="true" outlineLevel="0" collapsed="false">
      <c r="A67" s="20"/>
      <c r="B67" s="90" t="n">
        <v>54</v>
      </c>
      <c r="C67" s="150"/>
      <c r="D67" s="151"/>
      <c r="E67" s="152"/>
      <c r="F67" s="152"/>
      <c r="G67" s="152"/>
      <c r="H67" s="152"/>
      <c r="I67" s="153"/>
      <c r="J67" s="152"/>
      <c r="K67" s="153"/>
      <c r="L67" s="152"/>
      <c r="M67" s="152"/>
      <c r="N67" s="152"/>
      <c r="O67" s="153"/>
      <c r="P67" s="153"/>
      <c r="Q67" s="153"/>
      <c r="R67" s="153"/>
      <c r="S67" s="153"/>
      <c r="T67" s="154"/>
      <c r="U67" s="159"/>
      <c r="V67" s="155" t="str">
        <f aca="false">IF(J67="","",'Pricing Details'!D57+'Pricing Details'!Q57)</f>
        <v/>
      </c>
      <c r="W67" s="155" t="str">
        <f aca="false">IF(J67="","",'Pricing Details'!V57)</f>
        <v/>
      </c>
      <c r="X67" s="156" t="str">
        <f aca="false">IF(J67="","",'Pricing Details'!X57)</f>
        <v/>
      </c>
      <c r="Y67" s="157" t="str">
        <f aca="false">'Pricing Details'!Z57</f>
        <v/>
      </c>
      <c r="Z67" s="158" t="str">
        <f aca="false">'Pricing Details'!AC57</f>
        <v/>
      </c>
      <c r="AA67" s="20"/>
      <c r="AB67" s="21" t="str">
        <f aca="false">IFERROR(_xlfn.xlookup(H67,Collection[Display],Collection[Line])&amp;_xlfn.xlookup(I67,Sleeve[Display],Sleeve[Sleeve]),"")</f>
        <v/>
      </c>
    </row>
    <row r="68" s="21" customFormat="true" ht="30" hidden="false" customHeight="true" outlineLevel="0" collapsed="false">
      <c r="A68" s="20"/>
      <c r="B68" s="90" t="n">
        <v>55</v>
      </c>
      <c r="C68" s="150"/>
      <c r="D68" s="151"/>
      <c r="E68" s="152"/>
      <c r="F68" s="152"/>
      <c r="G68" s="152"/>
      <c r="H68" s="152"/>
      <c r="I68" s="153"/>
      <c r="J68" s="152"/>
      <c r="K68" s="153"/>
      <c r="L68" s="152"/>
      <c r="M68" s="152"/>
      <c r="N68" s="152"/>
      <c r="O68" s="153"/>
      <c r="P68" s="153"/>
      <c r="Q68" s="153"/>
      <c r="R68" s="153"/>
      <c r="S68" s="153"/>
      <c r="T68" s="154"/>
      <c r="U68" s="159"/>
      <c r="V68" s="155" t="str">
        <f aca="false">IF(J68="","",'Pricing Details'!D58+'Pricing Details'!Q58)</f>
        <v/>
      </c>
      <c r="W68" s="155" t="str">
        <f aca="false">IF(J68="","",'Pricing Details'!V58)</f>
        <v/>
      </c>
      <c r="X68" s="156" t="str">
        <f aca="false">IF(J68="","",'Pricing Details'!X58)</f>
        <v/>
      </c>
      <c r="Y68" s="157" t="str">
        <f aca="false">'Pricing Details'!Z58</f>
        <v/>
      </c>
      <c r="Z68" s="158" t="str">
        <f aca="false">'Pricing Details'!AC58</f>
        <v/>
      </c>
      <c r="AA68" s="20"/>
      <c r="AB68" s="21" t="str">
        <f aca="false">IFERROR(_xlfn.xlookup(H68,Collection[Display],Collection[Line])&amp;_xlfn.xlookup(I68,Sleeve[Display],Sleeve[Sleeve]),"")</f>
        <v/>
      </c>
    </row>
    <row r="69" s="21" customFormat="true" ht="30" hidden="false" customHeight="true" outlineLevel="0" collapsed="false">
      <c r="A69" s="20"/>
      <c r="B69" s="90" t="n">
        <v>56</v>
      </c>
      <c r="C69" s="150"/>
      <c r="D69" s="151"/>
      <c r="E69" s="152"/>
      <c r="F69" s="152"/>
      <c r="G69" s="152"/>
      <c r="H69" s="152"/>
      <c r="I69" s="153"/>
      <c r="J69" s="152"/>
      <c r="K69" s="153"/>
      <c r="L69" s="152"/>
      <c r="M69" s="152"/>
      <c r="N69" s="152"/>
      <c r="O69" s="153"/>
      <c r="P69" s="153"/>
      <c r="Q69" s="153"/>
      <c r="R69" s="153"/>
      <c r="S69" s="153"/>
      <c r="T69" s="154"/>
      <c r="U69" s="159"/>
      <c r="V69" s="155" t="str">
        <f aca="false">IF(J69="","",'Pricing Details'!D59+'Pricing Details'!Q59)</f>
        <v/>
      </c>
      <c r="W69" s="155" t="str">
        <f aca="false">IF(J69="","",'Pricing Details'!V59)</f>
        <v/>
      </c>
      <c r="X69" s="156" t="str">
        <f aca="false">IF(J69="","",'Pricing Details'!X59)</f>
        <v/>
      </c>
      <c r="Y69" s="157" t="str">
        <f aca="false">'Pricing Details'!Z59</f>
        <v/>
      </c>
      <c r="Z69" s="158" t="str">
        <f aca="false">'Pricing Details'!AC59</f>
        <v/>
      </c>
      <c r="AA69" s="20"/>
      <c r="AB69" s="21" t="str">
        <f aca="false">IFERROR(_xlfn.xlookup(H69,Collection[Display],Collection[Line])&amp;_xlfn.xlookup(I69,Sleeve[Display],Sleeve[Sleeve]),"")</f>
        <v/>
      </c>
    </row>
    <row r="70" s="21" customFormat="true" ht="30" hidden="false" customHeight="true" outlineLevel="0" collapsed="false">
      <c r="A70" s="20"/>
      <c r="B70" s="90" t="n">
        <v>57</v>
      </c>
      <c r="C70" s="150"/>
      <c r="D70" s="151"/>
      <c r="E70" s="152"/>
      <c r="F70" s="152"/>
      <c r="G70" s="152"/>
      <c r="H70" s="152"/>
      <c r="I70" s="153"/>
      <c r="J70" s="152"/>
      <c r="K70" s="153"/>
      <c r="L70" s="152"/>
      <c r="M70" s="152"/>
      <c r="N70" s="152"/>
      <c r="O70" s="153"/>
      <c r="P70" s="153"/>
      <c r="Q70" s="153"/>
      <c r="R70" s="153"/>
      <c r="S70" s="153"/>
      <c r="T70" s="154"/>
      <c r="U70" s="159"/>
      <c r="V70" s="155" t="str">
        <f aca="false">IF(J70="","",'Pricing Details'!D60+'Pricing Details'!Q60)</f>
        <v/>
      </c>
      <c r="W70" s="155" t="str">
        <f aca="false">IF(J70="","",'Pricing Details'!V60)</f>
        <v/>
      </c>
      <c r="X70" s="156" t="str">
        <f aca="false">IF(J70="","",'Pricing Details'!X60)</f>
        <v/>
      </c>
      <c r="Y70" s="157" t="str">
        <f aca="false">'Pricing Details'!Z60</f>
        <v/>
      </c>
      <c r="Z70" s="158" t="str">
        <f aca="false">'Pricing Details'!AC60</f>
        <v/>
      </c>
      <c r="AA70" s="20"/>
      <c r="AB70" s="21" t="str">
        <f aca="false">IFERROR(_xlfn.xlookup(H70,Collection[Display],Collection[Line])&amp;_xlfn.xlookup(I70,Sleeve[Display],Sleeve[Sleeve]),"")</f>
        <v/>
      </c>
    </row>
    <row r="71" s="21" customFormat="true" ht="30" hidden="false" customHeight="true" outlineLevel="0" collapsed="false">
      <c r="A71" s="20"/>
      <c r="B71" s="90" t="n">
        <v>58</v>
      </c>
      <c r="C71" s="150"/>
      <c r="D71" s="151"/>
      <c r="E71" s="152"/>
      <c r="F71" s="152"/>
      <c r="G71" s="152"/>
      <c r="H71" s="152"/>
      <c r="I71" s="153"/>
      <c r="J71" s="152"/>
      <c r="K71" s="153"/>
      <c r="L71" s="152"/>
      <c r="M71" s="152"/>
      <c r="N71" s="152"/>
      <c r="O71" s="153"/>
      <c r="P71" s="153"/>
      <c r="Q71" s="153"/>
      <c r="R71" s="153"/>
      <c r="S71" s="153"/>
      <c r="T71" s="154"/>
      <c r="U71" s="159"/>
      <c r="V71" s="155" t="str">
        <f aca="false">IF(J71="","",'Pricing Details'!D61+'Pricing Details'!Q61)</f>
        <v/>
      </c>
      <c r="W71" s="155" t="str">
        <f aca="false">IF(J71="","",'Pricing Details'!V61)</f>
        <v/>
      </c>
      <c r="X71" s="156" t="str">
        <f aca="false">IF(J71="","",'Pricing Details'!X61)</f>
        <v/>
      </c>
      <c r="Y71" s="157" t="str">
        <f aca="false">'Pricing Details'!Z61</f>
        <v/>
      </c>
      <c r="Z71" s="158" t="str">
        <f aca="false">'Pricing Details'!AC61</f>
        <v/>
      </c>
      <c r="AA71" s="20"/>
      <c r="AB71" s="21" t="str">
        <f aca="false">IFERROR(_xlfn.xlookup(H71,Collection[Display],Collection[Line])&amp;_xlfn.xlookup(I71,Sleeve[Display],Sleeve[Sleeve]),"")</f>
        <v/>
      </c>
    </row>
    <row r="72" s="21" customFormat="true" ht="30" hidden="false" customHeight="true" outlineLevel="0" collapsed="false">
      <c r="A72" s="20"/>
      <c r="B72" s="90" t="n">
        <v>59</v>
      </c>
      <c r="C72" s="150"/>
      <c r="D72" s="151"/>
      <c r="E72" s="152"/>
      <c r="F72" s="152"/>
      <c r="G72" s="152"/>
      <c r="H72" s="152"/>
      <c r="I72" s="153"/>
      <c r="J72" s="152"/>
      <c r="K72" s="153"/>
      <c r="L72" s="152"/>
      <c r="M72" s="152"/>
      <c r="N72" s="152"/>
      <c r="O72" s="153"/>
      <c r="P72" s="153"/>
      <c r="Q72" s="153"/>
      <c r="R72" s="153"/>
      <c r="S72" s="153"/>
      <c r="T72" s="154"/>
      <c r="U72" s="159"/>
      <c r="V72" s="155" t="str">
        <f aca="false">IF(J72="","",'Pricing Details'!D62+'Pricing Details'!Q62)</f>
        <v/>
      </c>
      <c r="W72" s="155" t="str">
        <f aca="false">IF(J72="","",'Pricing Details'!V62)</f>
        <v/>
      </c>
      <c r="X72" s="156" t="str">
        <f aca="false">IF(J72="","",'Pricing Details'!X62)</f>
        <v/>
      </c>
      <c r="Y72" s="157" t="str">
        <f aca="false">'Pricing Details'!Z62</f>
        <v/>
      </c>
      <c r="Z72" s="158" t="str">
        <f aca="false">'Pricing Details'!AC62</f>
        <v/>
      </c>
      <c r="AA72" s="20"/>
      <c r="AB72" s="21" t="str">
        <f aca="false">IFERROR(_xlfn.xlookup(H72,Collection[Display],Collection[Line])&amp;_xlfn.xlookup(I72,Sleeve[Display],Sleeve[Sleeve]),"")</f>
        <v/>
      </c>
    </row>
    <row r="73" s="21" customFormat="true" ht="30" hidden="false" customHeight="true" outlineLevel="0" collapsed="false">
      <c r="A73" s="20"/>
      <c r="B73" s="90" t="n">
        <v>60</v>
      </c>
      <c r="C73" s="150"/>
      <c r="D73" s="151"/>
      <c r="E73" s="152"/>
      <c r="F73" s="152"/>
      <c r="G73" s="152"/>
      <c r="H73" s="152"/>
      <c r="I73" s="153"/>
      <c r="J73" s="152"/>
      <c r="K73" s="153"/>
      <c r="L73" s="152"/>
      <c r="M73" s="152"/>
      <c r="N73" s="152"/>
      <c r="O73" s="153"/>
      <c r="P73" s="153"/>
      <c r="Q73" s="153"/>
      <c r="R73" s="153"/>
      <c r="S73" s="153"/>
      <c r="T73" s="154"/>
      <c r="U73" s="159"/>
      <c r="V73" s="155" t="str">
        <f aca="false">IF(J73="","",'Pricing Details'!D63+'Pricing Details'!Q63)</f>
        <v/>
      </c>
      <c r="W73" s="155" t="str">
        <f aca="false">IF(J73="","",'Pricing Details'!V63)</f>
        <v/>
      </c>
      <c r="X73" s="156" t="str">
        <f aca="false">IF(J73="","",'Pricing Details'!X63)</f>
        <v/>
      </c>
      <c r="Y73" s="157" t="str">
        <f aca="false">'Pricing Details'!Z63</f>
        <v/>
      </c>
      <c r="Z73" s="158" t="str">
        <f aca="false">'Pricing Details'!AC63</f>
        <v/>
      </c>
      <c r="AA73" s="20"/>
      <c r="AB73" s="21" t="str">
        <f aca="false">IFERROR(_xlfn.xlookup(H73,Collection[Display],Collection[Line])&amp;_xlfn.xlookup(I73,Sleeve[Display],Sleeve[Sleeve]),"")</f>
        <v/>
      </c>
    </row>
    <row r="74" s="21" customFormat="true" ht="30" hidden="false" customHeight="true" outlineLevel="0" collapsed="false">
      <c r="A74" s="20"/>
      <c r="B74" s="90" t="n">
        <v>61</v>
      </c>
      <c r="C74" s="150"/>
      <c r="D74" s="151"/>
      <c r="E74" s="152"/>
      <c r="F74" s="152"/>
      <c r="G74" s="152"/>
      <c r="H74" s="152"/>
      <c r="I74" s="153"/>
      <c r="J74" s="152"/>
      <c r="K74" s="153"/>
      <c r="L74" s="152"/>
      <c r="M74" s="152"/>
      <c r="N74" s="152"/>
      <c r="O74" s="153"/>
      <c r="P74" s="153"/>
      <c r="Q74" s="153"/>
      <c r="R74" s="153"/>
      <c r="S74" s="153"/>
      <c r="T74" s="154"/>
      <c r="U74" s="159"/>
      <c r="V74" s="155" t="str">
        <f aca="false">IF(J74="","",'Pricing Details'!D64+'Pricing Details'!Q64)</f>
        <v/>
      </c>
      <c r="W74" s="155" t="str">
        <f aca="false">IF(J74="","",'Pricing Details'!V64)</f>
        <v/>
      </c>
      <c r="X74" s="156" t="str">
        <f aca="false">IF(J74="","",'Pricing Details'!X64)</f>
        <v/>
      </c>
      <c r="Y74" s="157" t="str">
        <f aca="false">'Pricing Details'!Z64</f>
        <v/>
      </c>
      <c r="Z74" s="158" t="str">
        <f aca="false">'Pricing Details'!AC64</f>
        <v/>
      </c>
      <c r="AA74" s="20"/>
      <c r="AB74" s="21" t="str">
        <f aca="false">IFERROR(_xlfn.xlookup(H74,Collection[Display],Collection[Line])&amp;_xlfn.xlookup(I74,Sleeve[Display],Sleeve[Sleeve]),"")</f>
        <v/>
      </c>
    </row>
    <row r="75" s="21" customFormat="true" ht="30" hidden="false" customHeight="true" outlineLevel="0" collapsed="false">
      <c r="A75" s="20"/>
      <c r="B75" s="90" t="n">
        <v>62</v>
      </c>
      <c r="C75" s="150"/>
      <c r="D75" s="151"/>
      <c r="E75" s="152"/>
      <c r="F75" s="152"/>
      <c r="G75" s="152"/>
      <c r="H75" s="152"/>
      <c r="I75" s="153"/>
      <c r="J75" s="152"/>
      <c r="K75" s="153"/>
      <c r="L75" s="152"/>
      <c r="M75" s="152"/>
      <c r="N75" s="152"/>
      <c r="O75" s="153"/>
      <c r="P75" s="153"/>
      <c r="Q75" s="153"/>
      <c r="R75" s="153"/>
      <c r="S75" s="153"/>
      <c r="T75" s="154"/>
      <c r="U75" s="159"/>
      <c r="V75" s="155" t="str">
        <f aca="false">IF(J75="","",'Pricing Details'!D65+'Pricing Details'!Q65)</f>
        <v/>
      </c>
      <c r="W75" s="155" t="str">
        <f aca="false">IF(J75="","",'Pricing Details'!V65)</f>
        <v/>
      </c>
      <c r="X75" s="156" t="str">
        <f aca="false">IF(J75="","",'Pricing Details'!X65)</f>
        <v/>
      </c>
      <c r="Y75" s="157" t="str">
        <f aca="false">'Pricing Details'!Z65</f>
        <v/>
      </c>
      <c r="Z75" s="158" t="str">
        <f aca="false">'Pricing Details'!AC65</f>
        <v/>
      </c>
      <c r="AA75" s="20"/>
      <c r="AB75" s="21" t="str">
        <f aca="false">IFERROR(_xlfn.xlookup(H75,Collection[Display],Collection[Line])&amp;_xlfn.xlookup(I75,Sleeve[Display],Sleeve[Sleeve]),"")</f>
        <v/>
      </c>
    </row>
    <row r="76" s="21" customFormat="true" ht="30" hidden="false" customHeight="true" outlineLevel="0" collapsed="false">
      <c r="A76" s="20"/>
      <c r="B76" s="90" t="n">
        <v>63</v>
      </c>
      <c r="C76" s="150"/>
      <c r="D76" s="151"/>
      <c r="E76" s="152"/>
      <c r="F76" s="152"/>
      <c r="G76" s="152"/>
      <c r="H76" s="152"/>
      <c r="I76" s="153"/>
      <c r="J76" s="152"/>
      <c r="K76" s="153"/>
      <c r="L76" s="152"/>
      <c r="M76" s="152"/>
      <c r="N76" s="152"/>
      <c r="O76" s="153"/>
      <c r="P76" s="153"/>
      <c r="Q76" s="153"/>
      <c r="R76" s="153"/>
      <c r="S76" s="153"/>
      <c r="T76" s="154"/>
      <c r="U76" s="159"/>
      <c r="V76" s="155" t="str">
        <f aca="false">IF(J76="","",'Pricing Details'!D66+'Pricing Details'!Q66)</f>
        <v/>
      </c>
      <c r="W76" s="155" t="str">
        <f aca="false">IF(J76="","",'Pricing Details'!V66)</f>
        <v/>
      </c>
      <c r="X76" s="156" t="str">
        <f aca="false">IF(J76="","",'Pricing Details'!X66)</f>
        <v/>
      </c>
      <c r="Y76" s="157" t="str">
        <f aca="false">'Pricing Details'!Z66</f>
        <v/>
      </c>
      <c r="Z76" s="158" t="str">
        <f aca="false">'Pricing Details'!AC66</f>
        <v/>
      </c>
      <c r="AA76" s="20"/>
      <c r="AB76" s="21" t="str">
        <f aca="false">IFERROR(_xlfn.xlookup(H76,Collection[Display],Collection[Line])&amp;_xlfn.xlookup(I76,Sleeve[Display],Sleeve[Sleeve]),"")</f>
        <v/>
      </c>
    </row>
    <row r="77" s="21" customFormat="true" ht="30" hidden="false" customHeight="true" outlineLevel="0" collapsed="false">
      <c r="A77" s="20"/>
      <c r="B77" s="90" t="n">
        <v>64</v>
      </c>
      <c r="C77" s="150"/>
      <c r="D77" s="151"/>
      <c r="E77" s="152"/>
      <c r="F77" s="152"/>
      <c r="G77" s="152"/>
      <c r="H77" s="152"/>
      <c r="I77" s="153"/>
      <c r="J77" s="152"/>
      <c r="K77" s="153"/>
      <c r="L77" s="152"/>
      <c r="M77" s="152"/>
      <c r="N77" s="152"/>
      <c r="O77" s="153"/>
      <c r="P77" s="153"/>
      <c r="Q77" s="153"/>
      <c r="R77" s="153"/>
      <c r="S77" s="153"/>
      <c r="T77" s="154"/>
      <c r="U77" s="159"/>
      <c r="V77" s="155" t="str">
        <f aca="false">IF(J77="","",'Pricing Details'!D67+'Pricing Details'!Q67)</f>
        <v/>
      </c>
      <c r="W77" s="155" t="str">
        <f aca="false">IF(J77="","",'Pricing Details'!V67)</f>
        <v/>
      </c>
      <c r="X77" s="156" t="str">
        <f aca="false">IF(J77="","",'Pricing Details'!X67)</f>
        <v/>
      </c>
      <c r="Y77" s="157" t="str">
        <f aca="false">'Pricing Details'!Z67</f>
        <v/>
      </c>
      <c r="Z77" s="158" t="str">
        <f aca="false">'Pricing Details'!AC67</f>
        <v/>
      </c>
      <c r="AA77" s="20"/>
      <c r="AB77" s="21" t="str">
        <f aca="false">IFERROR(_xlfn.xlookup(H77,Collection[Display],Collection[Line])&amp;_xlfn.xlookup(I77,Sleeve[Display],Sleeve[Sleeve]),"")</f>
        <v/>
      </c>
    </row>
    <row r="78" s="21" customFormat="true" ht="30" hidden="false" customHeight="true" outlineLevel="0" collapsed="false">
      <c r="A78" s="20"/>
      <c r="B78" s="90" t="n">
        <v>65</v>
      </c>
      <c r="C78" s="150"/>
      <c r="D78" s="151"/>
      <c r="E78" s="152"/>
      <c r="F78" s="152"/>
      <c r="G78" s="152"/>
      <c r="H78" s="152"/>
      <c r="I78" s="153"/>
      <c r="J78" s="152"/>
      <c r="K78" s="153"/>
      <c r="L78" s="152"/>
      <c r="M78" s="152"/>
      <c r="N78" s="152"/>
      <c r="O78" s="153"/>
      <c r="P78" s="153"/>
      <c r="Q78" s="153"/>
      <c r="R78" s="153"/>
      <c r="S78" s="153"/>
      <c r="T78" s="154"/>
      <c r="U78" s="159"/>
      <c r="V78" s="155" t="str">
        <f aca="false">IF(J78="","",'Pricing Details'!D68+'Pricing Details'!Q68)</f>
        <v/>
      </c>
      <c r="W78" s="155" t="str">
        <f aca="false">IF(J78="","",'Pricing Details'!V68)</f>
        <v/>
      </c>
      <c r="X78" s="156" t="str">
        <f aca="false">IF(J78="","",'Pricing Details'!X68)</f>
        <v/>
      </c>
      <c r="Y78" s="157" t="str">
        <f aca="false">'Pricing Details'!Z68</f>
        <v/>
      </c>
      <c r="Z78" s="158" t="str">
        <f aca="false">'Pricing Details'!AC68</f>
        <v/>
      </c>
      <c r="AA78" s="20"/>
      <c r="AB78" s="21" t="str">
        <f aca="false">IFERROR(_xlfn.xlookup(H78,Collection[Display],Collection[Line])&amp;_xlfn.xlookup(I78,Sleeve[Display],Sleeve[Sleeve]),"")</f>
        <v/>
      </c>
    </row>
    <row r="79" s="21" customFormat="true" ht="30" hidden="false" customHeight="true" outlineLevel="0" collapsed="false">
      <c r="A79" s="20"/>
      <c r="B79" s="90" t="n">
        <v>66</v>
      </c>
      <c r="C79" s="150"/>
      <c r="D79" s="151"/>
      <c r="E79" s="152"/>
      <c r="F79" s="152"/>
      <c r="G79" s="152"/>
      <c r="H79" s="152"/>
      <c r="I79" s="153"/>
      <c r="J79" s="152"/>
      <c r="K79" s="153"/>
      <c r="L79" s="152"/>
      <c r="M79" s="152"/>
      <c r="N79" s="152"/>
      <c r="O79" s="153"/>
      <c r="P79" s="153"/>
      <c r="Q79" s="153"/>
      <c r="R79" s="153"/>
      <c r="S79" s="153"/>
      <c r="T79" s="154"/>
      <c r="U79" s="159"/>
      <c r="V79" s="155" t="str">
        <f aca="false">IF(J79="","",'Pricing Details'!D69+'Pricing Details'!Q69)</f>
        <v/>
      </c>
      <c r="W79" s="155" t="str">
        <f aca="false">IF(J79="","",'Pricing Details'!V69)</f>
        <v/>
      </c>
      <c r="X79" s="156" t="str">
        <f aca="false">IF(J79="","",'Pricing Details'!X69)</f>
        <v/>
      </c>
      <c r="Y79" s="157" t="str">
        <f aca="false">'Pricing Details'!Z69</f>
        <v/>
      </c>
      <c r="Z79" s="158" t="str">
        <f aca="false">'Pricing Details'!AC69</f>
        <v/>
      </c>
      <c r="AA79" s="20"/>
      <c r="AB79" s="21" t="str">
        <f aca="false">IFERROR(_xlfn.xlookup(H79,Collection[Display],Collection[Line])&amp;_xlfn.xlookup(I79,Sleeve[Display],Sleeve[Sleeve]),"")</f>
        <v/>
      </c>
    </row>
    <row r="80" s="21" customFormat="true" ht="30" hidden="false" customHeight="true" outlineLevel="0" collapsed="false">
      <c r="A80" s="20"/>
      <c r="B80" s="90" t="n">
        <v>67</v>
      </c>
      <c r="C80" s="150"/>
      <c r="D80" s="151"/>
      <c r="E80" s="152"/>
      <c r="F80" s="152"/>
      <c r="G80" s="152"/>
      <c r="H80" s="152"/>
      <c r="I80" s="153"/>
      <c r="J80" s="152"/>
      <c r="K80" s="153"/>
      <c r="L80" s="152"/>
      <c r="M80" s="152"/>
      <c r="N80" s="152"/>
      <c r="O80" s="153"/>
      <c r="P80" s="153"/>
      <c r="Q80" s="153"/>
      <c r="R80" s="153"/>
      <c r="S80" s="153"/>
      <c r="T80" s="154"/>
      <c r="U80" s="159"/>
      <c r="V80" s="155" t="str">
        <f aca="false">IF(J80="","",'Pricing Details'!D70+'Pricing Details'!Q70)</f>
        <v/>
      </c>
      <c r="W80" s="155" t="str">
        <f aca="false">IF(J80="","",'Pricing Details'!V70)</f>
        <v/>
      </c>
      <c r="X80" s="156" t="str">
        <f aca="false">IF(J80="","",'Pricing Details'!X70)</f>
        <v/>
      </c>
      <c r="Y80" s="157" t="str">
        <f aca="false">'Pricing Details'!Z70</f>
        <v/>
      </c>
      <c r="Z80" s="158" t="str">
        <f aca="false">'Pricing Details'!AC70</f>
        <v/>
      </c>
      <c r="AA80" s="20"/>
      <c r="AB80" s="21" t="str">
        <f aca="false">IFERROR(_xlfn.xlookup(H80,Collection[Display],Collection[Line])&amp;_xlfn.xlookup(I80,Sleeve[Display],Sleeve[Sleeve]),"")</f>
        <v/>
      </c>
    </row>
    <row r="81" s="21" customFormat="true" ht="30" hidden="false" customHeight="true" outlineLevel="0" collapsed="false">
      <c r="A81" s="20"/>
      <c r="B81" s="90" t="n">
        <v>68</v>
      </c>
      <c r="C81" s="150"/>
      <c r="D81" s="151"/>
      <c r="E81" s="152"/>
      <c r="F81" s="152"/>
      <c r="G81" s="152"/>
      <c r="H81" s="152"/>
      <c r="I81" s="153"/>
      <c r="J81" s="152"/>
      <c r="K81" s="153"/>
      <c r="L81" s="152"/>
      <c r="M81" s="152"/>
      <c r="N81" s="152"/>
      <c r="O81" s="153"/>
      <c r="P81" s="153"/>
      <c r="Q81" s="153"/>
      <c r="R81" s="153"/>
      <c r="S81" s="153"/>
      <c r="T81" s="154"/>
      <c r="U81" s="159"/>
      <c r="V81" s="155" t="str">
        <f aca="false">IF(J81="","",'Pricing Details'!D71+'Pricing Details'!Q71)</f>
        <v/>
      </c>
      <c r="W81" s="155" t="str">
        <f aca="false">IF(J81="","",'Pricing Details'!V71)</f>
        <v/>
      </c>
      <c r="X81" s="156" t="str">
        <f aca="false">IF(J81="","",'Pricing Details'!X71)</f>
        <v/>
      </c>
      <c r="Y81" s="157" t="str">
        <f aca="false">'Pricing Details'!Z71</f>
        <v/>
      </c>
      <c r="Z81" s="158" t="str">
        <f aca="false">'Pricing Details'!AC71</f>
        <v/>
      </c>
      <c r="AA81" s="20"/>
      <c r="AB81" s="21" t="str">
        <f aca="false">IFERROR(_xlfn.xlookup(H81,Collection[Display],Collection[Line])&amp;_xlfn.xlookup(I81,Sleeve[Display],Sleeve[Sleeve]),"")</f>
        <v/>
      </c>
    </row>
    <row r="82" s="21" customFormat="true" ht="30" hidden="false" customHeight="true" outlineLevel="0" collapsed="false">
      <c r="A82" s="20"/>
      <c r="B82" s="90" t="n">
        <v>69</v>
      </c>
      <c r="C82" s="150"/>
      <c r="D82" s="151"/>
      <c r="E82" s="152"/>
      <c r="F82" s="152"/>
      <c r="G82" s="152"/>
      <c r="H82" s="152"/>
      <c r="I82" s="153"/>
      <c r="J82" s="152"/>
      <c r="K82" s="153"/>
      <c r="L82" s="152"/>
      <c r="M82" s="152"/>
      <c r="N82" s="152"/>
      <c r="O82" s="153"/>
      <c r="P82" s="153"/>
      <c r="Q82" s="153"/>
      <c r="R82" s="153"/>
      <c r="S82" s="153"/>
      <c r="T82" s="154"/>
      <c r="U82" s="159"/>
      <c r="V82" s="155" t="str">
        <f aca="false">IF(J82="","",'Pricing Details'!D72+'Pricing Details'!Q72)</f>
        <v/>
      </c>
      <c r="W82" s="155" t="str">
        <f aca="false">IF(J82="","",'Pricing Details'!V72)</f>
        <v/>
      </c>
      <c r="X82" s="156" t="str">
        <f aca="false">IF(J82="","",'Pricing Details'!X72)</f>
        <v/>
      </c>
      <c r="Y82" s="157" t="str">
        <f aca="false">'Pricing Details'!Z72</f>
        <v/>
      </c>
      <c r="Z82" s="158" t="str">
        <f aca="false">'Pricing Details'!AC72</f>
        <v/>
      </c>
      <c r="AA82" s="20"/>
      <c r="AB82" s="21" t="str">
        <f aca="false">IFERROR(_xlfn.xlookup(H82,Collection[Display],Collection[Line])&amp;_xlfn.xlookup(I82,Sleeve[Display],Sleeve[Sleeve]),"")</f>
        <v/>
      </c>
    </row>
    <row r="83" s="21" customFormat="true" ht="30" hidden="false" customHeight="true" outlineLevel="0" collapsed="false">
      <c r="A83" s="20"/>
      <c r="B83" s="90" t="n">
        <v>70</v>
      </c>
      <c r="C83" s="150"/>
      <c r="D83" s="151"/>
      <c r="E83" s="152"/>
      <c r="F83" s="152"/>
      <c r="G83" s="152"/>
      <c r="H83" s="152"/>
      <c r="I83" s="153"/>
      <c r="J83" s="152"/>
      <c r="K83" s="153"/>
      <c r="L83" s="152"/>
      <c r="M83" s="152"/>
      <c r="N83" s="152"/>
      <c r="O83" s="153"/>
      <c r="P83" s="153"/>
      <c r="Q83" s="153"/>
      <c r="R83" s="153"/>
      <c r="S83" s="153"/>
      <c r="T83" s="154"/>
      <c r="U83" s="159"/>
      <c r="V83" s="155" t="str">
        <f aca="false">IF(J83="","",'Pricing Details'!D73+'Pricing Details'!Q73)</f>
        <v/>
      </c>
      <c r="W83" s="155" t="str">
        <f aca="false">IF(J83="","",'Pricing Details'!V73)</f>
        <v/>
      </c>
      <c r="X83" s="156" t="str">
        <f aca="false">IF(J83="","",'Pricing Details'!X73)</f>
        <v/>
      </c>
      <c r="Y83" s="157" t="str">
        <f aca="false">'Pricing Details'!Z73</f>
        <v/>
      </c>
      <c r="Z83" s="158" t="str">
        <f aca="false">'Pricing Details'!AC73</f>
        <v/>
      </c>
      <c r="AA83" s="20"/>
      <c r="AB83" s="21" t="str">
        <f aca="false">IFERROR(_xlfn.xlookup(H83,Collection[Display],Collection[Line])&amp;_xlfn.xlookup(I83,Sleeve[Display],Sleeve[Sleeve]),"")</f>
        <v/>
      </c>
    </row>
    <row r="84" s="21" customFormat="true" ht="30" hidden="false" customHeight="true" outlineLevel="0" collapsed="false">
      <c r="A84" s="20"/>
      <c r="B84" s="90" t="n">
        <v>71</v>
      </c>
      <c r="C84" s="150"/>
      <c r="D84" s="151"/>
      <c r="E84" s="152"/>
      <c r="F84" s="152"/>
      <c r="G84" s="152"/>
      <c r="H84" s="152"/>
      <c r="I84" s="153"/>
      <c r="J84" s="152"/>
      <c r="K84" s="153"/>
      <c r="L84" s="152"/>
      <c r="M84" s="152"/>
      <c r="N84" s="152"/>
      <c r="O84" s="153"/>
      <c r="P84" s="153"/>
      <c r="Q84" s="153"/>
      <c r="R84" s="153"/>
      <c r="S84" s="153"/>
      <c r="T84" s="154"/>
      <c r="U84" s="159"/>
      <c r="V84" s="155" t="str">
        <f aca="false">IF(J84="","",'Pricing Details'!D74+'Pricing Details'!Q74)</f>
        <v/>
      </c>
      <c r="W84" s="155" t="str">
        <f aca="false">IF(J84="","",'Pricing Details'!V74)</f>
        <v/>
      </c>
      <c r="X84" s="156" t="str">
        <f aca="false">IF(J84="","",'Pricing Details'!X74)</f>
        <v/>
      </c>
      <c r="Y84" s="157" t="str">
        <f aca="false">'Pricing Details'!Z74</f>
        <v/>
      </c>
      <c r="Z84" s="158" t="str">
        <f aca="false">'Pricing Details'!AC74</f>
        <v/>
      </c>
      <c r="AA84" s="20"/>
      <c r="AB84" s="21" t="str">
        <f aca="false">IFERROR(_xlfn.xlookup(H84,Collection[Display],Collection[Line])&amp;_xlfn.xlookup(I84,Sleeve[Display],Sleeve[Sleeve]),"")</f>
        <v/>
      </c>
    </row>
    <row r="85" s="21" customFormat="true" ht="30" hidden="false" customHeight="true" outlineLevel="0" collapsed="false">
      <c r="A85" s="20"/>
      <c r="B85" s="90" t="n">
        <v>72</v>
      </c>
      <c r="C85" s="150"/>
      <c r="D85" s="151"/>
      <c r="E85" s="152"/>
      <c r="F85" s="152"/>
      <c r="G85" s="152"/>
      <c r="H85" s="152"/>
      <c r="I85" s="153"/>
      <c r="J85" s="152"/>
      <c r="K85" s="153"/>
      <c r="L85" s="152"/>
      <c r="M85" s="152"/>
      <c r="N85" s="152"/>
      <c r="O85" s="153"/>
      <c r="P85" s="153"/>
      <c r="Q85" s="153"/>
      <c r="R85" s="153"/>
      <c r="S85" s="153"/>
      <c r="T85" s="154"/>
      <c r="U85" s="159"/>
      <c r="V85" s="155" t="str">
        <f aca="false">IF(J85="","",'Pricing Details'!D75+'Pricing Details'!Q75)</f>
        <v/>
      </c>
      <c r="W85" s="155" t="str">
        <f aca="false">IF(J85="","",'Pricing Details'!V75)</f>
        <v/>
      </c>
      <c r="X85" s="156" t="str">
        <f aca="false">IF(J85="","",'Pricing Details'!X75)</f>
        <v/>
      </c>
      <c r="Y85" s="157" t="str">
        <f aca="false">'Pricing Details'!Z75</f>
        <v/>
      </c>
      <c r="Z85" s="158" t="str">
        <f aca="false">'Pricing Details'!AC75</f>
        <v/>
      </c>
      <c r="AA85" s="20"/>
      <c r="AB85" s="21" t="str">
        <f aca="false">IFERROR(_xlfn.xlookup(H85,Collection[Display],Collection[Line])&amp;_xlfn.xlookup(I85,Sleeve[Display],Sleeve[Sleeve]),"")</f>
        <v/>
      </c>
    </row>
    <row r="86" s="21" customFormat="true" ht="30" hidden="false" customHeight="true" outlineLevel="0" collapsed="false">
      <c r="A86" s="20"/>
      <c r="B86" s="90" t="n">
        <v>73</v>
      </c>
      <c r="C86" s="150"/>
      <c r="D86" s="151"/>
      <c r="E86" s="152"/>
      <c r="F86" s="152"/>
      <c r="G86" s="152"/>
      <c r="H86" s="152"/>
      <c r="I86" s="153"/>
      <c r="J86" s="152"/>
      <c r="K86" s="153"/>
      <c r="L86" s="152"/>
      <c r="M86" s="152"/>
      <c r="N86" s="152"/>
      <c r="O86" s="153"/>
      <c r="P86" s="153"/>
      <c r="Q86" s="153"/>
      <c r="R86" s="153"/>
      <c r="S86" s="153"/>
      <c r="T86" s="154"/>
      <c r="U86" s="159"/>
      <c r="V86" s="155" t="str">
        <f aca="false">IF(J86="","",'Pricing Details'!D76+'Pricing Details'!Q76)</f>
        <v/>
      </c>
      <c r="W86" s="155" t="str">
        <f aca="false">IF(J86="","",'Pricing Details'!V76)</f>
        <v/>
      </c>
      <c r="X86" s="156" t="str">
        <f aca="false">IF(J86="","",'Pricing Details'!X76)</f>
        <v/>
      </c>
      <c r="Y86" s="157" t="str">
        <f aca="false">'Pricing Details'!Z76</f>
        <v/>
      </c>
      <c r="Z86" s="158" t="str">
        <f aca="false">'Pricing Details'!AC76</f>
        <v/>
      </c>
      <c r="AA86" s="20"/>
      <c r="AB86" s="21" t="str">
        <f aca="false">IFERROR(_xlfn.xlookup(H86,Collection[Display],Collection[Line])&amp;_xlfn.xlookup(I86,Sleeve[Display],Sleeve[Sleeve]),"")</f>
        <v/>
      </c>
    </row>
    <row r="87" s="21" customFormat="true" ht="30" hidden="false" customHeight="true" outlineLevel="0" collapsed="false">
      <c r="A87" s="20"/>
      <c r="B87" s="90" t="n">
        <v>74</v>
      </c>
      <c r="C87" s="150"/>
      <c r="D87" s="151"/>
      <c r="E87" s="152"/>
      <c r="F87" s="152"/>
      <c r="G87" s="152"/>
      <c r="H87" s="152"/>
      <c r="I87" s="153"/>
      <c r="J87" s="152"/>
      <c r="K87" s="153"/>
      <c r="L87" s="152"/>
      <c r="M87" s="152"/>
      <c r="N87" s="152"/>
      <c r="O87" s="153"/>
      <c r="P87" s="153"/>
      <c r="Q87" s="153"/>
      <c r="R87" s="153"/>
      <c r="S87" s="153"/>
      <c r="T87" s="154"/>
      <c r="U87" s="159"/>
      <c r="V87" s="155" t="str">
        <f aca="false">IF(J87="","",'Pricing Details'!D77+'Pricing Details'!Q77)</f>
        <v/>
      </c>
      <c r="W87" s="155" t="str">
        <f aca="false">IF(J87="","",'Pricing Details'!V77)</f>
        <v/>
      </c>
      <c r="X87" s="156" t="str">
        <f aca="false">IF(J87="","",'Pricing Details'!X77)</f>
        <v/>
      </c>
      <c r="Y87" s="157" t="str">
        <f aca="false">'Pricing Details'!Z77</f>
        <v/>
      </c>
      <c r="Z87" s="158" t="str">
        <f aca="false">'Pricing Details'!AC77</f>
        <v/>
      </c>
      <c r="AA87" s="20"/>
      <c r="AB87" s="21" t="str">
        <f aca="false">IFERROR(_xlfn.xlookup(H87,Collection[Display],Collection[Line])&amp;_xlfn.xlookup(I87,Sleeve[Display],Sleeve[Sleeve]),"")</f>
        <v/>
      </c>
    </row>
    <row r="88" s="21" customFormat="true" ht="30" hidden="false" customHeight="true" outlineLevel="0" collapsed="false">
      <c r="A88" s="20"/>
      <c r="B88" s="90" t="n">
        <v>75</v>
      </c>
      <c r="C88" s="150"/>
      <c r="D88" s="151"/>
      <c r="E88" s="152"/>
      <c r="F88" s="152"/>
      <c r="G88" s="152"/>
      <c r="H88" s="152"/>
      <c r="I88" s="153"/>
      <c r="J88" s="152"/>
      <c r="K88" s="153"/>
      <c r="L88" s="152"/>
      <c r="M88" s="152"/>
      <c r="N88" s="152"/>
      <c r="O88" s="153"/>
      <c r="P88" s="153"/>
      <c r="Q88" s="153"/>
      <c r="R88" s="153"/>
      <c r="S88" s="153"/>
      <c r="T88" s="154"/>
      <c r="U88" s="159"/>
      <c r="V88" s="155" t="str">
        <f aca="false">IF(J88="","",'Pricing Details'!D78+'Pricing Details'!Q78)</f>
        <v/>
      </c>
      <c r="W88" s="155" t="str">
        <f aca="false">IF(J88="","",'Pricing Details'!V78)</f>
        <v/>
      </c>
      <c r="X88" s="156" t="str">
        <f aca="false">IF(J88="","",'Pricing Details'!X78)</f>
        <v/>
      </c>
      <c r="Y88" s="157" t="str">
        <f aca="false">'Pricing Details'!Z78</f>
        <v/>
      </c>
      <c r="Z88" s="158" t="str">
        <f aca="false">'Pricing Details'!AC78</f>
        <v/>
      </c>
      <c r="AA88" s="20"/>
      <c r="AB88" s="21" t="str">
        <f aca="false">IFERROR(_xlfn.xlookup(H88,Collection[Display],Collection[Line])&amp;_xlfn.xlookup(I88,Sleeve[Display],Sleeve[Sleeve]),"")</f>
        <v/>
      </c>
    </row>
    <row r="89" s="21" customFormat="true" ht="30" hidden="false" customHeight="true" outlineLevel="0" collapsed="false">
      <c r="A89" s="20"/>
      <c r="B89" s="90" t="n">
        <v>76</v>
      </c>
      <c r="C89" s="150"/>
      <c r="D89" s="151"/>
      <c r="E89" s="152"/>
      <c r="F89" s="152"/>
      <c r="G89" s="152"/>
      <c r="H89" s="152"/>
      <c r="I89" s="153"/>
      <c r="J89" s="152"/>
      <c r="K89" s="153"/>
      <c r="L89" s="152"/>
      <c r="M89" s="152"/>
      <c r="N89" s="152"/>
      <c r="O89" s="153"/>
      <c r="P89" s="153"/>
      <c r="Q89" s="153"/>
      <c r="R89" s="153"/>
      <c r="S89" s="153"/>
      <c r="T89" s="154"/>
      <c r="U89" s="159"/>
      <c r="V89" s="155" t="str">
        <f aca="false">IF(J89="","",'Pricing Details'!D79+'Pricing Details'!Q79)</f>
        <v/>
      </c>
      <c r="W89" s="155" t="str">
        <f aca="false">IF(J89="","",'Pricing Details'!V79)</f>
        <v/>
      </c>
      <c r="X89" s="156" t="str">
        <f aca="false">IF(J89="","",'Pricing Details'!X79)</f>
        <v/>
      </c>
      <c r="Y89" s="157" t="str">
        <f aca="false">'Pricing Details'!Z79</f>
        <v/>
      </c>
      <c r="Z89" s="158" t="str">
        <f aca="false">'Pricing Details'!AC79</f>
        <v/>
      </c>
      <c r="AA89" s="20"/>
      <c r="AB89" s="21" t="str">
        <f aca="false">IFERROR(_xlfn.xlookup(H89,Collection[Display],Collection[Line])&amp;_xlfn.xlookup(I89,Sleeve[Display],Sleeve[Sleeve]),"")</f>
        <v/>
      </c>
    </row>
    <row r="90" s="21" customFormat="true" ht="30" hidden="false" customHeight="true" outlineLevel="0" collapsed="false">
      <c r="A90" s="20"/>
      <c r="B90" s="90" t="n">
        <v>77</v>
      </c>
      <c r="C90" s="150"/>
      <c r="D90" s="151"/>
      <c r="E90" s="152"/>
      <c r="F90" s="152"/>
      <c r="G90" s="152"/>
      <c r="H90" s="152"/>
      <c r="I90" s="153"/>
      <c r="J90" s="152"/>
      <c r="K90" s="153"/>
      <c r="L90" s="152"/>
      <c r="M90" s="152"/>
      <c r="N90" s="152"/>
      <c r="O90" s="153"/>
      <c r="P90" s="153"/>
      <c r="Q90" s="153"/>
      <c r="R90" s="153"/>
      <c r="S90" s="153"/>
      <c r="T90" s="154"/>
      <c r="U90" s="159"/>
      <c r="V90" s="155" t="str">
        <f aca="false">IF(J90="","",'Pricing Details'!D80+'Pricing Details'!Q80)</f>
        <v/>
      </c>
      <c r="W90" s="155" t="str">
        <f aca="false">IF(J90="","",'Pricing Details'!V80)</f>
        <v/>
      </c>
      <c r="X90" s="156" t="str">
        <f aca="false">IF(J90="","",'Pricing Details'!X80)</f>
        <v/>
      </c>
      <c r="Y90" s="157" t="str">
        <f aca="false">'Pricing Details'!Z80</f>
        <v/>
      </c>
      <c r="Z90" s="158" t="str">
        <f aca="false">'Pricing Details'!AC80</f>
        <v/>
      </c>
      <c r="AA90" s="20"/>
      <c r="AB90" s="21" t="str">
        <f aca="false">IFERROR(_xlfn.xlookup(H90,Collection[Display],Collection[Line])&amp;_xlfn.xlookup(I90,Sleeve[Display],Sleeve[Sleeve]),"")</f>
        <v/>
      </c>
    </row>
    <row r="91" s="21" customFormat="true" ht="30" hidden="false" customHeight="true" outlineLevel="0" collapsed="false">
      <c r="A91" s="20"/>
      <c r="B91" s="90" t="n">
        <v>78</v>
      </c>
      <c r="C91" s="150"/>
      <c r="D91" s="151"/>
      <c r="E91" s="152"/>
      <c r="F91" s="152"/>
      <c r="G91" s="152"/>
      <c r="H91" s="152"/>
      <c r="I91" s="153"/>
      <c r="J91" s="152"/>
      <c r="K91" s="153"/>
      <c r="L91" s="152"/>
      <c r="M91" s="152"/>
      <c r="N91" s="152"/>
      <c r="O91" s="153"/>
      <c r="P91" s="153"/>
      <c r="Q91" s="153"/>
      <c r="R91" s="153"/>
      <c r="S91" s="153"/>
      <c r="T91" s="154"/>
      <c r="U91" s="159"/>
      <c r="V91" s="155" t="str">
        <f aca="false">IF(J91="","",'Pricing Details'!D81+'Pricing Details'!Q81)</f>
        <v/>
      </c>
      <c r="W91" s="155" t="str">
        <f aca="false">IF(J91="","",'Pricing Details'!V81)</f>
        <v/>
      </c>
      <c r="X91" s="156" t="str">
        <f aca="false">IF(J91="","",'Pricing Details'!X81)</f>
        <v/>
      </c>
      <c r="Y91" s="157" t="str">
        <f aca="false">'Pricing Details'!Z81</f>
        <v/>
      </c>
      <c r="Z91" s="158" t="str">
        <f aca="false">'Pricing Details'!AC81</f>
        <v/>
      </c>
      <c r="AA91" s="20"/>
      <c r="AB91" s="21" t="str">
        <f aca="false">IFERROR(_xlfn.xlookup(H91,Collection[Display],Collection[Line])&amp;_xlfn.xlookup(I91,Sleeve[Display],Sleeve[Sleeve]),"")</f>
        <v/>
      </c>
    </row>
    <row r="92" s="21" customFormat="true" ht="30" hidden="false" customHeight="true" outlineLevel="0" collapsed="false">
      <c r="A92" s="20"/>
      <c r="B92" s="90" t="n">
        <v>79</v>
      </c>
      <c r="C92" s="150"/>
      <c r="D92" s="151"/>
      <c r="E92" s="152"/>
      <c r="F92" s="152"/>
      <c r="G92" s="152"/>
      <c r="H92" s="152"/>
      <c r="I92" s="153"/>
      <c r="J92" s="152"/>
      <c r="K92" s="153"/>
      <c r="L92" s="152"/>
      <c r="M92" s="152"/>
      <c r="N92" s="152"/>
      <c r="O92" s="153"/>
      <c r="P92" s="153"/>
      <c r="Q92" s="153"/>
      <c r="R92" s="153"/>
      <c r="S92" s="153"/>
      <c r="T92" s="154"/>
      <c r="U92" s="159"/>
      <c r="V92" s="155" t="str">
        <f aca="false">IF(J92="","",'Pricing Details'!D82+'Pricing Details'!Q82)</f>
        <v/>
      </c>
      <c r="W92" s="155" t="str">
        <f aca="false">IF(J92="","",'Pricing Details'!V82)</f>
        <v/>
      </c>
      <c r="X92" s="156" t="str">
        <f aca="false">IF(J92="","",'Pricing Details'!X82)</f>
        <v/>
      </c>
      <c r="Y92" s="157" t="str">
        <f aca="false">'Pricing Details'!Z82</f>
        <v/>
      </c>
      <c r="Z92" s="158" t="str">
        <f aca="false">'Pricing Details'!AC82</f>
        <v/>
      </c>
      <c r="AA92" s="20"/>
      <c r="AB92" s="21" t="str">
        <f aca="false">IFERROR(_xlfn.xlookup(H92,Collection[Display],Collection[Line])&amp;_xlfn.xlookup(I92,Sleeve[Display],Sleeve[Sleeve]),"")</f>
        <v/>
      </c>
    </row>
    <row r="93" s="21" customFormat="true" ht="30" hidden="false" customHeight="true" outlineLevel="0" collapsed="false">
      <c r="A93" s="20"/>
      <c r="B93" s="90" t="n">
        <v>80</v>
      </c>
      <c r="C93" s="150"/>
      <c r="D93" s="151"/>
      <c r="E93" s="152"/>
      <c r="F93" s="152"/>
      <c r="G93" s="152"/>
      <c r="H93" s="152"/>
      <c r="I93" s="153"/>
      <c r="J93" s="152"/>
      <c r="K93" s="153"/>
      <c r="L93" s="152"/>
      <c r="M93" s="152"/>
      <c r="N93" s="152"/>
      <c r="O93" s="153"/>
      <c r="P93" s="153"/>
      <c r="Q93" s="153"/>
      <c r="R93" s="153"/>
      <c r="S93" s="153"/>
      <c r="T93" s="154"/>
      <c r="U93" s="159"/>
      <c r="V93" s="155" t="str">
        <f aca="false">IF(J93="","",'Pricing Details'!D83+'Pricing Details'!Q83)</f>
        <v/>
      </c>
      <c r="W93" s="155" t="str">
        <f aca="false">IF(J93="","",'Pricing Details'!V83)</f>
        <v/>
      </c>
      <c r="X93" s="156" t="str">
        <f aca="false">IF(J93="","",'Pricing Details'!X83)</f>
        <v/>
      </c>
      <c r="Y93" s="157" t="str">
        <f aca="false">'Pricing Details'!Z83</f>
        <v/>
      </c>
      <c r="Z93" s="158" t="str">
        <f aca="false">'Pricing Details'!AC83</f>
        <v/>
      </c>
      <c r="AA93" s="20"/>
      <c r="AB93" s="21" t="str">
        <f aca="false">IFERROR(_xlfn.xlookup(H93,Collection[Display],Collection[Line])&amp;_xlfn.xlookup(I93,Sleeve[Display],Sleeve[Sleeve]),"")</f>
        <v/>
      </c>
    </row>
    <row r="94" s="21" customFormat="true" ht="30" hidden="false" customHeight="true" outlineLevel="0" collapsed="false">
      <c r="A94" s="20"/>
      <c r="B94" s="90" t="n">
        <v>81</v>
      </c>
      <c r="C94" s="150"/>
      <c r="D94" s="151"/>
      <c r="E94" s="152"/>
      <c r="F94" s="152"/>
      <c r="G94" s="152"/>
      <c r="H94" s="152"/>
      <c r="I94" s="153"/>
      <c r="J94" s="152"/>
      <c r="K94" s="153"/>
      <c r="L94" s="152"/>
      <c r="M94" s="152"/>
      <c r="N94" s="152"/>
      <c r="O94" s="153"/>
      <c r="P94" s="153"/>
      <c r="Q94" s="153"/>
      <c r="R94" s="153"/>
      <c r="S94" s="153"/>
      <c r="T94" s="154"/>
      <c r="U94" s="159"/>
      <c r="V94" s="155" t="str">
        <f aca="false">IF(J94="","",'Pricing Details'!D84+'Pricing Details'!Q84)</f>
        <v/>
      </c>
      <c r="W94" s="155" t="str">
        <f aca="false">IF(J94="","",'Pricing Details'!V84)</f>
        <v/>
      </c>
      <c r="X94" s="156" t="str">
        <f aca="false">IF(J94="","",'Pricing Details'!X84)</f>
        <v/>
      </c>
      <c r="Y94" s="157" t="str">
        <f aca="false">'Pricing Details'!Z84</f>
        <v/>
      </c>
      <c r="Z94" s="158" t="str">
        <f aca="false">'Pricing Details'!AC84</f>
        <v/>
      </c>
      <c r="AA94" s="20"/>
      <c r="AB94" s="21" t="str">
        <f aca="false">IFERROR(_xlfn.xlookup(H94,Collection[Display],Collection[Line])&amp;_xlfn.xlookup(I94,Sleeve[Display],Sleeve[Sleeve]),"")</f>
        <v/>
      </c>
    </row>
    <row r="95" s="21" customFormat="true" ht="30" hidden="false" customHeight="true" outlineLevel="0" collapsed="false">
      <c r="A95" s="20"/>
      <c r="B95" s="90" t="n">
        <v>82</v>
      </c>
      <c r="C95" s="150"/>
      <c r="D95" s="151"/>
      <c r="E95" s="152"/>
      <c r="F95" s="152"/>
      <c r="G95" s="152"/>
      <c r="H95" s="152"/>
      <c r="I95" s="153"/>
      <c r="J95" s="152"/>
      <c r="K95" s="153"/>
      <c r="L95" s="152"/>
      <c r="M95" s="152"/>
      <c r="N95" s="152"/>
      <c r="O95" s="153"/>
      <c r="P95" s="153"/>
      <c r="Q95" s="153"/>
      <c r="R95" s="153"/>
      <c r="S95" s="153"/>
      <c r="T95" s="154"/>
      <c r="U95" s="159"/>
      <c r="V95" s="155" t="str">
        <f aca="false">IF(J95="","",'Pricing Details'!D85+'Pricing Details'!Q85)</f>
        <v/>
      </c>
      <c r="W95" s="155" t="str">
        <f aca="false">IF(J95="","",'Pricing Details'!V85)</f>
        <v/>
      </c>
      <c r="X95" s="156" t="str">
        <f aca="false">IF(J95="","",'Pricing Details'!X85)</f>
        <v/>
      </c>
      <c r="Y95" s="157" t="str">
        <f aca="false">'Pricing Details'!Z85</f>
        <v/>
      </c>
      <c r="Z95" s="158" t="str">
        <f aca="false">'Pricing Details'!AC85</f>
        <v/>
      </c>
      <c r="AA95" s="20"/>
      <c r="AB95" s="21" t="str">
        <f aca="false">IFERROR(_xlfn.xlookup(H95,Collection[Display],Collection[Line])&amp;_xlfn.xlookup(I95,Sleeve[Display],Sleeve[Sleeve]),"")</f>
        <v/>
      </c>
    </row>
    <row r="96" s="21" customFormat="true" ht="30" hidden="false" customHeight="true" outlineLevel="0" collapsed="false">
      <c r="A96" s="20"/>
      <c r="B96" s="90" t="n">
        <v>83</v>
      </c>
      <c r="C96" s="150"/>
      <c r="D96" s="151"/>
      <c r="E96" s="152"/>
      <c r="F96" s="152"/>
      <c r="G96" s="152"/>
      <c r="H96" s="152"/>
      <c r="I96" s="153"/>
      <c r="J96" s="152"/>
      <c r="K96" s="153"/>
      <c r="L96" s="152"/>
      <c r="M96" s="152"/>
      <c r="N96" s="152"/>
      <c r="O96" s="153"/>
      <c r="P96" s="153"/>
      <c r="Q96" s="153"/>
      <c r="R96" s="153"/>
      <c r="S96" s="153"/>
      <c r="T96" s="154"/>
      <c r="U96" s="159"/>
      <c r="V96" s="155" t="str">
        <f aca="false">IF(J96="","",'Pricing Details'!D86+'Pricing Details'!Q86)</f>
        <v/>
      </c>
      <c r="W96" s="155" t="str">
        <f aca="false">IF(J96="","",'Pricing Details'!V86)</f>
        <v/>
      </c>
      <c r="X96" s="156" t="str">
        <f aca="false">IF(J96="","",'Pricing Details'!X86)</f>
        <v/>
      </c>
      <c r="Y96" s="157" t="str">
        <f aca="false">'Pricing Details'!Z86</f>
        <v/>
      </c>
      <c r="Z96" s="158" t="str">
        <f aca="false">'Pricing Details'!AC86</f>
        <v/>
      </c>
      <c r="AA96" s="20"/>
      <c r="AB96" s="21" t="str">
        <f aca="false">IFERROR(_xlfn.xlookup(H96,Collection[Display],Collection[Line])&amp;_xlfn.xlookup(I96,Sleeve[Display],Sleeve[Sleeve]),"")</f>
        <v/>
      </c>
    </row>
    <row r="97" s="21" customFormat="true" ht="30" hidden="false" customHeight="true" outlineLevel="0" collapsed="false">
      <c r="A97" s="20"/>
      <c r="B97" s="90" t="n">
        <v>84</v>
      </c>
      <c r="C97" s="150"/>
      <c r="D97" s="151"/>
      <c r="E97" s="152"/>
      <c r="F97" s="152"/>
      <c r="G97" s="152"/>
      <c r="H97" s="152"/>
      <c r="I97" s="153"/>
      <c r="J97" s="152"/>
      <c r="K97" s="153"/>
      <c r="L97" s="152"/>
      <c r="M97" s="152"/>
      <c r="N97" s="152"/>
      <c r="O97" s="153"/>
      <c r="P97" s="153"/>
      <c r="Q97" s="153"/>
      <c r="R97" s="153"/>
      <c r="S97" s="153"/>
      <c r="T97" s="154"/>
      <c r="U97" s="159"/>
      <c r="V97" s="155" t="str">
        <f aca="false">IF(J97="","",'Pricing Details'!D87+'Pricing Details'!Q87)</f>
        <v/>
      </c>
      <c r="W97" s="155" t="str">
        <f aca="false">IF(J97="","",'Pricing Details'!V87)</f>
        <v/>
      </c>
      <c r="X97" s="156" t="str">
        <f aca="false">IF(J97="","",'Pricing Details'!X87)</f>
        <v/>
      </c>
      <c r="Y97" s="157" t="str">
        <f aca="false">'Pricing Details'!Z87</f>
        <v/>
      </c>
      <c r="Z97" s="158" t="str">
        <f aca="false">'Pricing Details'!AC87</f>
        <v/>
      </c>
      <c r="AA97" s="20"/>
      <c r="AB97" s="21" t="str">
        <f aca="false">IFERROR(_xlfn.xlookup(H97,Collection[Display],Collection[Line])&amp;_xlfn.xlookup(I97,Sleeve[Display],Sleeve[Sleeve]),"")</f>
        <v/>
      </c>
    </row>
    <row r="98" s="21" customFormat="true" ht="30" hidden="false" customHeight="true" outlineLevel="0" collapsed="false">
      <c r="A98" s="20"/>
      <c r="B98" s="90" t="n">
        <v>85</v>
      </c>
      <c r="C98" s="150"/>
      <c r="D98" s="151"/>
      <c r="E98" s="152"/>
      <c r="F98" s="152"/>
      <c r="G98" s="152"/>
      <c r="H98" s="152"/>
      <c r="I98" s="153"/>
      <c r="J98" s="152"/>
      <c r="K98" s="153"/>
      <c r="L98" s="152"/>
      <c r="M98" s="152"/>
      <c r="N98" s="152"/>
      <c r="O98" s="153"/>
      <c r="P98" s="153"/>
      <c r="Q98" s="153"/>
      <c r="R98" s="153"/>
      <c r="S98" s="153"/>
      <c r="T98" s="154"/>
      <c r="U98" s="159"/>
      <c r="V98" s="155" t="str">
        <f aca="false">IF(J98="","",'Pricing Details'!D88+'Pricing Details'!Q88)</f>
        <v/>
      </c>
      <c r="W98" s="155" t="str">
        <f aca="false">IF(J98="","",'Pricing Details'!V88)</f>
        <v/>
      </c>
      <c r="X98" s="156" t="str">
        <f aca="false">IF(J98="","",'Pricing Details'!X88)</f>
        <v/>
      </c>
      <c r="Y98" s="157" t="str">
        <f aca="false">'Pricing Details'!Z88</f>
        <v/>
      </c>
      <c r="Z98" s="158" t="str">
        <f aca="false">'Pricing Details'!AC88</f>
        <v/>
      </c>
      <c r="AA98" s="20"/>
      <c r="AB98" s="21" t="str">
        <f aca="false">IFERROR(_xlfn.xlookup(H98,Collection[Display],Collection[Line])&amp;_xlfn.xlookup(I98,Sleeve[Display],Sleeve[Sleeve]),"")</f>
        <v/>
      </c>
    </row>
    <row r="99" s="21" customFormat="true" ht="30" hidden="false" customHeight="true" outlineLevel="0" collapsed="false">
      <c r="A99" s="20"/>
      <c r="B99" s="90" t="n">
        <v>86</v>
      </c>
      <c r="C99" s="150"/>
      <c r="D99" s="151"/>
      <c r="E99" s="152"/>
      <c r="F99" s="152"/>
      <c r="G99" s="152"/>
      <c r="H99" s="152"/>
      <c r="I99" s="153"/>
      <c r="J99" s="152"/>
      <c r="K99" s="153"/>
      <c r="L99" s="152"/>
      <c r="M99" s="152"/>
      <c r="N99" s="152"/>
      <c r="O99" s="153"/>
      <c r="P99" s="153"/>
      <c r="Q99" s="153"/>
      <c r="R99" s="153"/>
      <c r="S99" s="153"/>
      <c r="T99" s="154"/>
      <c r="U99" s="159"/>
      <c r="V99" s="155" t="str">
        <f aca="false">IF(J99="","",'Pricing Details'!D89+'Pricing Details'!Q89)</f>
        <v/>
      </c>
      <c r="W99" s="155" t="str">
        <f aca="false">IF(J99="","",'Pricing Details'!V89)</f>
        <v/>
      </c>
      <c r="X99" s="156" t="str">
        <f aca="false">IF(J99="","",'Pricing Details'!X89)</f>
        <v/>
      </c>
      <c r="Y99" s="157" t="str">
        <f aca="false">'Pricing Details'!Z89</f>
        <v/>
      </c>
      <c r="Z99" s="158" t="str">
        <f aca="false">'Pricing Details'!AC89</f>
        <v/>
      </c>
      <c r="AA99" s="20"/>
      <c r="AB99" s="21" t="str">
        <f aca="false">IFERROR(_xlfn.xlookup(H99,Collection[Display],Collection[Line])&amp;_xlfn.xlookup(I99,Sleeve[Display],Sleeve[Sleeve]),"")</f>
        <v/>
      </c>
    </row>
    <row r="100" s="21" customFormat="true" ht="30" hidden="false" customHeight="true" outlineLevel="0" collapsed="false">
      <c r="A100" s="20"/>
      <c r="B100" s="90" t="n">
        <v>87</v>
      </c>
      <c r="C100" s="150"/>
      <c r="D100" s="151"/>
      <c r="E100" s="152"/>
      <c r="F100" s="152"/>
      <c r="G100" s="152"/>
      <c r="H100" s="152"/>
      <c r="I100" s="153"/>
      <c r="J100" s="152"/>
      <c r="K100" s="153"/>
      <c r="L100" s="152"/>
      <c r="M100" s="152"/>
      <c r="N100" s="152"/>
      <c r="O100" s="153"/>
      <c r="P100" s="153"/>
      <c r="Q100" s="153"/>
      <c r="R100" s="153"/>
      <c r="S100" s="153"/>
      <c r="T100" s="154"/>
      <c r="U100" s="159"/>
      <c r="V100" s="155" t="str">
        <f aca="false">IF(J100="","",'Pricing Details'!D90+'Pricing Details'!Q90)</f>
        <v/>
      </c>
      <c r="W100" s="155" t="str">
        <f aca="false">IF(J100="","",'Pricing Details'!V90)</f>
        <v/>
      </c>
      <c r="X100" s="156" t="str">
        <f aca="false">IF(J100="","",'Pricing Details'!X90)</f>
        <v/>
      </c>
      <c r="Y100" s="157" t="str">
        <f aca="false">'Pricing Details'!Z90</f>
        <v/>
      </c>
      <c r="Z100" s="158" t="str">
        <f aca="false">'Pricing Details'!AC90</f>
        <v/>
      </c>
      <c r="AA100" s="20"/>
      <c r="AB100" s="21" t="str">
        <f aca="false">IFERROR(_xlfn.xlookup(H100,Collection[Display],Collection[Line])&amp;_xlfn.xlookup(I100,Sleeve[Display],Sleeve[Sleeve]),"")</f>
        <v/>
      </c>
    </row>
    <row r="101" s="21" customFormat="true" ht="30" hidden="false" customHeight="true" outlineLevel="0" collapsed="false">
      <c r="A101" s="20"/>
      <c r="B101" s="90" t="n">
        <v>88</v>
      </c>
      <c r="C101" s="150"/>
      <c r="D101" s="160"/>
      <c r="E101" s="152"/>
      <c r="F101" s="152"/>
      <c r="G101" s="152"/>
      <c r="H101" s="152"/>
      <c r="I101" s="153"/>
      <c r="J101" s="152"/>
      <c r="K101" s="161"/>
      <c r="L101" s="152"/>
      <c r="M101" s="152"/>
      <c r="N101" s="152"/>
      <c r="O101" s="153"/>
      <c r="P101" s="153"/>
      <c r="Q101" s="153"/>
      <c r="R101" s="153"/>
      <c r="S101" s="153"/>
      <c r="T101" s="154"/>
      <c r="U101" s="159"/>
      <c r="V101" s="155" t="str">
        <f aca="false">IF(J101="","",'Pricing Details'!D91+'Pricing Details'!Q91)</f>
        <v/>
      </c>
      <c r="W101" s="155" t="str">
        <f aca="false">IF(J101="","",'Pricing Details'!V91)</f>
        <v/>
      </c>
      <c r="X101" s="156" t="str">
        <f aca="false">IF(J101="","",'Pricing Details'!X91)</f>
        <v/>
      </c>
      <c r="Y101" s="157" t="str">
        <f aca="false">'Pricing Details'!Z91</f>
        <v/>
      </c>
      <c r="Z101" s="158" t="str">
        <f aca="false">'Pricing Details'!AC91</f>
        <v/>
      </c>
      <c r="AA101" s="20"/>
      <c r="AB101" s="21" t="str">
        <f aca="false">IFERROR(_xlfn.xlookup(H101,Collection[Display],Collection[Line])&amp;_xlfn.xlookup(I101,Sleeve[Display],Sleeve[Sleeve]),"")</f>
        <v/>
      </c>
    </row>
    <row r="102" s="21" customFormat="true" ht="30" hidden="false" customHeight="true" outlineLevel="0" collapsed="false">
      <c r="A102" s="20"/>
      <c r="B102" s="90" t="n">
        <v>89</v>
      </c>
      <c r="C102" s="150"/>
      <c r="D102" s="160"/>
      <c r="E102" s="152"/>
      <c r="F102" s="152"/>
      <c r="G102" s="152"/>
      <c r="H102" s="152"/>
      <c r="I102" s="153"/>
      <c r="J102" s="152"/>
      <c r="K102" s="161"/>
      <c r="L102" s="152"/>
      <c r="M102" s="152"/>
      <c r="N102" s="152"/>
      <c r="O102" s="153"/>
      <c r="P102" s="153"/>
      <c r="Q102" s="153"/>
      <c r="R102" s="153"/>
      <c r="S102" s="153"/>
      <c r="T102" s="154"/>
      <c r="U102" s="159"/>
      <c r="V102" s="155" t="str">
        <f aca="false">IF(J102="","",'Pricing Details'!D92+'Pricing Details'!Q92)</f>
        <v/>
      </c>
      <c r="W102" s="155" t="str">
        <f aca="false">IF(J102="","",'Pricing Details'!V92)</f>
        <v/>
      </c>
      <c r="X102" s="156" t="str">
        <f aca="false">IF(J102="","",'Pricing Details'!X92)</f>
        <v/>
      </c>
      <c r="Y102" s="157" t="str">
        <f aca="false">'Pricing Details'!Z92</f>
        <v/>
      </c>
      <c r="Z102" s="158" t="str">
        <f aca="false">'Pricing Details'!AC92</f>
        <v/>
      </c>
      <c r="AA102" s="20"/>
      <c r="AB102" s="21" t="str">
        <f aca="false">IFERROR(_xlfn.xlookup(H102,Collection[Display],Collection[Line])&amp;_xlfn.xlookup(I102,Sleeve[Display],Sleeve[Sleeve]),"")</f>
        <v/>
      </c>
    </row>
    <row r="103" s="21" customFormat="true" ht="30" hidden="false" customHeight="true" outlineLevel="0" collapsed="false">
      <c r="A103" s="20"/>
      <c r="B103" s="90" t="n">
        <v>90</v>
      </c>
      <c r="C103" s="150"/>
      <c r="D103" s="160"/>
      <c r="E103" s="152"/>
      <c r="F103" s="152"/>
      <c r="G103" s="152"/>
      <c r="H103" s="152"/>
      <c r="I103" s="153"/>
      <c r="J103" s="152"/>
      <c r="K103" s="161"/>
      <c r="L103" s="152"/>
      <c r="M103" s="152"/>
      <c r="N103" s="152"/>
      <c r="O103" s="153"/>
      <c r="P103" s="153"/>
      <c r="Q103" s="153"/>
      <c r="R103" s="153"/>
      <c r="S103" s="153"/>
      <c r="T103" s="154"/>
      <c r="U103" s="159"/>
      <c r="V103" s="155" t="str">
        <f aca="false">IF(J103="","",'Pricing Details'!D93+'Pricing Details'!Q93)</f>
        <v/>
      </c>
      <c r="W103" s="155" t="str">
        <f aca="false">IF(J103="","",'Pricing Details'!V93)</f>
        <v/>
      </c>
      <c r="X103" s="156" t="str">
        <f aca="false">IF(J103="","",'Pricing Details'!X93)</f>
        <v/>
      </c>
      <c r="Y103" s="157" t="str">
        <f aca="false">'Pricing Details'!Z93</f>
        <v/>
      </c>
      <c r="Z103" s="158" t="str">
        <f aca="false">'Pricing Details'!AC93</f>
        <v/>
      </c>
      <c r="AA103" s="20"/>
      <c r="AB103" s="21" t="str">
        <f aca="false">IFERROR(_xlfn.xlookup(H103,Collection[Display],Collection[Line])&amp;_xlfn.xlookup(I103,Sleeve[Display],Sleeve[Sleeve]),"")</f>
        <v/>
      </c>
    </row>
    <row r="104" s="21" customFormat="true" ht="30" hidden="false" customHeight="true" outlineLevel="0" collapsed="false">
      <c r="A104" s="20"/>
      <c r="B104" s="90" t="n">
        <v>91</v>
      </c>
      <c r="C104" s="150"/>
      <c r="D104" s="160"/>
      <c r="E104" s="152"/>
      <c r="F104" s="152"/>
      <c r="G104" s="152"/>
      <c r="H104" s="152"/>
      <c r="I104" s="153"/>
      <c r="J104" s="152"/>
      <c r="K104" s="161"/>
      <c r="L104" s="152"/>
      <c r="M104" s="152"/>
      <c r="N104" s="152"/>
      <c r="O104" s="153"/>
      <c r="P104" s="153"/>
      <c r="Q104" s="153"/>
      <c r="R104" s="153"/>
      <c r="S104" s="153"/>
      <c r="T104" s="154"/>
      <c r="U104" s="159"/>
      <c r="V104" s="155" t="str">
        <f aca="false">IF(J104="","",'Pricing Details'!D94+'Pricing Details'!Q94)</f>
        <v/>
      </c>
      <c r="W104" s="155" t="str">
        <f aca="false">IF(J104="","",'Pricing Details'!V94)</f>
        <v/>
      </c>
      <c r="X104" s="156" t="str">
        <f aca="false">IF(J104="","",'Pricing Details'!X94)</f>
        <v/>
      </c>
      <c r="Y104" s="157" t="str">
        <f aca="false">'Pricing Details'!Z94</f>
        <v/>
      </c>
      <c r="Z104" s="158" t="str">
        <f aca="false">'Pricing Details'!AC94</f>
        <v/>
      </c>
      <c r="AA104" s="20"/>
      <c r="AB104" s="21" t="str">
        <f aca="false">IFERROR(_xlfn.xlookup(H104,Collection[Display],Collection[Line])&amp;_xlfn.xlookup(I104,Sleeve[Display],Sleeve[Sleeve]),"")</f>
        <v/>
      </c>
    </row>
    <row r="105" s="21" customFormat="true" ht="30" hidden="false" customHeight="true" outlineLevel="0" collapsed="false">
      <c r="A105" s="20"/>
      <c r="B105" s="90" t="n">
        <v>92</v>
      </c>
      <c r="C105" s="150"/>
      <c r="D105" s="160"/>
      <c r="E105" s="152"/>
      <c r="F105" s="152"/>
      <c r="G105" s="152"/>
      <c r="H105" s="152"/>
      <c r="I105" s="153"/>
      <c r="J105" s="152"/>
      <c r="K105" s="161"/>
      <c r="L105" s="152"/>
      <c r="M105" s="152"/>
      <c r="N105" s="152"/>
      <c r="O105" s="153"/>
      <c r="P105" s="153"/>
      <c r="Q105" s="153"/>
      <c r="R105" s="153"/>
      <c r="S105" s="153"/>
      <c r="T105" s="154"/>
      <c r="U105" s="159"/>
      <c r="V105" s="155" t="str">
        <f aca="false">IF(J105="","",'Pricing Details'!D95+'Pricing Details'!Q95)</f>
        <v/>
      </c>
      <c r="W105" s="155" t="str">
        <f aca="false">IF(J105="","",'Pricing Details'!V95)</f>
        <v/>
      </c>
      <c r="X105" s="156" t="str">
        <f aca="false">IF(J105="","",'Pricing Details'!X95)</f>
        <v/>
      </c>
      <c r="Y105" s="157" t="str">
        <f aca="false">'Pricing Details'!Z95</f>
        <v/>
      </c>
      <c r="Z105" s="158" t="str">
        <f aca="false">'Pricing Details'!AC95</f>
        <v/>
      </c>
      <c r="AA105" s="20"/>
      <c r="AB105" s="21" t="str">
        <f aca="false">IFERROR(_xlfn.xlookup(H105,Collection[Display],Collection[Line])&amp;_xlfn.xlookup(I105,Sleeve[Display],Sleeve[Sleeve]),"")</f>
        <v/>
      </c>
    </row>
    <row r="106" s="21" customFormat="true" ht="30" hidden="false" customHeight="true" outlineLevel="0" collapsed="false">
      <c r="A106" s="20"/>
      <c r="B106" s="90" t="n">
        <v>93</v>
      </c>
      <c r="C106" s="150"/>
      <c r="D106" s="160"/>
      <c r="E106" s="152"/>
      <c r="F106" s="152"/>
      <c r="G106" s="152"/>
      <c r="H106" s="152"/>
      <c r="I106" s="153"/>
      <c r="J106" s="152"/>
      <c r="K106" s="161"/>
      <c r="L106" s="152"/>
      <c r="M106" s="152"/>
      <c r="N106" s="152"/>
      <c r="O106" s="153"/>
      <c r="P106" s="153"/>
      <c r="Q106" s="153"/>
      <c r="R106" s="153"/>
      <c r="S106" s="153"/>
      <c r="T106" s="154"/>
      <c r="U106" s="159"/>
      <c r="V106" s="155" t="str">
        <f aca="false">IF(J106="","",'Pricing Details'!D96+'Pricing Details'!Q96)</f>
        <v/>
      </c>
      <c r="W106" s="155" t="str">
        <f aca="false">IF(J106="","",'Pricing Details'!V96)</f>
        <v/>
      </c>
      <c r="X106" s="156" t="str">
        <f aca="false">IF(J106="","",'Pricing Details'!X96)</f>
        <v/>
      </c>
      <c r="Y106" s="157" t="str">
        <f aca="false">'Pricing Details'!Z96</f>
        <v/>
      </c>
      <c r="Z106" s="158" t="str">
        <f aca="false">'Pricing Details'!AC96</f>
        <v/>
      </c>
      <c r="AA106" s="20"/>
      <c r="AB106" s="21" t="str">
        <f aca="false">IFERROR(_xlfn.xlookup(H106,Collection[Display],Collection[Line])&amp;_xlfn.xlookup(I106,Sleeve[Display],Sleeve[Sleeve]),"")</f>
        <v/>
      </c>
    </row>
    <row r="107" s="21" customFormat="true" ht="30" hidden="false" customHeight="true" outlineLevel="0" collapsed="false">
      <c r="A107" s="20"/>
      <c r="B107" s="90" t="n">
        <v>94</v>
      </c>
      <c r="C107" s="150"/>
      <c r="D107" s="160"/>
      <c r="E107" s="152"/>
      <c r="F107" s="152"/>
      <c r="G107" s="152"/>
      <c r="H107" s="152"/>
      <c r="I107" s="153"/>
      <c r="J107" s="152"/>
      <c r="K107" s="161"/>
      <c r="L107" s="152"/>
      <c r="M107" s="152"/>
      <c r="N107" s="152"/>
      <c r="O107" s="153"/>
      <c r="P107" s="153"/>
      <c r="Q107" s="153"/>
      <c r="R107" s="153"/>
      <c r="S107" s="153"/>
      <c r="T107" s="154"/>
      <c r="U107" s="159"/>
      <c r="V107" s="155" t="str">
        <f aca="false">IF(J107="","",'Pricing Details'!D97+'Pricing Details'!Q97)</f>
        <v/>
      </c>
      <c r="W107" s="155" t="str">
        <f aca="false">IF(J107="","",'Pricing Details'!V97)</f>
        <v/>
      </c>
      <c r="X107" s="156" t="str">
        <f aca="false">IF(J107="","",'Pricing Details'!X97)</f>
        <v/>
      </c>
      <c r="Y107" s="157" t="str">
        <f aca="false">'Pricing Details'!Z97</f>
        <v/>
      </c>
      <c r="Z107" s="158" t="str">
        <f aca="false">'Pricing Details'!AC97</f>
        <v/>
      </c>
      <c r="AA107" s="20"/>
      <c r="AB107" s="21" t="str">
        <f aca="false">IFERROR(_xlfn.xlookup(H107,Collection[Display],Collection[Line])&amp;_xlfn.xlookup(I107,Sleeve[Display],Sleeve[Sleeve]),"")</f>
        <v/>
      </c>
    </row>
    <row r="108" s="21" customFormat="true" ht="30" hidden="false" customHeight="true" outlineLevel="0" collapsed="false">
      <c r="A108" s="20"/>
      <c r="B108" s="90" t="n">
        <v>95</v>
      </c>
      <c r="C108" s="150"/>
      <c r="D108" s="160"/>
      <c r="E108" s="152"/>
      <c r="F108" s="152"/>
      <c r="G108" s="152"/>
      <c r="H108" s="152"/>
      <c r="I108" s="153"/>
      <c r="J108" s="152"/>
      <c r="K108" s="161"/>
      <c r="L108" s="152"/>
      <c r="M108" s="152"/>
      <c r="N108" s="152"/>
      <c r="O108" s="153"/>
      <c r="P108" s="153"/>
      <c r="Q108" s="153"/>
      <c r="R108" s="153"/>
      <c r="S108" s="153"/>
      <c r="T108" s="154"/>
      <c r="U108" s="159"/>
      <c r="V108" s="155" t="str">
        <f aca="false">IF(J108="","",'Pricing Details'!D98+'Pricing Details'!Q98)</f>
        <v/>
      </c>
      <c r="W108" s="155" t="str">
        <f aca="false">IF(J108="","",'Pricing Details'!V98)</f>
        <v/>
      </c>
      <c r="X108" s="156" t="str">
        <f aca="false">IF(J108="","",'Pricing Details'!X98)</f>
        <v/>
      </c>
      <c r="Y108" s="157" t="str">
        <f aca="false">'Pricing Details'!Z98</f>
        <v/>
      </c>
      <c r="Z108" s="158" t="str">
        <f aca="false">'Pricing Details'!AC98</f>
        <v/>
      </c>
      <c r="AA108" s="20"/>
      <c r="AB108" s="21" t="str">
        <f aca="false">IFERROR(_xlfn.xlookup(H108,Collection[Display],Collection[Line])&amp;_xlfn.xlookup(I108,Sleeve[Display],Sleeve[Sleeve]),"")</f>
        <v/>
      </c>
    </row>
    <row r="109" s="21" customFormat="true" ht="30" hidden="false" customHeight="true" outlineLevel="0" collapsed="false">
      <c r="A109" s="20"/>
      <c r="B109" s="90" t="n">
        <v>96</v>
      </c>
      <c r="C109" s="150"/>
      <c r="D109" s="160"/>
      <c r="E109" s="152"/>
      <c r="F109" s="152"/>
      <c r="G109" s="152"/>
      <c r="H109" s="152"/>
      <c r="I109" s="153"/>
      <c r="J109" s="152"/>
      <c r="K109" s="161"/>
      <c r="L109" s="152"/>
      <c r="M109" s="152"/>
      <c r="N109" s="152"/>
      <c r="O109" s="153"/>
      <c r="P109" s="153"/>
      <c r="Q109" s="153"/>
      <c r="R109" s="153"/>
      <c r="S109" s="153"/>
      <c r="T109" s="154"/>
      <c r="U109" s="159"/>
      <c r="V109" s="155" t="str">
        <f aca="false">IF(J109="","",'Pricing Details'!D99+'Pricing Details'!Q99)</f>
        <v/>
      </c>
      <c r="W109" s="155" t="str">
        <f aca="false">IF(J109="","",'Pricing Details'!V99)</f>
        <v/>
      </c>
      <c r="X109" s="156" t="str">
        <f aca="false">IF(J109="","",'Pricing Details'!X99)</f>
        <v/>
      </c>
      <c r="Y109" s="157" t="str">
        <f aca="false">'Pricing Details'!Z99</f>
        <v/>
      </c>
      <c r="Z109" s="158" t="str">
        <f aca="false">'Pricing Details'!AC99</f>
        <v/>
      </c>
      <c r="AA109" s="20"/>
      <c r="AB109" s="21" t="str">
        <f aca="false">IFERROR(_xlfn.xlookup(H109,Collection[Display],Collection[Line])&amp;_xlfn.xlookup(I109,Sleeve[Display],Sleeve[Sleeve]),"")</f>
        <v/>
      </c>
    </row>
    <row r="110" s="21" customFormat="true" ht="30" hidden="false" customHeight="true" outlineLevel="0" collapsed="false">
      <c r="A110" s="20"/>
      <c r="B110" s="90" t="n">
        <v>97</v>
      </c>
      <c r="C110" s="150"/>
      <c r="D110" s="160"/>
      <c r="E110" s="152"/>
      <c r="F110" s="152"/>
      <c r="G110" s="152"/>
      <c r="H110" s="152"/>
      <c r="I110" s="153"/>
      <c r="J110" s="152"/>
      <c r="K110" s="161"/>
      <c r="L110" s="152"/>
      <c r="M110" s="152"/>
      <c r="N110" s="152"/>
      <c r="O110" s="153"/>
      <c r="P110" s="153"/>
      <c r="Q110" s="153"/>
      <c r="R110" s="153"/>
      <c r="S110" s="153"/>
      <c r="T110" s="154"/>
      <c r="U110" s="159"/>
      <c r="V110" s="155" t="str">
        <f aca="false">IF(J110="","",'Pricing Details'!D100+'Pricing Details'!Q100)</f>
        <v/>
      </c>
      <c r="W110" s="155" t="str">
        <f aca="false">IF(J110="","",'Pricing Details'!V100)</f>
        <v/>
      </c>
      <c r="X110" s="156" t="str">
        <f aca="false">IF(J110="","",'Pricing Details'!X100)</f>
        <v/>
      </c>
      <c r="Y110" s="157" t="str">
        <f aca="false">'Pricing Details'!Z100</f>
        <v/>
      </c>
      <c r="Z110" s="158" t="str">
        <f aca="false">'Pricing Details'!AC100</f>
        <v/>
      </c>
      <c r="AA110" s="20"/>
      <c r="AB110" s="21" t="str">
        <f aca="false">IFERROR(_xlfn.xlookup(H110,Collection[Display],Collection[Line])&amp;_xlfn.xlookup(I110,Sleeve[Display],Sleeve[Sleeve]),"")</f>
        <v/>
      </c>
    </row>
    <row r="111" s="21" customFormat="true" ht="30" hidden="false" customHeight="true" outlineLevel="0" collapsed="false">
      <c r="A111" s="20"/>
      <c r="B111" s="90" t="n">
        <v>98</v>
      </c>
      <c r="C111" s="150"/>
      <c r="D111" s="160"/>
      <c r="E111" s="152"/>
      <c r="F111" s="152"/>
      <c r="G111" s="152"/>
      <c r="H111" s="152"/>
      <c r="I111" s="153"/>
      <c r="J111" s="152"/>
      <c r="K111" s="161"/>
      <c r="L111" s="152"/>
      <c r="M111" s="152"/>
      <c r="N111" s="152"/>
      <c r="O111" s="153"/>
      <c r="P111" s="153"/>
      <c r="Q111" s="153"/>
      <c r="R111" s="153"/>
      <c r="S111" s="153"/>
      <c r="T111" s="154"/>
      <c r="U111" s="159"/>
      <c r="V111" s="155" t="str">
        <f aca="false">IF(J111="","",'Pricing Details'!D101+'Pricing Details'!Q101)</f>
        <v/>
      </c>
      <c r="W111" s="155" t="str">
        <f aca="false">IF(J111="","",'Pricing Details'!V101)</f>
        <v/>
      </c>
      <c r="X111" s="156" t="str">
        <f aca="false">IF(J111="","",'Pricing Details'!X101)</f>
        <v/>
      </c>
      <c r="Y111" s="157" t="str">
        <f aca="false">'Pricing Details'!Z101</f>
        <v/>
      </c>
      <c r="Z111" s="158" t="str">
        <f aca="false">'Pricing Details'!AC101</f>
        <v/>
      </c>
      <c r="AA111" s="20"/>
      <c r="AB111" s="21" t="str">
        <f aca="false">IFERROR(_xlfn.xlookup(H111,Collection[Display],Collection[Line])&amp;_xlfn.xlookup(I111,Sleeve[Display],Sleeve[Sleeve]),"")</f>
        <v/>
      </c>
    </row>
    <row r="112" s="21" customFormat="true" ht="30" hidden="false" customHeight="true" outlineLevel="0" collapsed="false">
      <c r="A112" s="20"/>
      <c r="B112" s="90" t="n">
        <v>99</v>
      </c>
      <c r="C112" s="150"/>
      <c r="D112" s="160"/>
      <c r="E112" s="152"/>
      <c r="F112" s="152"/>
      <c r="G112" s="152"/>
      <c r="H112" s="152"/>
      <c r="I112" s="153"/>
      <c r="J112" s="152"/>
      <c r="K112" s="161"/>
      <c r="L112" s="152"/>
      <c r="M112" s="152"/>
      <c r="N112" s="152"/>
      <c r="O112" s="153"/>
      <c r="P112" s="153"/>
      <c r="Q112" s="153"/>
      <c r="R112" s="153"/>
      <c r="S112" s="153"/>
      <c r="T112" s="154"/>
      <c r="U112" s="159"/>
      <c r="V112" s="155" t="str">
        <f aca="false">IF(J112="","",'Pricing Details'!D102+'Pricing Details'!Q102)</f>
        <v/>
      </c>
      <c r="W112" s="155" t="str">
        <f aca="false">IF(J112="","",'Pricing Details'!V102)</f>
        <v/>
      </c>
      <c r="X112" s="156" t="str">
        <f aca="false">IF(J112="","",'Pricing Details'!X102)</f>
        <v/>
      </c>
      <c r="Y112" s="157" t="str">
        <f aca="false">'Pricing Details'!Z102</f>
        <v/>
      </c>
      <c r="Z112" s="158" t="str">
        <f aca="false">'Pricing Details'!AC102</f>
        <v/>
      </c>
      <c r="AA112" s="20"/>
      <c r="AB112" s="21" t="str">
        <f aca="false">IFERROR(_xlfn.xlookup(H112,Collection[Display],Collection[Line])&amp;_xlfn.xlookup(I112,Sleeve[Display],Sleeve[Sleeve]),"")</f>
        <v/>
      </c>
    </row>
    <row r="113" s="21" customFormat="true" ht="30" hidden="false" customHeight="true" outlineLevel="0" collapsed="false">
      <c r="A113" s="20"/>
      <c r="B113" s="90" t="n">
        <v>100</v>
      </c>
      <c r="C113" s="150"/>
      <c r="D113" s="160"/>
      <c r="E113" s="152"/>
      <c r="F113" s="152"/>
      <c r="G113" s="152"/>
      <c r="H113" s="152"/>
      <c r="I113" s="153"/>
      <c r="J113" s="152"/>
      <c r="K113" s="161"/>
      <c r="L113" s="152"/>
      <c r="M113" s="152"/>
      <c r="N113" s="152"/>
      <c r="O113" s="153"/>
      <c r="P113" s="153"/>
      <c r="Q113" s="153"/>
      <c r="R113" s="153"/>
      <c r="S113" s="153"/>
      <c r="T113" s="154"/>
      <c r="U113" s="159"/>
      <c r="V113" s="155" t="str">
        <f aca="false">IF(J113="","",'Pricing Details'!D103+'Pricing Details'!Q103)</f>
        <v/>
      </c>
      <c r="W113" s="155" t="str">
        <f aca="false">IF(J113="","",'Pricing Details'!V103)</f>
        <v/>
      </c>
      <c r="X113" s="156" t="str">
        <f aca="false">IF(J113="","",'Pricing Details'!X103)</f>
        <v/>
      </c>
      <c r="Y113" s="157" t="str">
        <f aca="false">'Pricing Details'!Z103</f>
        <v/>
      </c>
      <c r="Z113" s="158" t="str">
        <f aca="false">'Pricing Details'!AC103</f>
        <v/>
      </c>
      <c r="AA113" s="20"/>
      <c r="AB113" s="21" t="str">
        <f aca="false">IFERROR(_xlfn.xlookup(H113,Collection[Display],Collection[Line])&amp;_xlfn.xlookup(I113,Sleeve[Display],Sleeve[Sleeve]),"")</f>
        <v/>
      </c>
    </row>
    <row r="114" s="21" customFormat="true" ht="30" hidden="false" customHeight="true" outlineLevel="0" collapsed="false">
      <c r="A114" s="20"/>
      <c r="B114" s="90" t="n">
        <v>101</v>
      </c>
      <c r="C114" s="150"/>
      <c r="D114" s="160"/>
      <c r="E114" s="152"/>
      <c r="F114" s="152"/>
      <c r="G114" s="152"/>
      <c r="H114" s="152"/>
      <c r="I114" s="153"/>
      <c r="J114" s="152"/>
      <c r="K114" s="161"/>
      <c r="L114" s="152"/>
      <c r="M114" s="152"/>
      <c r="N114" s="152"/>
      <c r="O114" s="153"/>
      <c r="P114" s="153"/>
      <c r="Q114" s="153"/>
      <c r="R114" s="153"/>
      <c r="S114" s="153"/>
      <c r="T114" s="154"/>
      <c r="U114" s="159"/>
      <c r="V114" s="155" t="str">
        <f aca="false">IF(J114="","",'Pricing Details'!D104+'Pricing Details'!Q104)</f>
        <v/>
      </c>
      <c r="W114" s="155" t="str">
        <f aca="false">IF(J114="","",'Pricing Details'!V104)</f>
        <v/>
      </c>
      <c r="X114" s="156" t="str">
        <f aca="false">IF(J114="","",'Pricing Details'!X104)</f>
        <v/>
      </c>
      <c r="Y114" s="157" t="str">
        <f aca="false">'Pricing Details'!Z104</f>
        <v/>
      </c>
      <c r="Z114" s="158" t="str">
        <f aca="false">'Pricing Details'!AC104</f>
        <v/>
      </c>
      <c r="AA114" s="20"/>
      <c r="AB114" s="21" t="str">
        <f aca="false">IFERROR(_xlfn.xlookup(H114,Collection[Display],Collection[Line])&amp;_xlfn.xlookup(I114,Sleeve[Display],Sleeve[Sleeve]),"")</f>
        <v/>
      </c>
    </row>
    <row r="115" s="21" customFormat="true" ht="30" hidden="false" customHeight="true" outlineLevel="0" collapsed="false">
      <c r="A115" s="20"/>
      <c r="B115" s="90" t="n">
        <v>102</v>
      </c>
      <c r="C115" s="150"/>
      <c r="D115" s="160"/>
      <c r="E115" s="152"/>
      <c r="F115" s="152"/>
      <c r="G115" s="152"/>
      <c r="H115" s="152"/>
      <c r="I115" s="153"/>
      <c r="J115" s="152"/>
      <c r="K115" s="161"/>
      <c r="L115" s="152"/>
      <c r="M115" s="152"/>
      <c r="N115" s="152"/>
      <c r="O115" s="153"/>
      <c r="P115" s="153"/>
      <c r="Q115" s="153"/>
      <c r="R115" s="153"/>
      <c r="S115" s="153"/>
      <c r="T115" s="154"/>
      <c r="U115" s="159"/>
      <c r="V115" s="155" t="str">
        <f aca="false">IF(J115="","",'Pricing Details'!D105+'Pricing Details'!Q105)</f>
        <v/>
      </c>
      <c r="W115" s="155" t="str">
        <f aca="false">IF(J115="","",'Pricing Details'!V105)</f>
        <v/>
      </c>
      <c r="X115" s="156" t="str">
        <f aca="false">IF(J115="","",'Pricing Details'!X105)</f>
        <v/>
      </c>
      <c r="Y115" s="157" t="str">
        <f aca="false">'Pricing Details'!Z105</f>
        <v/>
      </c>
      <c r="Z115" s="158" t="str">
        <f aca="false">'Pricing Details'!AC105</f>
        <v/>
      </c>
      <c r="AA115" s="20"/>
      <c r="AB115" s="21" t="str">
        <f aca="false">IFERROR(_xlfn.xlookup(H115,Collection[Display],Collection[Line])&amp;_xlfn.xlookup(I115,Sleeve[Display],Sleeve[Sleeve]),"")</f>
        <v/>
      </c>
    </row>
    <row r="116" s="21" customFormat="true" ht="30" hidden="false" customHeight="true" outlineLevel="0" collapsed="false">
      <c r="A116" s="20"/>
      <c r="B116" s="90" t="n">
        <v>103</v>
      </c>
      <c r="C116" s="150"/>
      <c r="D116" s="160"/>
      <c r="E116" s="152"/>
      <c r="F116" s="152"/>
      <c r="G116" s="152"/>
      <c r="H116" s="152"/>
      <c r="I116" s="153"/>
      <c r="J116" s="152"/>
      <c r="K116" s="161"/>
      <c r="L116" s="152"/>
      <c r="M116" s="152"/>
      <c r="N116" s="152"/>
      <c r="O116" s="153"/>
      <c r="P116" s="153"/>
      <c r="Q116" s="153"/>
      <c r="R116" s="153"/>
      <c r="S116" s="153"/>
      <c r="T116" s="154"/>
      <c r="U116" s="159"/>
      <c r="V116" s="155" t="str">
        <f aca="false">IF(J116="","",'Pricing Details'!D106+'Pricing Details'!Q106)</f>
        <v/>
      </c>
      <c r="W116" s="155" t="str">
        <f aca="false">IF(J116="","",'Pricing Details'!V106)</f>
        <v/>
      </c>
      <c r="X116" s="156" t="str">
        <f aca="false">IF(J116="","",'Pricing Details'!X106)</f>
        <v/>
      </c>
      <c r="Y116" s="157" t="str">
        <f aca="false">'Pricing Details'!Z106</f>
        <v/>
      </c>
      <c r="Z116" s="158" t="str">
        <f aca="false">'Pricing Details'!AC106</f>
        <v/>
      </c>
      <c r="AA116" s="20"/>
      <c r="AB116" s="21" t="str">
        <f aca="false">IFERROR(_xlfn.xlookup(H116,Collection[Display],Collection[Line])&amp;_xlfn.xlookup(I116,Sleeve[Display],Sleeve[Sleeve]),"")</f>
        <v/>
      </c>
    </row>
    <row r="117" s="21" customFormat="true" ht="30" hidden="false" customHeight="true" outlineLevel="0" collapsed="false">
      <c r="A117" s="20"/>
      <c r="B117" s="90" t="n">
        <v>104</v>
      </c>
      <c r="C117" s="150"/>
      <c r="D117" s="160"/>
      <c r="E117" s="152"/>
      <c r="F117" s="152"/>
      <c r="G117" s="152"/>
      <c r="H117" s="152"/>
      <c r="I117" s="153"/>
      <c r="J117" s="152"/>
      <c r="K117" s="161"/>
      <c r="L117" s="152"/>
      <c r="M117" s="152"/>
      <c r="N117" s="152"/>
      <c r="O117" s="153"/>
      <c r="P117" s="153"/>
      <c r="Q117" s="153"/>
      <c r="R117" s="153"/>
      <c r="S117" s="153"/>
      <c r="T117" s="154"/>
      <c r="U117" s="159"/>
      <c r="V117" s="155" t="str">
        <f aca="false">IF(J117="","",'Pricing Details'!D107+'Pricing Details'!Q107)</f>
        <v/>
      </c>
      <c r="W117" s="155" t="str">
        <f aca="false">IF(J117="","",'Pricing Details'!V107)</f>
        <v/>
      </c>
      <c r="X117" s="156" t="str">
        <f aca="false">IF(J117="","",'Pricing Details'!X107)</f>
        <v/>
      </c>
      <c r="Y117" s="157" t="str">
        <f aca="false">'Pricing Details'!Z107</f>
        <v/>
      </c>
      <c r="Z117" s="158" t="str">
        <f aca="false">'Pricing Details'!AC107</f>
        <v/>
      </c>
      <c r="AA117" s="20"/>
      <c r="AB117" s="21" t="str">
        <f aca="false">IFERROR(_xlfn.xlookup(H117,Collection[Display],Collection[Line])&amp;_xlfn.xlookup(I117,Sleeve[Display],Sleeve[Sleeve]),"")</f>
        <v/>
      </c>
    </row>
    <row r="118" s="21" customFormat="true" ht="30" hidden="false" customHeight="true" outlineLevel="0" collapsed="false">
      <c r="A118" s="20"/>
      <c r="B118" s="90" t="n">
        <v>105</v>
      </c>
      <c r="C118" s="150"/>
      <c r="D118" s="160"/>
      <c r="E118" s="152"/>
      <c r="F118" s="152"/>
      <c r="G118" s="152"/>
      <c r="H118" s="152"/>
      <c r="I118" s="153"/>
      <c r="J118" s="152"/>
      <c r="K118" s="161"/>
      <c r="L118" s="152"/>
      <c r="M118" s="152"/>
      <c r="N118" s="152"/>
      <c r="O118" s="153"/>
      <c r="P118" s="153"/>
      <c r="Q118" s="153"/>
      <c r="R118" s="153"/>
      <c r="S118" s="153"/>
      <c r="T118" s="154"/>
      <c r="U118" s="159"/>
      <c r="V118" s="155" t="str">
        <f aca="false">IF(J118="","",'Pricing Details'!D108+'Pricing Details'!Q108)</f>
        <v/>
      </c>
      <c r="W118" s="155" t="str">
        <f aca="false">IF(J118="","",'Pricing Details'!V108)</f>
        <v/>
      </c>
      <c r="X118" s="156" t="str">
        <f aca="false">IF(J118="","",'Pricing Details'!X108)</f>
        <v/>
      </c>
      <c r="Y118" s="157" t="str">
        <f aca="false">'Pricing Details'!Z108</f>
        <v/>
      </c>
      <c r="Z118" s="158" t="str">
        <f aca="false">'Pricing Details'!AC108</f>
        <v/>
      </c>
      <c r="AA118" s="20"/>
      <c r="AB118" s="21" t="str">
        <f aca="false">IFERROR(_xlfn.xlookup(H118,Collection[Display],Collection[Line])&amp;_xlfn.xlookup(I118,Sleeve[Display],Sleeve[Sleeve]),"")</f>
        <v/>
      </c>
    </row>
    <row r="119" s="21" customFormat="true" ht="30" hidden="false" customHeight="true" outlineLevel="0" collapsed="false">
      <c r="A119" s="20"/>
      <c r="B119" s="90" t="n">
        <v>106</v>
      </c>
      <c r="C119" s="150"/>
      <c r="D119" s="160"/>
      <c r="E119" s="152"/>
      <c r="F119" s="152"/>
      <c r="G119" s="152"/>
      <c r="H119" s="152"/>
      <c r="I119" s="153"/>
      <c r="J119" s="152"/>
      <c r="K119" s="161"/>
      <c r="L119" s="152"/>
      <c r="M119" s="152"/>
      <c r="N119" s="152"/>
      <c r="O119" s="153"/>
      <c r="P119" s="153"/>
      <c r="Q119" s="153"/>
      <c r="R119" s="153"/>
      <c r="S119" s="153"/>
      <c r="T119" s="154"/>
      <c r="U119" s="159"/>
      <c r="V119" s="155" t="str">
        <f aca="false">IF(J119="","",'Pricing Details'!D109+'Pricing Details'!Q109)</f>
        <v/>
      </c>
      <c r="W119" s="155" t="str">
        <f aca="false">IF(J119="","",'Pricing Details'!V109)</f>
        <v/>
      </c>
      <c r="X119" s="156" t="str">
        <f aca="false">IF(J119="","",'Pricing Details'!X109)</f>
        <v/>
      </c>
      <c r="Y119" s="157" t="str">
        <f aca="false">'Pricing Details'!Z109</f>
        <v/>
      </c>
      <c r="Z119" s="158" t="str">
        <f aca="false">'Pricing Details'!AC109</f>
        <v/>
      </c>
      <c r="AA119" s="20"/>
      <c r="AB119" s="21" t="str">
        <f aca="false">IFERROR(_xlfn.xlookup(H119,Collection[Display],Collection[Line])&amp;_xlfn.xlookup(I119,Sleeve[Display],Sleeve[Sleeve]),"")</f>
        <v/>
      </c>
    </row>
    <row r="120" s="21" customFormat="true" ht="30" hidden="false" customHeight="true" outlineLevel="0" collapsed="false">
      <c r="A120" s="20"/>
      <c r="B120" s="90" t="n">
        <v>107</v>
      </c>
      <c r="C120" s="150"/>
      <c r="D120" s="160"/>
      <c r="E120" s="152"/>
      <c r="F120" s="152"/>
      <c r="G120" s="152"/>
      <c r="H120" s="152"/>
      <c r="I120" s="153"/>
      <c r="J120" s="152"/>
      <c r="K120" s="161"/>
      <c r="L120" s="152"/>
      <c r="M120" s="152"/>
      <c r="N120" s="152"/>
      <c r="O120" s="153"/>
      <c r="P120" s="153"/>
      <c r="Q120" s="153"/>
      <c r="R120" s="153"/>
      <c r="S120" s="153"/>
      <c r="T120" s="154"/>
      <c r="U120" s="159"/>
      <c r="V120" s="155" t="str">
        <f aca="false">IF(J120="","",'Pricing Details'!D110+'Pricing Details'!Q110)</f>
        <v/>
      </c>
      <c r="W120" s="155" t="str">
        <f aca="false">IF(J120="","",'Pricing Details'!V110)</f>
        <v/>
      </c>
      <c r="X120" s="156" t="str">
        <f aca="false">IF(J120="","",'Pricing Details'!X110)</f>
        <v/>
      </c>
      <c r="Y120" s="157" t="str">
        <f aca="false">'Pricing Details'!Z110</f>
        <v/>
      </c>
      <c r="Z120" s="158" t="str">
        <f aca="false">'Pricing Details'!AC110</f>
        <v/>
      </c>
      <c r="AA120" s="20"/>
      <c r="AB120" s="21" t="str">
        <f aca="false">IFERROR(_xlfn.xlookup(H120,Collection[Display],Collection[Line])&amp;_xlfn.xlookup(I120,Sleeve[Display],Sleeve[Sleeve]),"")</f>
        <v/>
      </c>
    </row>
    <row r="121" s="21" customFormat="true" ht="30" hidden="false" customHeight="true" outlineLevel="0" collapsed="false">
      <c r="A121" s="20"/>
      <c r="B121" s="90" t="n">
        <v>108</v>
      </c>
      <c r="C121" s="150"/>
      <c r="D121" s="160"/>
      <c r="E121" s="152"/>
      <c r="F121" s="152"/>
      <c r="G121" s="152"/>
      <c r="H121" s="152"/>
      <c r="I121" s="153"/>
      <c r="J121" s="152"/>
      <c r="K121" s="161"/>
      <c r="L121" s="152"/>
      <c r="M121" s="152"/>
      <c r="N121" s="152"/>
      <c r="O121" s="153"/>
      <c r="P121" s="153"/>
      <c r="Q121" s="153"/>
      <c r="R121" s="153"/>
      <c r="S121" s="153"/>
      <c r="T121" s="154"/>
      <c r="U121" s="159"/>
      <c r="V121" s="155" t="str">
        <f aca="false">IF(J121="","",'Pricing Details'!D111+'Pricing Details'!Q111)</f>
        <v/>
      </c>
      <c r="W121" s="155" t="str">
        <f aca="false">IF(J121="","",'Pricing Details'!V111)</f>
        <v/>
      </c>
      <c r="X121" s="156" t="str">
        <f aca="false">IF(J121="","",'Pricing Details'!X111)</f>
        <v/>
      </c>
      <c r="Y121" s="157" t="str">
        <f aca="false">'Pricing Details'!Z111</f>
        <v/>
      </c>
      <c r="Z121" s="158" t="str">
        <f aca="false">'Pricing Details'!AC111</f>
        <v/>
      </c>
      <c r="AA121" s="20"/>
      <c r="AB121" s="21" t="str">
        <f aca="false">IFERROR(_xlfn.xlookup(H121,Collection[Display],Collection[Line])&amp;_xlfn.xlookup(I121,Sleeve[Display],Sleeve[Sleeve]),"")</f>
        <v/>
      </c>
    </row>
    <row r="122" s="21" customFormat="true" ht="30" hidden="false" customHeight="true" outlineLevel="0" collapsed="false">
      <c r="A122" s="20"/>
      <c r="B122" s="90" t="n">
        <v>109</v>
      </c>
      <c r="C122" s="150"/>
      <c r="D122" s="160"/>
      <c r="E122" s="152"/>
      <c r="F122" s="152"/>
      <c r="G122" s="152"/>
      <c r="H122" s="152"/>
      <c r="I122" s="153"/>
      <c r="J122" s="152"/>
      <c r="K122" s="161"/>
      <c r="L122" s="152"/>
      <c r="M122" s="152"/>
      <c r="N122" s="152"/>
      <c r="O122" s="153"/>
      <c r="P122" s="153"/>
      <c r="Q122" s="153"/>
      <c r="R122" s="153"/>
      <c r="S122" s="153"/>
      <c r="T122" s="154"/>
      <c r="U122" s="159"/>
      <c r="V122" s="155" t="str">
        <f aca="false">IF(J122="","",'Pricing Details'!D112+'Pricing Details'!Q112)</f>
        <v/>
      </c>
      <c r="W122" s="155" t="str">
        <f aca="false">IF(J122="","",'Pricing Details'!V112)</f>
        <v/>
      </c>
      <c r="X122" s="156" t="str">
        <f aca="false">IF(J122="","",'Pricing Details'!X112)</f>
        <v/>
      </c>
      <c r="Y122" s="157" t="str">
        <f aca="false">'Pricing Details'!Z112</f>
        <v/>
      </c>
      <c r="Z122" s="158" t="str">
        <f aca="false">'Pricing Details'!AC112</f>
        <v/>
      </c>
      <c r="AA122" s="20"/>
      <c r="AB122" s="21" t="str">
        <f aca="false">IFERROR(_xlfn.xlookup(H122,Collection[Display],Collection[Line])&amp;_xlfn.xlookup(I122,Sleeve[Display],Sleeve[Sleeve]),"")</f>
        <v/>
      </c>
    </row>
    <row r="123" s="21" customFormat="true" ht="30" hidden="false" customHeight="true" outlineLevel="0" collapsed="false">
      <c r="A123" s="20"/>
      <c r="B123" s="90" t="n">
        <v>110</v>
      </c>
      <c r="C123" s="150"/>
      <c r="D123" s="160"/>
      <c r="E123" s="152"/>
      <c r="F123" s="152"/>
      <c r="G123" s="152"/>
      <c r="H123" s="152"/>
      <c r="I123" s="153"/>
      <c r="J123" s="152"/>
      <c r="K123" s="161"/>
      <c r="L123" s="152"/>
      <c r="M123" s="152"/>
      <c r="N123" s="152"/>
      <c r="O123" s="153"/>
      <c r="P123" s="153"/>
      <c r="Q123" s="153"/>
      <c r="R123" s="153"/>
      <c r="S123" s="153"/>
      <c r="T123" s="154"/>
      <c r="U123" s="159"/>
      <c r="V123" s="155" t="str">
        <f aca="false">IF(J123="","",'Pricing Details'!D113+'Pricing Details'!Q113)</f>
        <v/>
      </c>
      <c r="W123" s="155" t="str">
        <f aca="false">IF(J123="","",'Pricing Details'!V113)</f>
        <v/>
      </c>
      <c r="X123" s="156" t="str">
        <f aca="false">IF(J123="","",'Pricing Details'!X113)</f>
        <v/>
      </c>
      <c r="Y123" s="157" t="str">
        <f aca="false">'Pricing Details'!Z113</f>
        <v/>
      </c>
      <c r="Z123" s="158" t="str">
        <f aca="false">'Pricing Details'!AC113</f>
        <v/>
      </c>
      <c r="AA123" s="20"/>
      <c r="AB123" s="21" t="str">
        <f aca="false">IFERROR(_xlfn.xlookup(H123,Collection[Display],Collection[Line])&amp;_xlfn.xlookup(I123,Sleeve[Display],Sleeve[Sleeve]),"")</f>
        <v/>
      </c>
    </row>
    <row r="124" s="21" customFormat="true" ht="30" hidden="false" customHeight="true" outlineLevel="0" collapsed="false">
      <c r="A124" s="20"/>
      <c r="B124" s="90" t="n">
        <v>111</v>
      </c>
      <c r="C124" s="150"/>
      <c r="D124" s="160"/>
      <c r="E124" s="152"/>
      <c r="F124" s="152"/>
      <c r="G124" s="152"/>
      <c r="H124" s="152"/>
      <c r="I124" s="153"/>
      <c r="J124" s="152"/>
      <c r="K124" s="161"/>
      <c r="L124" s="152"/>
      <c r="M124" s="152"/>
      <c r="N124" s="152"/>
      <c r="O124" s="153"/>
      <c r="P124" s="153"/>
      <c r="Q124" s="153"/>
      <c r="R124" s="153"/>
      <c r="S124" s="153"/>
      <c r="T124" s="154"/>
      <c r="U124" s="159"/>
      <c r="V124" s="155" t="str">
        <f aca="false">IF(J124="","",'Pricing Details'!D114+'Pricing Details'!Q114)</f>
        <v/>
      </c>
      <c r="W124" s="155" t="str">
        <f aca="false">IF(J124="","",'Pricing Details'!V114)</f>
        <v/>
      </c>
      <c r="X124" s="156" t="str">
        <f aca="false">IF(J124="","",'Pricing Details'!X114)</f>
        <v/>
      </c>
      <c r="Y124" s="157" t="str">
        <f aca="false">'Pricing Details'!Z114</f>
        <v/>
      </c>
      <c r="Z124" s="158" t="str">
        <f aca="false">'Pricing Details'!AC114</f>
        <v/>
      </c>
      <c r="AA124" s="20"/>
      <c r="AB124" s="21" t="str">
        <f aca="false">IFERROR(_xlfn.xlookup(H124,Collection[Display],Collection[Line])&amp;_xlfn.xlookup(I124,Sleeve[Display],Sleeve[Sleeve]),"")</f>
        <v/>
      </c>
    </row>
    <row r="125" s="21" customFormat="true" ht="30" hidden="false" customHeight="true" outlineLevel="0" collapsed="false">
      <c r="A125" s="20"/>
      <c r="B125" s="90" t="n">
        <v>112</v>
      </c>
      <c r="C125" s="150"/>
      <c r="D125" s="160"/>
      <c r="E125" s="152"/>
      <c r="F125" s="152"/>
      <c r="G125" s="152"/>
      <c r="H125" s="152"/>
      <c r="I125" s="153"/>
      <c r="J125" s="152"/>
      <c r="K125" s="161"/>
      <c r="L125" s="152"/>
      <c r="M125" s="152"/>
      <c r="N125" s="152"/>
      <c r="O125" s="153"/>
      <c r="P125" s="153"/>
      <c r="Q125" s="153"/>
      <c r="R125" s="153"/>
      <c r="S125" s="153"/>
      <c r="T125" s="154"/>
      <c r="U125" s="159"/>
      <c r="V125" s="155" t="str">
        <f aca="false">IF(J125="","",'Pricing Details'!D115+'Pricing Details'!Q115)</f>
        <v/>
      </c>
      <c r="W125" s="155" t="str">
        <f aca="false">IF(J125="","",'Pricing Details'!V115)</f>
        <v/>
      </c>
      <c r="X125" s="156" t="str">
        <f aca="false">IF(J125="","",'Pricing Details'!X115)</f>
        <v/>
      </c>
      <c r="Y125" s="157" t="str">
        <f aca="false">'Pricing Details'!Z115</f>
        <v/>
      </c>
      <c r="Z125" s="158" t="str">
        <f aca="false">'Pricing Details'!AC115</f>
        <v/>
      </c>
      <c r="AA125" s="20"/>
      <c r="AB125" s="21" t="str">
        <f aca="false">IFERROR(_xlfn.xlookup(H125,Collection[Display],Collection[Line])&amp;_xlfn.xlookup(I125,Sleeve[Display],Sleeve[Sleeve]),"")</f>
        <v/>
      </c>
    </row>
    <row r="126" s="21" customFormat="true" ht="30" hidden="false" customHeight="true" outlineLevel="0" collapsed="false">
      <c r="A126" s="20"/>
      <c r="B126" s="90" t="n">
        <v>113</v>
      </c>
      <c r="C126" s="150"/>
      <c r="D126" s="160"/>
      <c r="E126" s="152"/>
      <c r="F126" s="152"/>
      <c r="G126" s="152"/>
      <c r="H126" s="152"/>
      <c r="I126" s="153"/>
      <c r="J126" s="152"/>
      <c r="K126" s="161"/>
      <c r="L126" s="152"/>
      <c r="M126" s="152"/>
      <c r="N126" s="152"/>
      <c r="O126" s="153"/>
      <c r="P126" s="153"/>
      <c r="Q126" s="153"/>
      <c r="R126" s="153"/>
      <c r="S126" s="153"/>
      <c r="T126" s="154"/>
      <c r="U126" s="159"/>
      <c r="V126" s="155" t="str">
        <f aca="false">IF(J126="","",'Pricing Details'!D116+'Pricing Details'!Q116)</f>
        <v/>
      </c>
      <c r="W126" s="155" t="str">
        <f aca="false">IF(J126="","",'Pricing Details'!V116)</f>
        <v/>
      </c>
      <c r="X126" s="156" t="str">
        <f aca="false">IF(J126="","",'Pricing Details'!X116)</f>
        <v/>
      </c>
      <c r="Y126" s="157" t="str">
        <f aca="false">'Pricing Details'!Z116</f>
        <v/>
      </c>
      <c r="Z126" s="158" t="str">
        <f aca="false">'Pricing Details'!AC116</f>
        <v/>
      </c>
      <c r="AA126" s="20"/>
      <c r="AB126" s="21" t="str">
        <f aca="false">IFERROR(_xlfn.xlookup(H126,Collection[Display],Collection[Line])&amp;_xlfn.xlookup(I126,Sleeve[Display],Sleeve[Sleeve]),"")</f>
        <v/>
      </c>
    </row>
    <row r="127" s="21" customFormat="true" ht="30" hidden="false" customHeight="true" outlineLevel="0" collapsed="false">
      <c r="A127" s="20"/>
      <c r="B127" s="90" t="n">
        <v>114</v>
      </c>
      <c r="C127" s="150"/>
      <c r="D127" s="160"/>
      <c r="E127" s="152"/>
      <c r="F127" s="152"/>
      <c r="G127" s="152"/>
      <c r="H127" s="152"/>
      <c r="I127" s="153"/>
      <c r="J127" s="152"/>
      <c r="K127" s="161"/>
      <c r="L127" s="152"/>
      <c r="M127" s="152"/>
      <c r="N127" s="152"/>
      <c r="O127" s="153"/>
      <c r="P127" s="153"/>
      <c r="Q127" s="153"/>
      <c r="R127" s="153"/>
      <c r="S127" s="153"/>
      <c r="T127" s="154"/>
      <c r="U127" s="159"/>
      <c r="V127" s="155" t="str">
        <f aca="false">IF(J127="","",'Pricing Details'!D117+'Pricing Details'!Q117)</f>
        <v/>
      </c>
      <c r="W127" s="155" t="str">
        <f aca="false">IF(J127="","",'Pricing Details'!V117)</f>
        <v/>
      </c>
      <c r="X127" s="156" t="str">
        <f aca="false">IF(J127="","",'Pricing Details'!X117)</f>
        <v/>
      </c>
      <c r="Y127" s="157" t="str">
        <f aca="false">'Pricing Details'!Z117</f>
        <v/>
      </c>
      <c r="Z127" s="158" t="str">
        <f aca="false">'Pricing Details'!AC117</f>
        <v/>
      </c>
      <c r="AA127" s="20"/>
      <c r="AB127" s="21" t="str">
        <f aca="false">IFERROR(_xlfn.xlookup(H127,Collection[Display],Collection[Line])&amp;_xlfn.xlookup(I127,Sleeve[Display],Sleeve[Sleeve]),"")</f>
        <v/>
      </c>
    </row>
    <row r="128" s="21" customFormat="true" ht="30" hidden="false" customHeight="true" outlineLevel="0" collapsed="false">
      <c r="A128" s="20"/>
      <c r="B128" s="90" t="n">
        <v>115</v>
      </c>
      <c r="C128" s="150"/>
      <c r="D128" s="160"/>
      <c r="E128" s="152"/>
      <c r="F128" s="152"/>
      <c r="G128" s="152"/>
      <c r="H128" s="152"/>
      <c r="I128" s="153"/>
      <c r="J128" s="152"/>
      <c r="K128" s="161"/>
      <c r="L128" s="152"/>
      <c r="M128" s="152"/>
      <c r="N128" s="152"/>
      <c r="O128" s="153"/>
      <c r="P128" s="153"/>
      <c r="Q128" s="153"/>
      <c r="R128" s="153"/>
      <c r="S128" s="153"/>
      <c r="T128" s="154"/>
      <c r="U128" s="159"/>
      <c r="V128" s="155" t="str">
        <f aca="false">IF(J128="","",'Pricing Details'!D118+'Pricing Details'!Q118)</f>
        <v/>
      </c>
      <c r="W128" s="155" t="str">
        <f aca="false">IF(J128="","",'Pricing Details'!V118)</f>
        <v/>
      </c>
      <c r="X128" s="156" t="str">
        <f aca="false">IF(J128="","",'Pricing Details'!X118)</f>
        <v/>
      </c>
      <c r="Y128" s="157" t="str">
        <f aca="false">'Pricing Details'!Z118</f>
        <v/>
      </c>
      <c r="Z128" s="158" t="str">
        <f aca="false">'Pricing Details'!AC118</f>
        <v/>
      </c>
      <c r="AA128" s="20"/>
      <c r="AB128" s="21" t="str">
        <f aca="false">IFERROR(_xlfn.xlookup(H128,Collection[Display],Collection[Line])&amp;_xlfn.xlookup(I128,Sleeve[Display],Sleeve[Sleeve]),"")</f>
        <v/>
      </c>
    </row>
    <row r="129" s="21" customFormat="true" ht="30" hidden="false" customHeight="true" outlineLevel="0" collapsed="false">
      <c r="A129" s="20"/>
      <c r="B129" s="90" t="n">
        <v>116</v>
      </c>
      <c r="C129" s="150"/>
      <c r="D129" s="160"/>
      <c r="E129" s="152"/>
      <c r="F129" s="152"/>
      <c r="G129" s="152"/>
      <c r="H129" s="152"/>
      <c r="I129" s="153"/>
      <c r="J129" s="152"/>
      <c r="K129" s="161"/>
      <c r="L129" s="152"/>
      <c r="M129" s="152"/>
      <c r="N129" s="152"/>
      <c r="O129" s="153"/>
      <c r="P129" s="153"/>
      <c r="Q129" s="153"/>
      <c r="R129" s="153"/>
      <c r="S129" s="153"/>
      <c r="T129" s="154"/>
      <c r="U129" s="159"/>
      <c r="V129" s="155" t="str">
        <f aca="false">IF(J129="","",'Pricing Details'!D119+'Pricing Details'!Q119)</f>
        <v/>
      </c>
      <c r="W129" s="155" t="str">
        <f aca="false">IF(J129="","",'Pricing Details'!V119)</f>
        <v/>
      </c>
      <c r="X129" s="156" t="str">
        <f aca="false">IF(J129="","",'Pricing Details'!X119)</f>
        <v/>
      </c>
      <c r="Y129" s="157" t="str">
        <f aca="false">'Pricing Details'!Z119</f>
        <v/>
      </c>
      <c r="Z129" s="158" t="str">
        <f aca="false">'Pricing Details'!AC119</f>
        <v/>
      </c>
      <c r="AA129" s="20"/>
      <c r="AB129" s="21" t="str">
        <f aca="false">IFERROR(_xlfn.xlookup(H129,Collection[Display],Collection[Line])&amp;_xlfn.xlookup(I129,Sleeve[Display],Sleeve[Sleeve]),"")</f>
        <v/>
      </c>
    </row>
    <row r="130" s="21" customFormat="true" ht="30" hidden="false" customHeight="true" outlineLevel="0" collapsed="false">
      <c r="A130" s="20"/>
      <c r="B130" s="90" t="n">
        <v>117</v>
      </c>
      <c r="C130" s="150"/>
      <c r="D130" s="160"/>
      <c r="E130" s="152"/>
      <c r="F130" s="152"/>
      <c r="G130" s="152"/>
      <c r="H130" s="152"/>
      <c r="I130" s="153"/>
      <c r="J130" s="152"/>
      <c r="K130" s="161"/>
      <c r="L130" s="152"/>
      <c r="M130" s="152"/>
      <c r="N130" s="152"/>
      <c r="O130" s="153"/>
      <c r="P130" s="153"/>
      <c r="Q130" s="153"/>
      <c r="R130" s="153"/>
      <c r="S130" s="153"/>
      <c r="T130" s="154"/>
      <c r="U130" s="159"/>
      <c r="V130" s="155" t="str">
        <f aca="false">IF(J130="","",'Pricing Details'!D120+'Pricing Details'!Q120)</f>
        <v/>
      </c>
      <c r="W130" s="155" t="str">
        <f aca="false">IF(J130="","",'Pricing Details'!V120)</f>
        <v/>
      </c>
      <c r="X130" s="156" t="str">
        <f aca="false">IF(J130="","",'Pricing Details'!X120)</f>
        <v/>
      </c>
      <c r="Y130" s="157" t="str">
        <f aca="false">'Pricing Details'!Z120</f>
        <v/>
      </c>
      <c r="Z130" s="158" t="str">
        <f aca="false">'Pricing Details'!AC120</f>
        <v/>
      </c>
      <c r="AA130" s="20"/>
      <c r="AB130" s="21" t="str">
        <f aca="false">IFERROR(_xlfn.xlookup(H130,Collection[Display],Collection[Line])&amp;_xlfn.xlookup(I130,Sleeve[Display],Sleeve[Sleeve]),"")</f>
        <v/>
      </c>
    </row>
    <row r="131" s="21" customFormat="true" ht="30" hidden="false" customHeight="true" outlineLevel="0" collapsed="false">
      <c r="A131" s="20"/>
      <c r="B131" s="90" t="n">
        <v>118</v>
      </c>
      <c r="C131" s="150"/>
      <c r="D131" s="160"/>
      <c r="E131" s="152"/>
      <c r="F131" s="152"/>
      <c r="G131" s="152"/>
      <c r="H131" s="152"/>
      <c r="I131" s="153"/>
      <c r="J131" s="152"/>
      <c r="K131" s="161"/>
      <c r="L131" s="152"/>
      <c r="M131" s="152"/>
      <c r="N131" s="152"/>
      <c r="O131" s="153"/>
      <c r="P131" s="153"/>
      <c r="Q131" s="153"/>
      <c r="R131" s="153"/>
      <c r="S131" s="153"/>
      <c r="T131" s="154"/>
      <c r="U131" s="159"/>
      <c r="V131" s="155" t="str">
        <f aca="false">IF(J131="","",'Pricing Details'!D121+'Pricing Details'!Q121)</f>
        <v/>
      </c>
      <c r="W131" s="155" t="str">
        <f aca="false">IF(J131="","",'Pricing Details'!V121)</f>
        <v/>
      </c>
      <c r="X131" s="156" t="str">
        <f aca="false">IF(J131="","",'Pricing Details'!X121)</f>
        <v/>
      </c>
      <c r="Y131" s="157" t="str">
        <f aca="false">'Pricing Details'!Z121</f>
        <v/>
      </c>
      <c r="Z131" s="158" t="str">
        <f aca="false">'Pricing Details'!AC121</f>
        <v/>
      </c>
      <c r="AA131" s="20"/>
      <c r="AB131" s="21" t="str">
        <f aca="false">IFERROR(_xlfn.xlookup(H131,Collection[Display],Collection[Line])&amp;_xlfn.xlookup(I131,Sleeve[Display],Sleeve[Sleeve]),"")</f>
        <v/>
      </c>
    </row>
    <row r="132" s="21" customFormat="true" ht="30" hidden="false" customHeight="true" outlineLevel="0" collapsed="false">
      <c r="A132" s="20"/>
      <c r="B132" s="90" t="n">
        <v>119</v>
      </c>
      <c r="C132" s="150"/>
      <c r="D132" s="160"/>
      <c r="E132" s="152"/>
      <c r="F132" s="152"/>
      <c r="G132" s="152"/>
      <c r="H132" s="152"/>
      <c r="I132" s="153"/>
      <c r="J132" s="152"/>
      <c r="K132" s="161"/>
      <c r="L132" s="152"/>
      <c r="M132" s="152"/>
      <c r="N132" s="152"/>
      <c r="O132" s="153"/>
      <c r="P132" s="153"/>
      <c r="Q132" s="153"/>
      <c r="R132" s="153"/>
      <c r="S132" s="153"/>
      <c r="T132" s="154"/>
      <c r="U132" s="159"/>
      <c r="V132" s="155" t="str">
        <f aca="false">IF(J132="","",'Pricing Details'!D122+'Pricing Details'!Q122)</f>
        <v/>
      </c>
      <c r="W132" s="155" t="str">
        <f aca="false">IF(J132="","",'Pricing Details'!V122)</f>
        <v/>
      </c>
      <c r="X132" s="156" t="str">
        <f aca="false">IF(J132="","",'Pricing Details'!X122)</f>
        <v/>
      </c>
      <c r="Y132" s="157" t="str">
        <f aca="false">'Pricing Details'!Z122</f>
        <v/>
      </c>
      <c r="Z132" s="158" t="str">
        <f aca="false">'Pricing Details'!AC122</f>
        <v/>
      </c>
      <c r="AA132" s="20"/>
      <c r="AB132" s="21" t="str">
        <f aca="false">IFERROR(_xlfn.xlookup(H132,Collection[Display],Collection[Line])&amp;_xlfn.xlookup(I132,Sleeve[Display],Sleeve[Sleeve]),"")</f>
        <v/>
      </c>
    </row>
    <row r="133" s="21" customFormat="true" ht="30" hidden="false" customHeight="true" outlineLevel="0" collapsed="false">
      <c r="A133" s="20"/>
      <c r="B133" s="90" t="n">
        <v>120</v>
      </c>
      <c r="C133" s="150"/>
      <c r="D133" s="160"/>
      <c r="E133" s="152"/>
      <c r="F133" s="152"/>
      <c r="G133" s="152"/>
      <c r="H133" s="152"/>
      <c r="I133" s="153"/>
      <c r="J133" s="152"/>
      <c r="K133" s="161"/>
      <c r="L133" s="152"/>
      <c r="M133" s="152"/>
      <c r="N133" s="152"/>
      <c r="O133" s="153"/>
      <c r="P133" s="153"/>
      <c r="Q133" s="153"/>
      <c r="R133" s="153"/>
      <c r="S133" s="153"/>
      <c r="T133" s="154"/>
      <c r="U133" s="159"/>
      <c r="V133" s="155" t="str">
        <f aca="false">IF(J133="","",'Pricing Details'!D123+'Pricing Details'!Q123)</f>
        <v/>
      </c>
      <c r="W133" s="155" t="str">
        <f aca="false">IF(J133="","",'Pricing Details'!V123)</f>
        <v/>
      </c>
      <c r="X133" s="156" t="str">
        <f aca="false">IF(J133="","",'Pricing Details'!X123)</f>
        <v/>
      </c>
      <c r="Y133" s="157" t="str">
        <f aca="false">'Pricing Details'!Z123</f>
        <v/>
      </c>
      <c r="Z133" s="158" t="str">
        <f aca="false">'Pricing Details'!AC123</f>
        <v/>
      </c>
      <c r="AA133" s="20"/>
      <c r="AB133" s="21" t="str">
        <f aca="false">IFERROR(_xlfn.xlookup(H133,Collection[Display],Collection[Line])&amp;_xlfn.xlookup(I133,Sleeve[Display],Sleeve[Sleeve]),"")</f>
        <v/>
      </c>
    </row>
    <row r="134" s="21" customFormat="true" ht="30" hidden="false" customHeight="true" outlineLevel="0" collapsed="false">
      <c r="A134" s="20"/>
      <c r="B134" s="90" t="n">
        <v>121</v>
      </c>
      <c r="C134" s="150"/>
      <c r="D134" s="160"/>
      <c r="E134" s="152"/>
      <c r="F134" s="152"/>
      <c r="G134" s="152"/>
      <c r="H134" s="152"/>
      <c r="I134" s="153"/>
      <c r="J134" s="152"/>
      <c r="K134" s="161"/>
      <c r="L134" s="152"/>
      <c r="M134" s="152"/>
      <c r="N134" s="152"/>
      <c r="O134" s="153"/>
      <c r="P134" s="153"/>
      <c r="Q134" s="153"/>
      <c r="R134" s="153"/>
      <c r="S134" s="153"/>
      <c r="T134" s="154"/>
      <c r="U134" s="159"/>
      <c r="V134" s="155" t="str">
        <f aca="false">IF(J134="","",'Pricing Details'!D124+'Pricing Details'!Q124)</f>
        <v/>
      </c>
      <c r="W134" s="155" t="str">
        <f aca="false">IF(J134="","",'Pricing Details'!V124)</f>
        <v/>
      </c>
      <c r="X134" s="156" t="str">
        <f aca="false">IF(J134="","",'Pricing Details'!X124)</f>
        <v/>
      </c>
      <c r="Y134" s="157" t="str">
        <f aca="false">'Pricing Details'!Z124</f>
        <v/>
      </c>
      <c r="Z134" s="158" t="str">
        <f aca="false">'Pricing Details'!AC124</f>
        <v/>
      </c>
      <c r="AA134" s="20"/>
      <c r="AB134" s="21" t="str">
        <f aca="false">IFERROR(_xlfn.xlookup(H134,Collection[Display],Collection[Line])&amp;_xlfn.xlookup(I134,Sleeve[Display],Sleeve[Sleeve]),"")</f>
        <v/>
      </c>
    </row>
    <row r="135" s="21" customFormat="true" ht="30" hidden="false" customHeight="true" outlineLevel="0" collapsed="false">
      <c r="A135" s="20"/>
      <c r="B135" s="90" t="n">
        <v>122</v>
      </c>
      <c r="C135" s="150"/>
      <c r="D135" s="160"/>
      <c r="E135" s="152"/>
      <c r="F135" s="152"/>
      <c r="G135" s="152"/>
      <c r="H135" s="152"/>
      <c r="I135" s="153"/>
      <c r="J135" s="152"/>
      <c r="K135" s="161"/>
      <c r="L135" s="152"/>
      <c r="M135" s="152"/>
      <c r="N135" s="152"/>
      <c r="O135" s="153"/>
      <c r="P135" s="153"/>
      <c r="Q135" s="153"/>
      <c r="R135" s="153"/>
      <c r="S135" s="153"/>
      <c r="T135" s="154"/>
      <c r="U135" s="159"/>
      <c r="V135" s="155" t="str">
        <f aca="false">IF(J135="","",'Pricing Details'!D125+'Pricing Details'!Q125)</f>
        <v/>
      </c>
      <c r="W135" s="155" t="str">
        <f aca="false">IF(J135="","",'Pricing Details'!V125)</f>
        <v/>
      </c>
      <c r="X135" s="156" t="str">
        <f aca="false">IF(J135="","",'Pricing Details'!X125)</f>
        <v/>
      </c>
      <c r="Y135" s="157" t="str">
        <f aca="false">'Pricing Details'!Z125</f>
        <v/>
      </c>
      <c r="Z135" s="158" t="str">
        <f aca="false">'Pricing Details'!AC125</f>
        <v/>
      </c>
      <c r="AA135" s="20"/>
      <c r="AB135" s="21" t="str">
        <f aca="false">IFERROR(_xlfn.xlookup(H135,Collection[Display],Collection[Line])&amp;_xlfn.xlookup(I135,Sleeve[Display],Sleeve[Sleeve]),"")</f>
        <v/>
      </c>
    </row>
    <row r="136" s="21" customFormat="true" ht="30" hidden="false" customHeight="true" outlineLevel="0" collapsed="false">
      <c r="A136" s="20"/>
      <c r="B136" s="90" t="n">
        <v>123</v>
      </c>
      <c r="C136" s="150"/>
      <c r="D136" s="160"/>
      <c r="E136" s="152"/>
      <c r="F136" s="152"/>
      <c r="G136" s="152"/>
      <c r="H136" s="152"/>
      <c r="I136" s="153"/>
      <c r="J136" s="152"/>
      <c r="K136" s="161"/>
      <c r="L136" s="152"/>
      <c r="M136" s="152"/>
      <c r="N136" s="152"/>
      <c r="O136" s="153"/>
      <c r="P136" s="153"/>
      <c r="Q136" s="153"/>
      <c r="R136" s="153"/>
      <c r="S136" s="153"/>
      <c r="T136" s="154"/>
      <c r="U136" s="159"/>
      <c r="V136" s="155" t="str">
        <f aca="false">IF(J136="","",'Pricing Details'!D126+'Pricing Details'!Q126)</f>
        <v/>
      </c>
      <c r="W136" s="155" t="str">
        <f aca="false">IF(J136="","",'Pricing Details'!V126)</f>
        <v/>
      </c>
      <c r="X136" s="156" t="str">
        <f aca="false">IF(J136="","",'Pricing Details'!X126)</f>
        <v/>
      </c>
      <c r="Y136" s="157" t="str">
        <f aca="false">'Pricing Details'!Z126</f>
        <v/>
      </c>
      <c r="Z136" s="158" t="str">
        <f aca="false">'Pricing Details'!AC126</f>
        <v/>
      </c>
      <c r="AA136" s="20"/>
      <c r="AB136" s="21" t="str">
        <f aca="false">IFERROR(_xlfn.xlookup(H136,Collection[Display],Collection[Line])&amp;_xlfn.xlookup(I136,Sleeve[Display],Sleeve[Sleeve]),"")</f>
        <v/>
      </c>
    </row>
    <row r="137" s="21" customFormat="true" ht="30" hidden="false" customHeight="true" outlineLevel="0" collapsed="false">
      <c r="A137" s="20"/>
      <c r="B137" s="90" t="n">
        <v>124</v>
      </c>
      <c r="C137" s="150"/>
      <c r="D137" s="160"/>
      <c r="E137" s="152"/>
      <c r="F137" s="152"/>
      <c r="G137" s="152"/>
      <c r="H137" s="152"/>
      <c r="I137" s="153"/>
      <c r="J137" s="152"/>
      <c r="K137" s="161"/>
      <c r="L137" s="152"/>
      <c r="M137" s="152"/>
      <c r="N137" s="152"/>
      <c r="O137" s="153"/>
      <c r="P137" s="153"/>
      <c r="Q137" s="153"/>
      <c r="R137" s="153"/>
      <c r="S137" s="153"/>
      <c r="T137" s="154"/>
      <c r="U137" s="159"/>
      <c r="V137" s="155" t="str">
        <f aca="false">IF(J137="","",'Pricing Details'!D127+'Pricing Details'!Q127)</f>
        <v/>
      </c>
      <c r="W137" s="155" t="str">
        <f aca="false">IF(J137="","",'Pricing Details'!V127)</f>
        <v/>
      </c>
      <c r="X137" s="156" t="str">
        <f aca="false">IF(J137="","",'Pricing Details'!X127)</f>
        <v/>
      </c>
      <c r="Y137" s="157" t="str">
        <f aca="false">'Pricing Details'!Z127</f>
        <v/>
      </c>
      <c r="Z137" s="158" t="str">
        <f aca="false">'Pricing Details'!AC127</f>
        <v/>
      </c>
      <c r="AA137" s="20"/>
      <c r="AB137" s="21" t="str">
        <f aca="false">IFERROR(_xlfn.xlookup(H137,Collection[Display],Collection[Line])&amp;_xlfn.xlookup(I137,Sleeve[Display],Sleeve[Sleeve]),"")</f>
        <v/>
      </c>
    </row>
    <row r="138" s="21" customFormat="true" ht="30" hidden="false" customHeight="true" outlineLevel="0" collapsed="false">
      <c r="A138" s="20"/>
      <c r="B138" s="90" t="n">
        <v>125</v>
      </c>
      <c r="C138" s="150"/>
      <c r="D138" s="160"/>
      <c r="E138" s="152"/>
      <c r="F138" s="152"/>
      <c r="G138" s="152"/>
      <c r="H138" s="152"/>
      <c r="I138" s="153"/>
      <c r="J138" s="152"/>
      <c r="K138" s="161"/>
      <c r="L138" s="152"/>
      <c r="M138" s="152"/>
      <c r="N138" s="152"/>
      <c r="O138" s="153"/>
      <c r="P138" s="153"/>
      <c r="Q138" s="153"/>
      <c r="R138" s="153"/>
      <c r="S138" s="153"/>
      <c r="T138" s="154"/>
      <c r="U138" s="159"/>
      <c r="V138" s="155" t="str">
        <f aca="false">IF(J138="","",'Pricing Details'!D128+'Pricing Details'!Q128)</f>
        <v/>
      </c>
      <c r="W138" s="155" t="str">
        <f aca="false">IF(J138="","",'Pricing Details'!V128)</f>
        <v/>
      </c>
      <c r="X138" s="156" t="str">
        <f aca="false">IF(J138="","",'Pricing Details'!X128)</f>
        <v/>
      </c>
      <c r="Y138" s="157" t="str">
        <f aca="false">'Pricing Details'!Z128</f>
        <v/>
      </c>
      <c r="Z138" s="158" t="str">
        <f aca="false">'Pricing Details'!AC128</f>
        <v/>
      </c>
      <c r="AA138" s="20"/>
      <c r="AB138" s="21" t="str">
        <f aca="false">IFERROR(_xlfn.xlookup(H138,Collection[Display],Collection[Line])&amp;_xlfn.xlookup(I138,Sleeve[Display],Sleeve[Sleeve]),"")</f>
        <v/>
      </c>
    </row>
    <row r="139" s="21" customFormat="true" ht="30" hidden="false" customHeight="true" outlineLevel="0" collapsed="false">
      <c r="A139" s="20"/>
      <c r="B139" s="90" t="n">
        <v>126</v>
      </c>
      <c r="C139" s="150"/>
      <c r="D139" s="160"/>
      <c r="E139" s="152"/>
      <c r="F139" s="152"/>
      <c r="G139" s="152"/>
      <c r="H139" s="152"/>
      <c r="I139" s="153"/>
      <c r="J139" s="152"/>
      <c r="K139" s="161"/>
      <c r="L139" s="152"/>
      <c r="M139" s="152"/>
      <c r="N139" s="152"/>
      <c r="O139" s="153"/>
      <c r="P139" s="153"/>
      <c r="Q139" s="153"/>
      <c r="R139" s="153"/>
      <c r="S139" s="153"/>
      <c r="T139" s="154"/>
      <c r="U139" s="159"/>
      <c r="V139" s="155" t="str">
        <f aca="false">IF(J139="","",'Pricing Details'!D129+'Pricing Details'!Q129)</f>
        <v/>
      </c>
      <c r="W139" s="155" t="str">
        <f aca="false">IF(J139="","",'Pricing Details'!V129)</f>
        <v/>
      </c>
      <c r="X139" s="156" t="str">
        <f aca="false">IF(J139="","",'Pricing Details'!X129)</f>
        <v/>
      </c>
      <c r="Y139" s="157" t="str">
        <f aca="false">'Pricing Details'!Z129</f>
        <v/>
      </c>
      <c r="Z139" s="158" t="str">
        <f aca="false">'Pricing Details'!AC129</f>
        <v/>
      </c>
      <c r="AA139" s="20"/>
      <c r="AB139" s="21" t="str">
        <f aca="false">IFERROR(_xlfn.xlookup(H139,Collection[Display],Collection[Line])&amp;_xlfn.xlookup(I139,Sleeve[Display],Sleeve[Sleeve]),"")</f>
        <v/>
      </c>
    </row>
    <row r="140" s="21" customFormat="true" ht="30" hidden="false" customHeight="true" outlineLevel="0" collapsed="false">
      <c r="A140" s="20"/>
      <c r="B140" s="90" t="n">
        <v>127</v>
      </c>
      <c r="C140" s="150"/>
      <c r="D140" s="160"/>
      <c r="E140" s="152"/>
      <c r="F140" s="152"/>
      <c r="G140" s="152"/>
      <c r="H140" s="152"/>
      <c r="I140" s="153"/>
      <c r="J140" s="152"/>
      <c r="K140" s="161"/>
      <c r="L140" s="152"/>
      <c r="M140" s="152"/>
      <c r="N140" s="152"/>
      <c r="O140" s="153"/>
      <c r="P140" s="153"/>
      <c r="Q140" s="153"/>
      <c r="R140" s="153"/>
      <c r="S140" s="153"/>
      <c r="T140" s="154"/>
      <c r="U140" s="159"/>
      <c r="V140" s="155" t="str">
        <f aca="false">IF(J140="","",'Pricing Details'!D130+'Pricing Details'!Q130)</f>
        <v/>
      </c>
      <c r="W140" s="155" t="str">
        <f aca="false">IF(J140="","",'Pricing Details'!V130)</f>
        <v/>
      </c>
      <c r="X140" s="156" t="str">
        <f aca="false">IF(J140="","",'Pricing Details'!X130)</f>
        <v/>
      </c>
      <c r="Y140" s="157" t="str">
        <f aca="false">'Pricing Details'!Z130</f>
        <v/>
      </c>
      <c r="Z140" s="158" t="str">
        <f aca="false">'Pricing Details'!AC130</f>
        <v/>
      </c>
      <c r="AA140" s="20"/>
      <c r="AB140" s="21" t="str">
        <f aca="false">IFERROR(_xlfn.xlookup(H140,Collection[Display],Collection[Line])&amp;_xlfn.xlookup(I140,Sleeve[Display],Sleeve[Sleeve]),"")</f>
        <v/>
      </c>
    </row>
    <row r="141" s="21" customFormat="true" ht="30" hidden="false" customHeight="true" outlineLevel="0" collapsed="false">
      <c r="A141" s="20"/>
      <c r="B141" s="90" t="n">
        <v>128</v>
      </c>
      <c r="C141" s="150"/>
      <c r="D141" s="160"/>
      <c r="E141" s="152"/>
      <c r="F141" s="152"/>
      <c r="G141" s="152"/>
      <c r="H141" s="152"/>
      <c r="I141" s="153"/>
      <c r="J141" s="152"/>
      <c r="K141" s="161"/>
      <c r="L141" s="152"/>
      <c r="M141" s="152"/>
      <c r="N141" s="152"/>
      <c r="O141" s="153"/>
      <c r="P141" s="153"/>
      <c r="Q141" s="153"/>
      <c r="R141" s="153"/>
      <c r="S141" s="153"/>
      <c r="T141" s="154"/>
      <c r="U141" s="159"/>
      <c r="V141" s="155" t="str">
        <f aca="false">IF(J141="","",'Pricing Details'!D131+'Pricing Details'!Q131)</f>
        <v/>
      </c>
      <c r="W141" s="155" t="str">
        <f aca="false">IF(J141="","",'Pricing Details'!V131)</f>
        <v/>
      </c>
      <c r="X141" s="156" t="str">
        <f aca="false">IF(J141="","",'Pricing Details'!X131)</f>
        <v/>
      </c>
      <c r="Y141" s="157" t="str">
        <f aca="false">'Pricing Details'!Z131</f>
        <v/>
      </c>
      <c r="Z141" s="158" t="str">
        <f aca="false">'Pricing Details'!AC131</f>
        <v/>
      </c>
      <c r="AA141" s="20"/>
      <c r="AB141" s="21" t="str">
        <f aca="false">IFERROR(_xlfn.xlookup(H141,Collection[Display],Collection[Line])&amp;_xlfn.xlookup(I141,Sleeve[Display],Sleeve[Sleeve]),"")</f>
        <v/>
      </c>
    </row>
    <row r="142" s="21" customFormat="true" ht="30" hidden="false" customHeight="true" outlineLevel="0" collapsed="false">
      <c r="A142" s="20"/>
      <c r="B142" s="90" t="n">
        <v>129</v>
      </c>
      <c r="C142" s="150"/>
      <c r="D142" s="160"/>
      <c r="E142" s="152"/>
      <c r="F142" s="152"/>
      <c r="G142" s="152"/>
      <c r="H142" s="152"/>
      <c r="I142" s="153"/>
      <c r="J142" s="152"/>
      <c r="K142" s="161"/>
      <c r="L142" s="152"/>
      <c r="M142" s="152"/>
      <c r="N142" s="152"/>
      <c r="O142" s="153"/>
      <c r="P142" s="153"/>
      <c r="Q142" s="153"/>
      <c r="R142" s="153"/>
      <c r="S142" s="153"/>
      <c r="T142" s="154"/>
      <c r="U142" s="159"/>
      <c r="V142" s="155" t="str">
        <f aca="false">IF(J142="","",'Pricing Details'!D132+'Pricing Details'!Q132)</f>
        <v/>
      </c>
      <c r="W142" s="155" t="str">
        <f aca="false">IF(J142="","",'Pricing Details'!V132)</f>
        <v/>
      </c>
      <c r="X142" s="156" t="str">
        <f aca="false">IF(J142="","",'Pricing Details'!X132)</f>
        <v/>
      </c>
      <c r="Y142" s="157" t="str">
        <f aca="false">'Pricing Details'!Z132</f>
        <v/>
      </c>
      <c r="Z142" s="158" t="str">
        <f aca="false">'Pricing Details'!AC132</f>
        <v/>
      </c>
      <c r="AA142" s="20"/>
      <c r="AB142" s="21" t="str">
        <f aca="false">IFERROR(_xlfn.xlookup(H142,Collection[Display],Collection[Line])&amp;_xlfn.xlookup(I142,Sleeve[Display],Sleeve[Sleeve]),"")</f>
        <v/>
      </c>
    </row>
    <row r="143" s="21" customFormat="true" ht="30" hidden="false" customHeight="true" outlineLevel="0" collapsed="false">
      <c r="A143" s="20"/>
      <c r="B143" s="90" t="n">
        <v>130</v>
      </c>
      <c r="C143" s="150"/>
      <c r="D143" s="160"/>
      <c r="E143" s="152"/>
      <c r="F143" s="152"/>
      <c r="G143" s="152"/>
      <c r="H143" s="152"/>
      <c r="I143" s="153"/>
      <c r="J143" s="152"/>
      <c r="K143" s="161"/>
      <c r="L143" s="152"/>
      <c r="M143" s="152"/>
      <c r="N143" s="152"/>
      <c r="O143" s="153"/>
      <c r="P143" s="153"/>
      <c r="Q143" s="153"/>
      <c r="R143" s="153"/>
      <c r="S143" s="153"/>
      <c r="T143" s="154"/>
      <c r="U143" s="159"/>
      <c r="V143" s="155" t="str">
        <f aca="false">IF(J143="","",'Pricing Details'!D133+'Pricing Details'!Q133)</f>
        <v/>
      </c>
      <c r="W143" s="155" t="str">
        <f aca="false">IF(J143="","",'Pricing Details'!V133)</f>
        <v/>
      </c>
      <c r="X143" s="156" t="str">
        <f aca="false">IF(J143="","",'Pricing Details'!X133)</f>
        <v/>
      </c>
      <c r="Y143" s="157" t="str">
        <f aca="false">'Pricing Details'!Z133</f>
        <v/>
      </c>
      <c r="Z143" s="158" t="str">
        <f aca="false">'Pricing Details'!AC133</f>
        <v/>
      </c>
      <c r="AA143" s="20"/>
      <c r="AB143" s="21" t="str">
        <f aca="false">IFERROR(_xlfn.xlookup(H143,Collection[Display],Collection[Line])&amp;_xlfn.xlookup(I143,Sleeve[Display],Sleeve[Sleeve]),"")</f>
        <v/>
      </c>
    </row>
    <row r="144" s="21" customFormat="true" ht="30" hidden="false" customHeight="true" outlineLevel="0" collapsed="false">
      <c r="A144" s="20"/>
      <c r="B144" s="90" t="n">
        <v>131</v>
      </c>
      <c r="C144" s="150"/>
      <c r="D144" s="160"/>
      <c r="E144" s="152"/>
      <c r="F144" s="152"/>
      <c r="G144" s="152"/>
      <c r="H144" s="152"/>
      <c r="I144" s="153"/>
      <c r="J144" s="152"/>
      <c r="K144" s="161"/>
      <c r="L144" s="152"/>
      <c r="M144" s="152"/>
      <c r="N144" s="152"/>
      <c r="O144" s="153"/>
      <c r="P144" s="153"/>
      <c r="Q144" s="153"/>
      <c r="R144" s="153"/>
      <c r="S144" s="153"/>
      <c r="T144" s="154"/>
      <c r="U144" s="159"/>
      <c r="V144" s="155" t="str">
        <f aca="false">IF(J144="","",'Pricing Details'!D134+'Pricing Details'!Q134)</f>
        <v/>
      </c>
      <c r="W144" s="155" t="str">
        <f aca="false">IF(J144="","",'Pricing Details'!V134)</f>
        <v/>
      </c>
      <c r="X144" s="156" t="str">
        <f aca="false">IF(J144="","",'Pricing Details'!X134)</f>
        <v/>
      </c>
      <c r="Y144" s="157" t="str">
        <f aca="false">'Pricing Details'!Z134</f>
        <v/>
      </c>
      <c r="Z144" s="158" t="str">
        <f aca="false">'Pricing Details'!AC134</f>
        <v/>
      </c>
      <c r="AA144" s="20"/>
      <c r="AB144" s="21" t="str">
        <f aca="false">IFERROR(_xlfn.xlookup(H144,Collection[Display],Collection[Line])&amp;_xlfn.xlookup(I144,Sleeve[Display],Sleeve[Sleeve]),"")</f>
        <v/>
      </c>
    </row>
    <row r="145" s="21" customFormat="true" ht="30" hidden="false" customHeight="true" outlineLevel="0" collapsed="false">
      <c r="A145" s="20"/>
      <c r="B145" s="90" t="n">
        <v>132</v>
      </c>
      <c r="C145" s="150"/>
      <c r="D145" s="160"/>
      <c r="E145" s="152"/>
      <c r="F145" s="152"/>
      <c r="G145" s="152"/>
      <c r="H145" s="152"/>
      <c r="I145" s="153"/>
      <c r="J145" s="152"/>
      <c r="K145" s="161"/>
      <c r="L145" s="152"/>
      <c r="M145" s="152"/>
      <c r="N145" s="152"/>
      <c r="O145" s="153"/>
      <c r="P145" s="153"/>
      <c r="Q145" s="153"/>
      <c r="R145" s="153"/>
      <c r="S145" s="153"/>
      <c r="T145" s="154"/>
      <c r="U145" s="159"/>
      <c r="V145" s="155" t="str">
        <f aca="false">IF(J145="","",'Pricing Details'!D135+'Pricing Details'!Q135)</f>
        <v/>
      </c>
      <c r="W145" s="155" t="str">
        <f aca="false">IF(J145="","",'Pricing Details'!V135)</f>
        <v/>
      </c>
      <c r="X145" s="156" t="str">
        <f aca="false">IF(J145="","",'Pricing Details'!X135)</f>
        <v/>
      </c>
      <c r="Y145" s="157" t="str">
        <f aca="false">'Pricing Details'!Z135</f>
        <v/>
      </c>
      <c r="Z145" s="158" t="str">
        <f aca="false">'Pricing Details'!AC135</f>
        <v/>
      </c>
      <c r="AA145" s="20"/>
      <c r="AB145" s="21" t="str">
        <f aca="false">IFERROR(_xlfn.xlookup(H145,Collection[Display],Collection[Line])&amp;_xlfn.xlookup(I145,Sleeve[Display],Sleeve[Sleeve]),"")</f>
        <v/>
      </c>
    </row>
    <row r="146" s="21" customFormat="true" ht="30" hidden="false" customHeight="true" outlineLevel="0" collapsed="false">
      <c r="A146" s="20"/>
      <c r="B146" s="90" t="n">
        <v>133</v>
      </c>
      <c r="C146" s="150"/>
      <c r="D146" s="160"/>
      <c r="E146" s="152"/>
      <c r="F146" s="152"/>
      <c r="G146" s="152"/>
      <c r="H146" s="152"/>
      <c r="I146" s="153"/>
      <c r="J146" s="152"/>
      <c r="K146" s="161"/>
      <c r="L146" s="152"/>
      <c r="M146" s="152"/>
      <c r="N146" s="152"/>
      <c r="O146" s="153"/>
      <c r="P146" s="153"/>
      <c r="Q146" s="153"/>
      <c r="R146" s="153"/>
      <c r="S146" s="153"/>
      <c r="T146" s="154"/>
      <c r="U146" s="159"/>
      <c r="V146" s="155" t="str">
        <f aca="false">IF(J146="","",'Pricing Details'!D136+'Pricing Details'!Q136)</f>
        <v/>
      </c>
      <c r="W146" s="155" t="str">
        <f aca="false">IF(J146="","",'Pricing Details'!V136)</f>
        <v/>
      </c>
      <c r="X146" s="156" t="str">
        <f aca="false">IF(J146="","",'Pricing Details'!X136)</f>
        <v/>
      </c>
      <c r="Y146" s="157" t="str">
        <f aca="false">'Pricing Details'!Z136</f>
        <v/>
      </c>
      <c r="Z146" s="158" t="str">
        <f aca="false">'Pricing Details'!AC136</f>
        <v/>
      </c>
      <c r="AA146" s="20"/>
      <c r="AB146" s="21" t="str">
        <f aca="false">IFERROR(_xlfn.xlookup(H146,Collection[Display],Collection[Line])&amp;_xlfn.xlookup(I146,Sleeve[Display],Sleeve[Sleeve]),"")</f>
        <v/>
      </c>
    </row>
    <row r="147" s="21" customFormat="true" ht="30" hidden="false" customHeight="true" outlineLevel="0" collapsed="false">
      <c r="A147" s="20"/>
      <c r="B147" s="90" t="n">
        <v>134</v>
      </c>
      <c r="C147" s="150"/>
      <c r="D147" s="160"/>
      <c r="E147" s="152"/>
      <c r="F147" s="152"/>
      <c r="G147" s="152"/>
      <c r="H147" s="152"/>
      <c r="I147" s="153"/>
      <c r="J147" s="152"/>
      <c r="K147" s="161"/>
      <c r="L147" s="152"/>
      <c r="M147" s="152"/>
      <c r="N147" s="152"/>
      <c r="O147" s="153"/>
      <c r="P147" s="153"/>
      <c r="Q147" s="153"/>
      <c r="R147" s="153"/>
      <c r="S147" s="153"/>
      <c r="T147" s="154"/>
      <c r="U147" s="159"/>
      <c r="V147" s="155" t="str">
        <f aca="false">IF(J147="","",'Pricing Details'!D137+'Pricing Details'!Q137)</f>
        <v/>
      </c>
      <c r="W147" s="155" t="str">
        <f aca="false">IF(J147="","",'Pricing Details'!V137)</f>
        <v/>
      </c>
      <c r="X147" s="156" t="str">
        <f aca="false">IF(J147="","",'Pricing Details'!X137)</f>
        <v/>
      </c>
      <c r="Y147" s="157" t="str">
        <f aca="false">'Pricing Details'!Z137</f>
        <v/>
      </c>
      <c r="Z147" s="158" t="str">
        <f aca="false">'Pricing Details'!AC137</f>
        <v/>
      </c>
      <c r="AA147" s="20"/>
      <c r="AB147" s="21" t="str">
        <f aca="false">IFERROR(_xlfn.xlookup(H147,Collection[Display],Collection[Line])&amp;_xlfn.xlookup(I147,Sleeve[Display],Sleeve[Sleeve]),"")</f>
        <v/>
      </c>
    </row>
    <row r="148" s="21" customFormat="true" ht="30" hidden="false" customHeight="true" outlineLevel="0" collapsed="false">
      <c r="A148" s="20"/>
      <c r="B148" s="90" t="n">
        <v>135</v>
      </c>
      <c r="C148" s="150"/>
      <c r="D148" s="160"/>
      <c r="E148" s="152"/>
      <c r="F148" s="152"/>
      <c r="G148" s="152"/>
      <c r="H148" s="152"/>
      <c r="I148" s="153"/>
      <c r="J148" s="152"/>
      <c r="K148" s="161"/>
      <c r="L148" s="152"/>
      <c r="M148" s="152"/>
      <c r="N148" s="152"/>
      <c r="O148" s="153"/>
      <c r="P148" s="153"/>
      <c r="Q148" s="153"/>
      <c r="R148" s="153"/>
      <c r="S148" s="153"/>
      <c r="T148" s="154"/>
      <c r="U148" s="159"/>
      <c r="V148" s="155" t="str">
        <f aca="false">IF(J148="","",'Pricing Details'!D138+'Pricing Details'!Q138)</f>
        <v/>
      </c>
      <c r="W148" s="155" t="str">
        <f aca="false">IF(J148="","",'Pricing Details'!V138)</f>
        <v/>
      </c>
      <c r="X148" s="156" t="str">
        <f aca="false">IF(J148="","",'Pricing Details'!X138)</f>
        <v/>
      </c>
      <c r="Y148" s="157" t="str">
        <f aca="false">'Pricing Details'!Z138</f>
        <v/>
      </c>
      <c r="Z148" s="158" t="str">
        <f aca="false">'Pricing Details'!AC138</f>
        <v/>
      </c>
      <c r="AA148" s="20"/>
      <c r="AB148" s="21" t="str">
        <f aca="false">IFERROR(_xlfn.xlookup(H148,Collection[Display],Collection[Line])&amp;_xlfn.xlookup(I148,Sleeve[Display],Sleeve[Sleeve]),"")</f>
        <v/>
      </c>
    </row>
    <row r="149" s="21" customFormat="true" ht="30" hidden="false" customHeight="true" outlineLevel="0" collapsed="false">
      <c r="A149" s="20"/>
      <c r="B149" s="90" t="n">
        <v>136</v>
      </c>
      <c r="C149" s="150"/>
      <c r="D149" s="160"/>
      <c r="E149" s="152"/>
      <c r="F149" s="152"/>
      <c r="G149" s="152"/>
      <c r="H149" s="152"/>
      <c r="I149" s="153"/>
      <c r="J149" s="152"/>
      <c r="K149" s="161"/>
      <c r="L149" s="152"/>
      <c r="M149" s="152"/>
      <c r="N149" s="152"/>
      <c r="O149" s="153"/>
      <c r="P149" s="153"/>
      <c r="Q149" s="153"/>
      <c r="R149" s="153"/>
      <c r="S149" s="153"/>
      <c r="T149" s="154"/>
      <c r="U149" s="159"/>
      <c r="V149" s="155" t="str">
        <f aca="false">IF(J149="","",'Pricing Details'!D139+'Pricing Details'!Q139)</f>
        <v/>
      </c>
      <c r="W149" s="155" t="str">
        <f aca="false">IF(J149="","",'Pricing Details'!V139)</f>
        <v/>
      </c>
      <c r="X149" s="156" t="str">
        <f aca="false">IF(J149="","",'Pricing Details'!X139)</f>
        <v/>
      </c>
      <c r="Y149" s="157" t="str">
        <f aca="false">'Pricing Details'!Z139</f>
        <v/>
      </c>
      <c r="Z149" s="158" t="str">
        <f aca="false">'Pricing Details'!AC139</f>
        <v/>
      </c>
      <c r="AA149" s="20"/>
      <c r="AB149" s="21" t="str">
        <f aca="false">IFERROR(_xlfn.xlookup(H149,Collection[Display],Collection[Line])&amp;_xlfn.xlookup(I149,Sleeve[Display],Sleeve[Sleeve]),"")</f>
        <v/>
      </c>
    </row>
    <row r="150" s="21" customFormat="true" ht="30" hidden="false" customHeight="true" outlineLevel="0" collapsed="false">
      <c r="A150" s="20"/>
      <c r="B150" s="90" t="n">
        <v>137</v>
      </c>
      <c r="C150" s="150"/>
      <c r="D150" s="160"/>
      <c r="E150" s="152"/>
      <c r="F150" s="152"/>
      <c r="G150" s="152"/>
      <c r="H150" s="152"/>
      <c r="I150" s="153"/>
      <c r="J150" s="152"/>
      <c r="K150" s="161"/>
      <c r="L150" s="152"/>
      <c r="M150" s="152"/>
      <c r="N150" s="152"/>
      <c r="O150" s="153"/>
      <c r="P150" s="153"/>
      <c r="Q150" s="153"/>
      <c r="R150" s="153"/>
      <c r="S150" s="153"/>
      <c r="T150" s="154"/>
      <c r="U150" s="159"/>
      <c r="V150" s="155" t="str">
        <f aca="false">IF(J150="","",'Pricing Details'!D140+'Pricing Details'!Q140)</f>
        <v/>
      </c>
      <c r="W150" s="155" t="str">
        <f aca="false">IF(J150="","",'Pricing Details'!V140)</f>
        <v/>
      </c>
      <c r="X150" s="156" t="str">
        <f aca="false">IF(J150="","",'Pricing Details'!X140)</f>
        <v/>
      </c>
      <c r="Y150" s="157" t="str">
        <f aca="false">'Pricing Details'!Z140</f>
        <v/>
      </c>
      <c r="Z150" s="158" t="str">
        <f aca="false">'Pricing Details'!AC140</f>
        <v/>
      </c>
      <c r="AA150" s="20"/>
      <c r="AB150" s="21" t="str">
        <f aca="false">IFERROR(_xlfn.xlookup(H150,Collection[Display],Collection[Line])&amp;_xlfn.xlookup(I150,Sleeve[Display],Sleeve[Sleeve]),"")</f>
        <v/>
      </c>
    </row>
    <row r="151" s="21" customFormat="true" ht="30" hidden="false" customHeight="true" outlineLevel="0" collapsed="false">
      <c r="A151" s="20"/>
      <c r="B151" s="90" t="n">
        <v>138</v>
      </c>
      <c r="C151" s="150"/>
      <c r="D151" s="160"/>
      <c r="E151" s="152"/>
      <c r="F151" s="152"/>
      <c r="G151" s="152"/>
      <c r="H151" s="152"/>
      <c r="I151" s="153"/>
      <c r="J151" s="152"/>
      <c r="K151" s="161"/>
      <c r="L151" s="152"/>
      <c r="M151" s="152"/>
      <c r="N151" s="152"/>
      <c r="O151" s="153"/>
      <c r="P151" s="153"/>
      <c r="Q151" s="153"/>
      <c r="R151" s="153"/>
      <c r="S151" s="153"/>
      <c r="T151" s="154"/>
      <c r="U151" s="159"/>
      <c r="V151" s="155" t="str">
        <f aca="false">IF(J151="","",'Pricing Details'!D141+'Pricing Details'!Q141)</f>
        <v/>
      </c>
      <c r="W151" s="155" t="str">
        <f aca="false">IF(J151="","",'Pricing Details'!V141)</f>
        <v/>
      </c>
      <c r="X151" s="156" t="str">
        <f aca="false">IF(J151="","",'Pricing Details'!X141)</f>
        <v/>
      </c>
      <c r="Y151" s="157" t="str">
        <f aca="false">'Pricing Details'!Z141</f>
        <v/>
      </c>
      <c r="Z151" s="158" t="str">
        <f aca="false">'Pricing Details'!AC141</f>
        <v/>
      </c>
      <c r="AA151" s="20"/>
      <c r="AB151" s="21" t="str">
        <f aca="false">IFERROR(_xlfn.xlookup(H151,Collection[Display],Collection[Line])&amp;_xlfn.xlookup(I151,Sleeve[Display],Sleeve[Sleeve]),"")</f>
        <v/>
      </c>
    </row>
    <row r="152" s="21" customFormat="true" ht="30" hidden="false" customHeight="true" outlineLevel="0" collapsed="false">
      <c r="A152" s="20"/>
      <c r="B152" s="90" t="n">
        <v>139</v>
      </c>
      <c r="C152" s="150"/>
      <c r="D152" s="160"/>
      <c r="E152" s="152"/>
      <c r="F152" s="152"/>
      <c r="G152" s="152"/>
      <c r="H152" s="152"/>
      <c r="I152" s="153"/>
      <c r="J152" s="152"/>
      <c r="K152" s="161"/>
      <c r="L152" s="152"/>
      <c r="M152" s="152"/>
      <c r="N152" s="152"/>
      <c r="O152" s="153"/>
      <c r="P152" s="153"/>
      <c r="Q152" s="153"/>
      <c r="R152" s="153"/>
      <c r="S152" s="153"/>
      <c r="T152" s="154"/>
      <c r="U152" s="159"/>
      <c r="V152" s="155" t="str">
        <f aca="false">IF(J152="","",'Pricing Details'!D142+'Pricing Details'!Q142)</f>
        <v/>
      </c>
      <c r="W152" s="155" t="str">
        <f aca="false">IF(J152="","",'Pricing Details'!V142)</f>
        <v/>
      </c>
      <c r="X152" s="156" t="str">
        <f aca="false">IF(J152="","",'Pricing Details'!X142)</f>
        <v/>
      </c>
      <c r="Y152" s="157" t="str">
        <f aca="false">'Pricing Details'!Z142</f>
        <v/>
      </c>
      <c r="Z152" s="158" t="str">
        <f aca="false">'Pricing Details'!AC142</f>
        <v/>
      </c>
      <c r="AA152" s="20"/>
      <c r="AB152" s="21" t="str">
        <f aca="false">IFERROR(_xlfn.xlookup(H152,Collection[Display],Collection[Line])&amp;_xlfn.xlookup(I152,Sleeve[Display],Sleeve[Sleeve]),"")</f>
        <v/>
      </c>
    </row>
    <row r="153" s="21" customFormat="true" ht="30" hidden="false" customHeight="true" outlineLevel="0" collapsed="false">
      <c r="A153" s="20"/>
      <c r="B153" s="90" t="n">
        <v>140</v>
      </c>
      <c r="C153" s="150"/>
      <c r="D153" s="160"/>
      <c r="E153" s="152"/>
      <c r="F153" s="152"/>
      <c r="G153" s="152"/>
      <c r="H153" s="152"/>
      <c r="I153" s="153"/>
      <c r="J153" s="152"/>
      <c r="K153" s="161"/>
      <c r="L153" s="152"/>
      <c r="M153" s="152"/>
      <c r="N153" s="152"/>
      <c r="O153" s="153"/>
      <c r="P153" s="153"/>
      <c r="Q153" s="153"/>
      <c r="R153" s="153"/>
      <c r="S153" s="153"/>
      <c r="T153" s="154"/>
      <c r="U153" s="159"/>
      <c r="V153" s="155" t="str">
        <f aca="false">IF(J153="","",'Pricing Details'!D143+'Pricing Details'!Q143)</f>
        <v/>
      </c>
      <c r="W153" s="155" t="str">
        <f aca="false">IF(J153="","",'Pricing Details'!V143)</f>
        <v/>
      </c>
      <c r="X153" s="156" t="str">
        <f aca="false">IF(J153="","",'Pricing Details'!X143)</f>
        <v/>
      </c>
      <c r="Y153" s="157" t="str">
        <f aca="false">'Pricing Details'!Z143</f>
        <v/>
      </c>
      <c r="Z153" s="158" t="str">
        <f aca="false">'Pricing Details'!AC143</f>
        <v/>
      </c>
      <c r="AA153" s="20"/>
      <c r="AB153" s="21" t="str">
        <f aca="false">IFERROR(_xlfn.xlookup(H153,Collection[Display],Collection[Line])&amp;_xlfn.xlookup(I153,Sleeve[Display],Sleeve[Sleeve]),"")</f>
        <v/>
      </c>
    </row>
    <row r="154" s="21" customFormat="true" ht="30" hidden="false" customHeight="true" outlineLevel="0" collapsed="false">
      <c r="A154" s="20"/>
      <c r="B154" s="90" t="n">
        <v>141</v>
      </c>
      <c r="C154" s="150"/>
      <c r="D154" s="160"/>
      <c r="E154" s="152"/>
      <c r="F154" s="152"/>
      <c r="G154" s="152"/>
      <c r="H154" s="152"/>
      <c r="I154" s="153"/>
      <c r="J154" s="152"/>
      <c r="K154" s="161"/>
      <c r="L154" s="152"/>
      <c r="M154" s="152"/>
      <c r="N154" s="152"/>
      <c r="O154" s="153"/>
      <c r="P154" s="153"/>
      <c r="Q154" s="153"/>
      <c r="R154" s="153"/>
      <c r="S154" s="153"/>
      <c r="T154" s="154"/>
      <c r="U154" s="159"/>
      <c r="V154" s="155" t="str">
        <f aca="false">IF(J154="","",'Pricing Details'!D144+'Pricing Details'!Q144)</f>
        <v/>
      </c>
      <c r="W154" s="155" t="str">
        <f aca="false">IF(J154="","",'Pricing Details'!V144)</f>
        <v/>
      </c>
      <c r="X154" s="156" t="str">
        <f aca="false">IF(J154="","",'Pricing Details'!X144)</f>
        <v/>
      </c>
      <c r="Y154" s="157" t="str">
        <f aca="false">'Pricing Details'!Z144</f>
        <v/>
      </c>
      <c r="Z154" s="158" t="str">
        <f aca="false">'Pricing Details'!AC144</f>
        <v/>
      </c>
      <c r="AA154" s="20"/>
      <c r="AB154" s="21" t="str">
        <f aca="false">IFERROR(_xlfn.xlookup(H154,Collection[Display],Collection[Line])&amp;_xlfn.xlookup(I154,Sleeve[Display],Sleeve[Sleeve]),"")</f>
        <v/>
      </c>
    </row>
    <row r="155" s="21" customFormat="true" ht="30" hidden="false" customHeight="true" outlineLevel="0" collapsed="false">
      <c r="A155" s="20"/>
      <c r="B155" s="90" t="n">
        <v>142</v>
      </c>
      <c r="C155" s="150"/>
      <c r="D155" s="160"/>
      <c r="E155" s="152"/>
      <c r="F155" s="152"/>
      <c r="G155" s="152"/>
      <c r="H155" s="152"/>
      <c r="I155" s="153"/>
      <c r="J155" s="152"/>
      <c r="K155" s="161"/>
      <c r="L155" s="152"/>
      <c r="M155" s="152"/>
      <c r="N155" s="152"/>
      <c r="O155" s="153"/>
      <c r="P155" s="153"/>
      <c r="Q155" s="153"/>
      <c r="R155" s="153"/>
      <c r="S155" s="153"/>
      <c r="T155" s="154"/>
      <c r="U155" s="159"/>
      <c r="V155" s="155" t="str">
        <f aca="false">IF(J155="","",'Pricing Details'!D145+'Pricing Details'!Q145)</f>
        <v/>
      </c>
      <c r="W155" s="155" t="str">
        <f aca="false">IF(J155="","",'Pricing Details'!V145)</f>
        <v/>
      </c>
      <c r="X155" s="156" t="str">
        <f aca="false">IF(J155="","",'Pricing Details'!X145)</f>
        <v/>
      </c>
      <c r="Y155" s="157" t="str">
        <f aca="false">'Pricing Details'!Z145</f>
        <v/>
      </c>
      <c r="Z155" s="158" t="str">
        <f aca="false">'Pricing Details'!AC145</f>
        <v/>
      </c>
      <c r="AA155" s="20"/>
      <c r="AB155" s="21" t="str">
        <f aca="false">IFERROR(_xlfn.xlookup(H155,Collection[Display],Collection[Line])&amp;_xlfn.xlookup(I155,Sleeve[Display],Sleeve[Sleeve]),"")</f>
        <v/>
      </c>
    </row>
    <row r="156" s="21" customFormat="true" ht="30" hidden="false" customHeight="true" outlineLevel="0" collapsed="false">
      <c r="A156" s="20"/>
      <c r="B156" s="90" t="n">
        <v>143</v>
      </c>
      <c r="C156" s="150"/>
      <c r="D156" s="160"/>
      <c r="E156" s="152"/>
      <c r="F156" s="152"/>
      <c r="G156" s="152"/>
      <c r="H156" s="152"/>
      <c r="I156" s="153"/>
      <c r="J156" s="152"/>
      <c r="K156" s="161"/>
      <c r="L156" s="152"/>
      <c r="M156" s="152"/>
      <c r="N156" s="152"/>
      <c r="O156" s="153"/>
      <c r="P156" s="153"/>
      <c r="Q156" s="153"/>
      <c r="R156" s="153"/>
      <c r="S156" s="153"/>
      <c r="T156" s="154"/>
      <c r="U156" s="159"/>
      <c r="V156" s="155" t="str">
        <f aca="false">IF(J156="","",'Pricing Details'!D146+'Pricing Details'!Q146)</f>
        <v/>
      </c>
      <c r="W156" s="155" t="str">
        <f aca="false">IF(J156="","",'Pricing Details'!V146)</f>
        <v/>
      </c>
      <c r="X156" s="156" t="str">
        <f aca="false">IF(J156="","",'Pricing Details'!X146)</f>
        <v/>
      </c>
      <c r="Y156" s="157" t="str">
        <f aca="false">'Pricing Details'!Z146</f>
        <v/>
      </c>
      <c r="Z156" s="158" t="str">
        <f aca="false">'Pricing Details'!AC146</f>
        <v/>
      </c>
      <c r="AA156" s="20"/>
      <c r="AB156" s="21" t="str">
        <f aca="false">IFERROR(_xlfn.xlookup(H156,Collection[Display],Collection[Line])&amp;_xlfn.xlookup(I156,Sleeve[Display],Sleeve[Sleeve]),"")</f>
        <v/>
      </c>
    </row>
    <row r="157" s="21" customFormat="true" ht="30" hidden="false" customHeight="true" outlineLevel="0" collapsed="false">
      <c r="A157" s="20"/>
      <c r="B157" s="90" t="n">
        <v>144</v>
      </c>
      <c r="C157" s="150"/>
      <c r="D157" s="160"/>
      <c r="E157" s="152"/>
      <c r="F157" s="152"/>
      <c r="G157" s="152"/>
      <c r="H157" s="152"/>
      <c r="I157" s="153"/>
      <c r="J157" s="152"/>
      <c r="K157" s="161"/>
      <c r="L157" s="152"/>
      <c r="M157" s="152"/>
      <c r="N157" s="152"/>
      <c r="O157" s="153"/>
      <c r="P157" s="153"/>
      <c r="Q157" s="153"/>
      <c r="R157" s="153"/>
      <c r="S157" s="153"/>
      <c r="T157" s="154"/>
      <c r="U157" s="159"/>
      <c r="V157" s="155" t="str">
        <f aca="false">IF(J157="","",'Pricing Details'!D147+'Pricing Details'!Q147)</f>
        <v/>
      </c>
      <c r="W157" s="155" t="str">
        <f aca="false">IF(J157="","",'Pricing Details'!V147)</f>
        <v/>
      </c>
      <c r="X157" s="156" t="str">
        <f aca="false">IF(J157="","",'Pricing Details'!X147)</f>
        <v/>
      </c>
      <c r="Y157" s="157" t="str">
        <f aca="false">'Pricing Details'!Z147</f>
        <v/>
      </c>
      <c r="Z157" s="158" t="str">
        <f aca="false">'Pricing Details'!AC147</f>
        <v/>
      </c>
      <c r="AA157" s="20"/>
      <c r="AB157" s="21" t="str">
        <f aca="false">IFERROR(_xlfn.xlookup(H157,Collection[Display],Collection[Line])&amp;_xlfn.xlookup(I157,Sleeve[Display],Sleeve[Sleeve]),"")</f>
        <v/>
      </c>
    </row>
    <row r="158" s="21" customFormat="true" ht="30" hidden="false" customHeight="true" outlineLevel="0" collapsed="false">
      <c r="A158" s="20"/>
      <c r="B158" s="90" t="n">
        <v>145</v>
      </c>
      <c r="C158" s="150"/>
      <c r="D158" s="160"/>
      <c r="E158" s="152"/>
      <c r="F158" s="152"/>
      <c r="G158" s="152"/>
      <c r="H158" s="152"/>
      <c r="I158" s="153"/>
      <c r="J158" s="152"/>
      <c r="K158" s="161"/>
      <c r="L158" s="152"/>
      <c r="M158" s="152"/>
      <c r="N158" s="152"/>
      <c r="O158" s="153"/>
      <c r="P158" s="153"/>
      <c r="Q158" s="153"/>
      <c r="R158" s="153"/>
      <c r="S158" s="153"/>
      <c r="T158" s="154"/>
      <c r="U158" s="159"/>
      <c r="V158" s="155" t="str">
        <f aca="false">IF(J158="","",'Pricing Details'!D148+'Pricing Details'!Q148)</f>
        <v/>
      </c>
      <c r="W158" s="155" t="str">
        <f aca="false">IF(J158="","",'Pricing Details'!V148)</f>
        <v/>
      </c>
      <c r="X158" s="156" t="str">
        <f aca="false">IF(J158="","",'Pricing Details'!X148)</f>
        <v/>
      </c>
      <c r="Y158" s="157" t="str">
        <f aca="false">'Pricing Details'!Z148</f>
        <v/>
      </c>
      <c r="Z158" s="158" t="str">
        <f aca="false">'Pricing Details'!AC148</f>
        <v/>
      </c>
      <c r="AA158" s="20"/>
      <c r="AB158" s="21" t="str">
        <f aca="false">IFERROR(_xlfn.xlookup(H158,Collection[Display],Collection[Line])&amp;_xlfn.xlookup(I158,Sleeve[Display],Sleeve[Sleeve]),"")</f>
        <v/>
      </c>
    </row>
    <row r="159" s="21" customFormat="true" ht="30" hidden="false" customHeight="true" outlineLevel="0" collapsed="false">
      <c r="A159" s="20"/>
      <c r="B159" s="90" t="n">
        <v>146</v>
      </c>
      <c r="C159" s="150"/>
      <c r="D159" s="160"/>
      <c r="E159" s="152"/>
      <c r="F159" s="152"/>
      <c r="G159" s="152"/>
      <c r="H159" s="152"/>
      <c r="I159" s="153"/>
      <c r="J159" s="152"/>
      <c r="K159" s="161"/>
      <c r="L159" s="152"/>
      <c r="M159" s="152"/>
      <c r="N159" s="152"/>
      <c r="O159" s="153"/>
      <c r="P159" s="153"/>
      <c r="Q159" s="153"/>
      <c r="R159" s="153"/>
      <c r="S159" s="153"/>
      <c r="T159" s="154"/>
      <c r="U159" s="159"/>
      <c r="V159" s="155" t="str">
        <f aca="false">IF(J159="","",'Pricing Details'!D149+'Pricing Details'!Q149)</f>
        <v/>
      </c>
      <c r="W159" s="155" t="str">
        <f aca="false">IF(J159="","",'Pricing Details'!V149)</f>
        <v/>
      </c>
      <c r="X159" s="156" t="str">
        <f aca="false">IF(J159="","",'Pricing Details'!X149)</f>
        <v/>
      </c>
      <c r="Y159" s="157" t="str">
        <f aca="false">'Pricing Details'!Z149</f>
        <v/>
      </c>
      <c r="Z159" s="158" t="str">
        <f aca="false">'Pricing Details'!AC149</f>
        <v/>
      </c>
      <c r="AA159" s="20"/>
      <c r="AB159" s="21" t="str">
        <f aca="false">IFERROR(_xlfn.xlookup(H159,Collection[Display],Collection[Line])&amp;_xlfn.xlookup(I159,Sleeve[Display],Sleeve[Sleeve]),"")</f>
        <v/>
      </c>
    </row>
    <row r="160" s="21" customFormat="true" ht="30" hidden="false" customHeight="true" outlineLevel="0" collapsed="false">
      <c r="A160" s="20"/>
      <c r="B160" s="90" t="n">
        <v>147</v>
      </c>
      <c r="C160" s="150"/>
      <c r="D160" s="160"/>
      <c r="E160" s="152"/>
      <c r="F160" s="152"/>
      <c r="G160" s="152"/>
      <c r="H160" s="152"/>
      <c r="I160" s="153"/>
      <c r="J160" s="152"/>
      <c r="K160" s="161"/>
      <c r="L160" s="152"/>
      <c r="M160" s="152"/>
      <c r="N160" s="152"/>
      <c r="O160" s="153"/>
      <c r="P160" s="153"/>
      <c r="Q160" s="153"/>
      <c r="R160" s="153"/>
      <c r="S160" s="153"/>
      <c r="T160" s="154"/>
      <c r="U160" s="159"/>
      <c r="V160" s="155" t="str">
        <f aca="false">IF(J160="","",'Pricing Details'!D150+'Pricing Details'!Q150)</f>
        <v/>
      </c>
      <c r="W160" s="155" t="str">
        <f aca="false">IF(J160="","",'Pricing Details'!V150)</f>
        <v/>
      </c>
      <c r="X160" s="156" t="str">
        <f aca="false">IF(J160="","",'Pricing Details'!X150)</f>
        <v/>
      </c>
      <c r="Y160" s="157" t="str">
        <f aca="false">'Pricing Details'!Z150</f>
        <v/>
      </c>
      <c r="Z160" s="158" t="str">
        <f aca="false">'Pricing Details'!AC150</f>
        <v/>
      </c>
      <c r="AA160" s="20"/>
      <c r="AB160" s="21" t="str">
        <f aca="false">IFERROR(_xlfn.xlookup(H160,Collection[Display],Collection[Line])&amp;_xlfn.xlookup(I160,Sleeve[Display],Sleeve[Sleeve]),"")</f>
        <v/>
      </c>
    </row>
    <row r="161" s="21" customFormat="true" ht="30" hidden="false" customHeight="true" outlineLevel="0" collapsed="false">
      <c r="A161" s="20"/>
      <c r="B161" s="90" t="n">
        <v>148</v>
      </c>
      <c r="C161" s="150"/>
      <c r="D161" s="160"/>
      <c r="E161" s="152"/>
      <c r="F161" s="152"/>
      <c r="G161" s="152"/>
      <c r="H161" s="152"/>
      <c r="I161" s="153"/>
      <c r="J161" s="152"/>
      <c r="K161" s="161"/>
      <c r="L161" s="152"/>
      <c r="M161" s="152"/>
      <c r="N161" s="152"/>
      <c r="O161" s="153"/>
      <c r="P161" s="153"/>
      <c r="Q161" s="153"/>
      <c r="R161" s="153"/>
      <c r="S161" s="153"/>
      <c r="T161" s="154"/>
      <c r="U161" s="159"/>
      <c r="V161" s="155" t="str">
        <f aca="false">IF(J161="","",'Pricing Details'!D151+'Pricing Details'!Q151)</f>
        <v/>
      </c>
      <c r="W161" s="155" t="str">
        <f aca="false">IF(J161="","",'Pricing Details'!V151)</f>
        <v/>
      </c>
      <c r="X161" s="156" t="str">
        <f aca="false">IF(J161="","",'Pricing Details'!X151)</f>
        <v/>
      </c>
      <c r="Y161" s="157" t="str">
        <f aca="false">'Pricing Details'!Z151</f>
        <v/>
      </c>
      <c r="Z161" s="158" t="str">
        <f aca="false">'Pricing Details'!AC151</f>
        <v/>
      </c>
      <c r="AA161" s="20"/>
      <c r="AB161" s="21" t="str">
        <f aca="false">IFERROR(_xlfn.xlookup(H161,Collection[Display],Collection[Line])&amp;_xlfn.xlookup(I161,Sleeve[Display],Sleeve[Sleeve]),"")</f>
        <v/>
      </c>
    </row>
    <row r="162" s="21" customFormat="true" ht="30" hidden="false" customHeight="true" outlineLevel="0" collapsed="false">
      <c r="A162" s="20"/>
      <c r="B162" s="90" t="n">
        <v>149</v>
      </c>
      <c r="C162" s="150"/>
      <c r="D162" s="160"/>
      <c r="E162" s="152"/>
      <c r="F162" s="152"/>
      <c r="G162" s="152"/>
      <c r="H162" s="152"/>
      <c r="I162" s="153"/>
      <c r="J162" s="152"/>
      <c r="K162" s="161"/>
      <c r="L162" s="152"/>
      <c r="M162" s="152"/>
      <c r="N162" s="152"/>
      <c r="O162" s="153"/>
      <c r="P162" s="153"/>
      <c r="Q162" s="153"/>
      <c r="R162" s="153"/>
      <c r="S162" s="153"/>
      <c r="T162" s="154"/>
      <c r="U162" s="159"/>
      <c r="V162" s="155" t="str">
        <f aca="false">IF(J162="","",'Pricing Details'!D152+'Pricing Details'!Q152)</f>
        <v/>
      </c>
      <c r="W162" s="155" t="str">
        <f aca="false">IF(J162="","",'Pricing Details'!V152)</f>
        <v/>
      </c>
      <c r="X162" s="156" t="str">
        <f aca="false">IF(J162="","",'Pricing Details'!X152)</f>
        <v/>
      </c>
      <c r="Y162" s="157" t="str">
        <f aca="false">'Pricing Details'!Z152</f>
        <v/>
      </c>
      <c r="Z162" s="158" t="str">
        <f aca="false">'Pricing Details'!AC152</f>
        <v/>
      </c>
      <c r="AA162" s="20"/>
      <c r="AB162" s="21" t="str">
        <f aca="false">IFERROR(_xlfn.xlookup(H162,Collection[Display],Collection[Line])&amp;_xlfn.xlookup(I162,Sleeve[Display],Sleeve[Sleeve]),"")</f>
        <v/>
      </c>
    </row>
    <row r="163" s="21" customFormat="true" ht="30" hidden="false" customHeight="true" outlineLevel="0" collapsed="false">
      <c r="A163" s="20"/>
      <c r="B163" s="90" t="n">
        <v>150</v>
      </c>
      <c r="C163" s="150"/>
      <c r="D163" s="160"/>
      <c r="E163" s="152"/>
      <c r="F163" s="152"/>
      <c r="G163" s="152"/>
      <c r="H163" s="152"/>
      <c r="I163" s="153"/>
      <c r="J163" s="152"/>
      <c r="K163" s="161"/>
      <c r="L163" s="152"/>
      <c r="M163" s="152"/>
      <c r="N163" s="152"/>
      <c r="O163" s="153"/>
      <c r="P163" s="153"/>
      <c r="Q163" s="153"/>
      <c r="R163" s="153"/>
      <c r="S163" s="153"/>
      <c r="T163" s="154"/>
      <c r="U163" s="159"/>
      <c r="V163" s="155" t="str">
        <f aca="false">IF(J163="","",'Pricing Details'!D153+'Pricing Details'!Q153)</f>
        <v/>
      </c>
      <c r="W163" s="155" t="str">
        <f aca="false">IF(J163="","",'Pricing Details'!V153)</f>
        <v/>
      </c>
      <c r="X163" s="156" t="str">
        <f aca="false">IF(J163="","",'Pricing Details'!X153)</f>
        <v/>
      </c>
      <c r="Y163" s="157" t="str">
        <f aca="false">'Pricing Details'!Z153</f>
        <v/>
      </c>
      <c r="Z163" s="158" t="str">
        <f aca="false">'Pricing Details'!AC153</f>
        <v/>
      </c>
      <c r="AA163" s="20"/>
      <c r="AB163" s="21" t="str">
        <f aca="false">IFERROR(_xlfn.xlookup(H163,Collection[Display],Collection[Line])&amp;_xlfn.xlookup(I163,Sleeve[Display],Sleeve[Sleeve]),"")</f>
        <v/>
      </c>
    </row>
    <row r="164" s="21" customFormat="true" ht="30" hidden="false" customHeight="true" outlineLevel="0" collapsed="false">
      <c r="A164" s="20"/>
      <c r="B164" s="90" t="n">
        <v>151</v>
      </c>
      <c r="C164" s="150"/>
      <c r="D164" s="160"/>
      <c r="E164" s="152"/>
      <c r="F164" s="152"/>
      <c r="G164" s="152"/>
      <c r="H164" s="152"/>
      <c r="I164" s="153"/>
      <c r="J164" s="152"/>
      <c r="K164" s="161"/>
      <c r="L164" s="152"/>
      <c r="M164" s="152"/>
      <c r="N164" s="152"/>
      <c r="O164" s="153"/>
      <c r="P164" s="153"/>
      <c r="Q164" s="153"/>
      <c r="R164" s="153"/>
      <c r="S164" s="153"/>
      <c r="T164" s="154"/>
      <c r="U164" s="159"/>
      <c r="V164" s="155" t="str">
        <f aca="false">IF(J164="","",'Pricing Details'!D154+'Pricing Details'!Q154)</f>
        <v/>
      </c>
      <c r="W164" s="155" t="str">
        <f aca="false">IF(J164="","",'Pricing Details'!V154)</f>
        <v/>
      </c>
      <c r="X164" s="156" t="str">
        <f aca="false">IF(J164="","",'Pricing Details'!X154)</f>
        <v/>
      </c>
      <c r="Y164" s="157" t="str">
        <f aca="false">'Pricing Details'!Z154</f>
        <v/>
      </c>
      <c r="Z164" s="158" t="str">
        <f aca="false">'Pricing Details'!AC154</f>
        <v/>
      </c>
      <c r="AA164" s="20"/>
      <c r="AB164" s="21" t="str">
        <f aca="false">IFERROR(_xlfn.xlookup(H164,Collection[Display],Collection[Line])&amp;_xlfn.xlookup(I164,Sleeve[Display],Sleeve[Sleeve]),"")</f>
        <v/>
      </c>
    </row>
    <row r="165" s="21" customFormat="true" ht="30" hidden="false" customHeight="true" outlineLevel="0" collapsed="false">
      <c r="A165" s="20"/>
      <c r="B165" s="90" t="n">
        <v>152</v>
      </c>
      <c r="C165" s="150"/>
      <c r="D165" s="160"/>
      <c r="E165" s="152"/>
      <c r="F165" s="152"/>
      <c r="G165" s="152"/>
      <c r="H165" s="152"/>
      <c r="I165" s="153"/>
      <c r="J165" s="152"/>
      <c r="K165" s="161"/>
      <c r="L165" s="152"/>
      <c r="M165" s="152"/>
      <c r="N165" s="152"/>
      <c r="O165" s="153"/>
      <c r="P165" s="153"/>
      <c r="Q165" s="153"/>
      <c r="R165" s="153"/>
      <c r="S165" s="153"/>
      <c r="T165" s="154"/>
      <c r="U165" s="159"/>
      <c r="V165" s="155" t="str">
        <f aca="false">IF(J165="","",'Pricing Details'!D155+'Pricing Details'!Q155)</f>
        <v/>
      </c>
      <c r="W165" s="155" t="str">
        <f aca="false">IF(J165="","",'Pricing Details'!V155)</f>
        <v/>
      </c>
      <c r="X165" s="156" t="str">
        <f aca="false">IF(J165="","",'Pricing Details'!X155)</f>
        <v/>
      </c>
      <c r="Y165" s="157" t="str">
        <f aca="false">'Pricing Details'!Z155</f>
        <v/>
      </c>
      <c r="Z165" s="158" t="str">
        <f aca="false">'Pricing Details'!AC155</f>
        <v/>
      </c>
      <c r="AA165" s="20"/>
      <c r="AB165" s="21" t="str">
        <f aca="false">IFERROR(_xlfn.xlookup(H165,Collection[Display],Collection[Line])&amp;_xlfn.xlookup(I165,Sleeve[Display],Sleeve[Sleeve]),"")</f>
        <v/>
      </c>
    </row>
    <row r="166" s="21" customFormat="true" ht="30" hidden="false" customHeight="true" outlineLevel="0" collapsed="false">
      <c r="A166" s="20"/>
      <c r="B166" s="90" t="n">
        <v>153</v>
      </c>
      <c r="C166" s="150"/>
      <c r="D166" s="160"/>
      <c r="E166" s="152"/>
      <c r="F166" s="152"/>
      <c r="G166" s="152"/>
      <c r="H166" s="152"/>
      <c r="I166" s="153"/>
      <c r="J166" s="152"/>
      <c r="K166" s="161"/>
      <c r="L166" s="152"/>
      <c r="M166" s="152"/>
      <c r="N166" s="152"/>
      <c r="O166" s="153"/>
      <c r="P166" s="153"/>
      <c r="Q166" s="153"/>
      <c r="R166" s="153"/>
      <c r="S166" s="153"/>
      <c r="T166" s="154"/>
      <c r="U166" s="159"/>
      <c r="V166" s="155" t="str">
        <f aca="false">IF(J166="","",'Pricing Details'!D156+'Pricing Details'!Q156)</f>
        <v/>
      </c>
      <c r="W166" s="155" t="str">
        <f aca="false">IF(J166="","",'Pricing Details'!V156)</f>
        <v/>
      </c>
      <c r="X166" s="156" t="str">
        <f aca="false">IF(J166="","",'Pricing Details'!X156)</f>
        <v/>
      </c>
      <c r="Y166" s="157" t="str">
        <f aca="false">'Pricing Details'!Z156</f>
        <v/>
      </c>
      <c r="Z166" s="158" t="str">
        <f aca="false">'Pricing Details'!AC156</f>
        <v/>
      </c>
      <c r="AA166" s="20"/>
      <c r="AB166" s="21" t="str">
        <f aca="false">IFERROR(_xlfn.xlookup(H166,Collection[Display],Collection[Line])&amp;_xlfn.xlookup(I166,Sleeve[Display],Sleeve[Sleeve]),"")</f>
        <v/>
      </c>
    </row>
    <row r="167" s="21" customFormat="true" ht="30" hidden="false" customHeight="true" outlineLevel="0" collapsed="false">
      <c r="A167" s="20"/>
      <c r="B167" s="90" t="n">
        <v>154</v>
      </c>
      <c r="C167" s="150"/>
      <c r="D167" s="160"/>
      <c r="E167" s="152"/>
      <c r="F167" s="152"/>
      <c r="G167" s="152"/>
      <c r="H167" s="152"/>
      <c r="I167" s="153"/>
      <c r="J167" s="152"/>
      <c r="K167" s="161"/>
      <c r="L167" s="152"/>
      <c r="M167" s="152"/>
      <c r="N167" s="152"/>
      <c r="O167" s="153"/>
      <c r="P167" s="153"/>
      <c r="Q167" s="153"/>
      <c r="R167" s="153"/>
      <c r="S167" s="153"/>
      <c r="T167" s="154"/>
      <c r="U167" s="159"/>
      <c r="V167" s="155" t="str">
        <f aca="false">IF(J167="","",'Pricing Details'!D157+'Pricing Details'!Q157)</f>
        <v/>
      </c>
      <c r="W167" s="155" t="str">
        <f aca="false">IF(J167="","",'Pricing Details'!V157)</f>
        <v/>
      </c>
      <c r="X167" s="156" t="str">
        <f aca="false">IF(J167="","",'Pricing Details'!X157)</f>
        <v/>
      </c>
      <c r="Y167" s="157" t="str">
        <f aca="false">'Pricing Details'!Z157</f>
        <v/>
      </c>
      <c r="Z167" s="158" t="str">
        <f aca="false">'Pricing Details'!AC157</f>
        <v/>
      </c>
      <c r="AA167" s="20"/>
      <c r="AB167" s="21" t="str">
        <f aca="false">IFERROR(_xlfn.xlookup(H167,Collection[Display],Collection[Line])&amp;_xlfn.xlookup(I167,Sleeve[Display],Sleeve[Sleeve]),"")</f>
        <v/>
      </c>
    </row>
    <row r="168" s="21" customFormat="true" ht="30" hidden="false" customHeight="true" outlineLevel="0" collapsed="false">
      <c r="A168" s="20"/>
      <c r="B168" s="90" t="n">
        <v>155</v>
      </c>
      <c r="C168" s="150"/>
      <c r="D168" s="160"/>
      <c r="E168" s="152"/>
      <c r="F168" s="152"/>
      <c r="G168" s="152"/>
      <c r="H168" s="152"/>
      <c r="I168" s="153"/>
      <c r="J168" s="152"/>
      <c r="K168" s="161"/>
      <c r="L168" s="152"/>
      <c r="M168" s="152"/>
      <c r="N168" s="152"/>
      <c r="O168" s="153"/>
      <c r="P168" s="153"/>
      <c r="Q168" s="153"/>
      <c r="R168" s="153"/>
      <c r="S168" s="153"/>
      <c r="T168" s="154"/>
      <c r="U168" s="159"/>
      <c r="V168" s="155" t="str">
        <f aca="false">IF(J168="","",'Pricing Details'!D158+'Pricing Details'!Q158)</f>
        <v/>
      </c>
      <c r="W168" s="155" t="str">
        <f aca="false">IF(J168="","",'Pricing Details'!V158)</f>
        <v/>
      </c>
      <c r="X168" s="156" t="str">
        <f aca="false">IF(J168="","",'Pricing Details'!X158)</f>
        <v/>
      </c>
      <c r="Y168" s="157" t="str">
        <f aca="false">'Pricing Details'!Z158</f>
        <v/>
      </c>
      <c r="Z168" s="158" t="str">
        <f aca="false">'Pricing Details'!AC158</f>
        <v/>
      </c>
      <c r="AA168" s="20"/>
      <c r="AB168" s="21" t="str">
        <f aca="false">IFERROR(_xlfn.xlookup(H168,Collection[Display],Collection[Line])&amp;_xlfn.xlookup(I168,Sleeve[Display],Sleeve[Sleeve]),"")</f>
        <v/>
      </c>
    </row>
    <row r="169" s="21" customFormat="true" ht="30" hidden="false" customHeight="true" outlineLevel="0" collapsed="false">
      <c r="A169" s="20"/>
      <c r="B169" s="90" t="n">
        <v>156</v>
      </c>
      <c r="C169" s="150"/>
      <c r="D169" s="160"/>
      <c r="E169" s="152"/>
      <c r="F169" s="152"/>
      <c r="G169" s="152"/>
      <c r="H169" s="152"/>
      <c r="I169" s="153"/>
      <c r="J169" s="152"/>
      <c r="K169" s="161"/>
      <c r="L169" s="152"/>
      <c r="M169" s="152"/>
      <c r="N169" s="152"/>
      <c r="O169" s="153"/>
      <c r="P169" s="153"/>
      <c r="Q169" s="153"/>
      <c r="R169" s="153"/>
      <c r="S169" s="153"/>
      <c r="T169" s="154"/>
      <c r="U169" s="159"/>
      <c r="V169" s="155" t="str">
        <f aca="false">IF(J169="","",'Pricing Details'!D159+'Pricing Details'!Q159)</f>
        <v/>
      </c>
      <c r="W169" s="155" t="str">
        <f aca="false">IF(J169="","",'Pricing Details'!V159)</f>
        <v/>
      </c>
      <c r="X169" s="156" t="str">
        <f aca="false">IF(J169="","",'Pricing Details'!X159)</f>
        <v/>
      </c>
      <c r="Y169" s="157" t="str">
        <f aca="false">'Pricing Details'!Z159</f>
        <v/>
      </c>
      <c r="Z169" s="158" t="str">
        <f aca="false">'Pricing Details'!AC159</f>
        <v/>
      </c>
      <c r="AA169" s="20"/>
      <c r="AB169" s="21" t="str">
        <f aca="false">IFERROR(_xlfn.xlookup(H169,Collection[Display],Collection[Line])&amp;_xlfn.xlookup(I169,Sleeve[Display],Sleeve[Sleeve]),"")</f>
        <v/>
      </c>
    </row>
    <row r="170" s="21" customFormat="true" ht="30" hidden="false" customHeight="true" outlineLevel="0" collapsed="false">
      <c r="A170" s="20"/>
      <c r="B170" s="90" t="n">
        <v>157</v>
      </c>
      <c r="C170" s="150"/>
      <c r="D170" s="160"/>
      <c r="E170" s="152"/>
      <c r="F170" s="152"/>
      <c r="G170" s="152"/>
      <c r="H170" s="152"/>
      <c r="I170" s="153"/>
      <c r="J170" s="152"/>
      <c r="K170" s="161"/>
      <c r="L170" s="152"/>
      <c r="M170" s="152"/>
      <c r="N170" s="152"/>
      <c r="O170" s="153"/>
      <c r="P170" s="153"/>
      <c r="Q170" s="153"/>
      <c r="R170" s="153"/>
      <c r="S170" s="153"/>
      <c r="T170" s="154"/>
      <c r="U170" s="159"/>
      <c r="V170" s="155" t="str">
        <f aca="false">IF(J170="","",'Pricing Details'!D160+'Pricing Details'!Q160)</f>
        <v/>
      </c>
      <c r="W170" s="155" t="str">
        <f aca="false">IF(J170="","",'Pricing Details'!V160)</f>
        <v/>
      </c>
      <c r="X170" s="156" t="str">
        <f aca="false">IF(J170="","",'Pricing Details'!X160)</f>
        <v/>
      </c>
      <c r="Y170" s="157" t="str">
        <f aca="false">'Pricing Details'!Z160</f>
        <v/>
      </c>
      <c r="Z170" s="158" t="str">
        <f aca="false">'Pricing Details'!AC160</f>
        <v/>
      </c>
      <c r="AA170" s="20"/>
      <c r="AB170" s="21" t="str">
        <f aca="false">IFERROR(_xlfn.xlookup(H170,Collection[Display],Collection[Line])&amp;_xlfn.xlookup(I170,Sleeve[Display],Sleeve[Sleeve]),"")</f>
        <v/>
      </c>
    </row>
    <row r="171" s="21" customFormat="true" ht="30" hidden="false" customHeight="true" outlineLevel="0" collapsed="false">
      <c r="A171" s="20"/>
      <c r="B171" s="90" t="n">
        <v>158</v>
      </c>
      <c r="C171" s="150"/>
      <c r="D171" s="160"/>
      <c r="E171" s="152"/>
      <c r="F171" s="152"/>
      <c r="G171" s="152"/>
      <c r="H171" s="152"/>
      <c r="I171" s="153"/>
      <c r="J171" s="152"/>
      <c r="K171" s="161"/>
      <c r="L171" s="152"/>
      <c r="M171" s="152"/>
      <c r="N171" s="152"/>
      <c r="O171" s="153"/>
      <c r="P171" s="153"/>
      <c r="Q171" s="153"/>
      <c r="R171" s="153"/>
      <c r="S171" s="153"/>
      <c r="T171" s="154"/>
      <c r="U171" s="159"/>
      <c r="V171" s="155" t="str">
        <f aca="false">IF(J171="","",'Pricing Details'!D161+'Pricing Details'!Q161)</f>
        <v/>
      </c>
      <c r="W171" s="155" t="str">
        <f aca="false">IF(J171="","",'Pricing Details'!V161)</f>
        <v/>
      </c>
      <c r="X171" s="156" t="str">
        <f aca="false">IF(J171="","",'Pricing Details'!X161)</f>
        <v/>
      </c>
      <c r="Y171" s="157" t="str">
        <f aca="false">'Pricing Details'!Z161</f>
        <v/>
      </c>
      <c r="Z171" s="158" t="str">
        <f aca="false">'Pricing Details'!AC161</f>
        <v/>
      </c>
      <c r="AA171" s="20"/>
      <c r="AB171" s="21" t="str">
        <f aca="false">IFERROR(_xlfn.xlookup(H171,Collection[Display],Collection[Line])&amp;_xlfn.xlookup(I171,Sleeve[Display],Sleeve[Sleeve]),"")</f>
        <v/>
      </c>
    </row>
    <row r="172" s="21" customFormat="true" ht="30" hidden="false" customHeight="true" outlineLevel="0" collapsed="false">
      <c r="A172" s="20"/>
      <c r="B172" s="90" t="n">
        <v>159</v>
      </c>
      <c r="C172" s="150"/>
      <c r="D172" s="160"/>
      <c r="E172" s="152"/>
      <c r="F172" s="152"/>
      <c r="G172" s="152"/>
      <c r="H172" s="152"/>
      <c r="I172" s="153"/>
      <c r="J172" s="152"/>
      <c r="K172" s="161"/>
      <c r="L172" s="152"/>
      <c r="M172" s="152"/>
      <c r="N172" s="152"/>
      <c r="O172" s="153"/>
      <c r="P172" s="153"/>
      <c r="Q172" s="153"/>
      <c r="R172" s="153"/>
      <c r="S172" s="153"/>
      <c r="T172" s="154"/>
      <c r="U172" s="159"/>
      <c r="V172" s="155" t="str">
        <f aca="false">IF(J172="","",'Pricing Details'!D162+'Pricing Details'!Q162)</f>
        <v/>
      </c>
      <c r="W172" s="155" t="str">
        <f aca="false">IF(J172="","",'Pricing Details'!V162)</f>
        <v/>
      </c>
      <c r="X172" s="156" t="str">
        <f aca="false">IF(J172="","",'Pricing Details'!X162)</f>
        <v/>
      </c>
      <c r="Y172" s="157" t="str">
        <f aca="false">'Pricing Details'!Z162</f>
        <v/>
      </c>
      <c r="Z172" s="158" t="str">
        <f aca="false">'Pricing Details'!AC162</f>
        <v/>
      </c>
      <c r="AA172" s="20"/>
      <c r="AB172" s="21" t="str">
        <f aca="false">IFERROR(_xlfn.xlookup(H172,Collection[Display],Collection[Line])&amp;_xlfn.xlookup(I172,Sleeve[Display],Sleeve[Sleeve]),"")</f>
        <v/>
      </c>
    </row>
    <row r="173" s="21" customFormat="true" ht="30" hidden="false" customHeight="true" outlineLevel="0" collapsed="false">
      <c r="A173" s="20"/>
      <c r="B173" s="90" t="n">
        <v>160</v>
      </c>
      <c r="C173" s="150"/>
      <c r="D173" s="160"/>
      <c r="E173" s="152"/>
      <c r="F173" s="152"/>
      <c r="G173" s="152"/>
      <c r="H173" s="152"/>
      <c r="I173" s="153"/>
      <c r="J173" s="152"/>
      <c r="K173" s="161"/>
      <c r="L173" s="152"/>
      <c r="M173" s="152"/>
      <c r="N173" s="152"/>
      <c r="O173" s="153"/>
      <c r="P173" s="153"/>
      <c r="Q173" s="153"/>
      <c r="R173" s="153"/>
      <c r="S173" s="153"/>
      <c r="T173" s="154"/>
      <c r="U173" s="159"/>
      <c r="V173" s="155" t="str">
        <f aca="false">IF(J173="","",'Pricing Details'!D163+'Pricing Details'!Q163)</f>
        <v/>
      </c>
      <c r="W173" s="155" t="str">
        <f aca="false">IF(J173="","",'Pricing Details'!V163)</f>
        <v/>
      </c>
      <c r="X173" s="156" t="str">
        <f aca="false">IF(J173="","",'Pricing Details'!X163)</f>
        <v/>
      </c>
      <c r="Y173" s="157" t="str">
        <f aca="false">'Pricing Details'!Z163</f>
        <v/>
      </c>
      <c r="Z173" s="158" t="str">
        <f aca="false">'Pricing Details'!AC163</f>
        <v/>
      </c>
      <c r="AA173" s="20"/>
      <c r="AB173" s="21" t="str">
        <f aca="false">IFERROR(_xlfn.xlookup(H173,Collection[Display],Collection[Line])&amp;_xlfn.xlookup(I173,Sleeve[Display],Sleeve[Sleeve]),"")</f>
        <v/>
      </c>
    </row>
    <row r="174" s="21" customFormat="true" ht="30" hidden="false" customHeight="true" outlineLevel="0" collapsed="false">
      <c r="A174" s="20"/>
      <c r="B174" s="90" t="n">
        <v>161</v>
      </c>
      <c r="C174" s="150"/>
      <c r="D174" s="160"/>
      <c r="E174" s="152"/>
      <c r="F174" s="152"/>
      <c r="G174" s="152"/>
      <c r="H174" s="152"/>
      <c r="I174" s="153"/>
      <c r="J174" s="152"/>
      <c r="K174" s="161"/>
      <c r="L174" s="152"/>
      <c r="M174" s="152"/>
      <c r="N174" s="152"/>
      <c r="O174" s="153"/>
      <c r="P174" s="153"/>
      <c r="Q174" s="153"/>
      <c r="R174" s="153"/>
      <c r="S174" s="153"/>
      <c r="T174" s="154"/>
      <c r="U174" s="159"/>
      <c r="V174" s="155" t="str">
        <f aca="false">IF(J174="","",'Pricing Details'!D164+'Pricing Details'!Q164)</f>
        <v/>
      </c>
      <c r="W174" s="155" t="str">
        <f aca="false">IF(J174="","",'Pricing Details'!V164)</f>
        <v/>
      </c>
      <c r="X174" s="156" t="str">
        <f aca="false">IF(J174="","",'Pricing Details'!X164)</f>
        <v/>
      </c>
      <c r="Y174" s="157" t="str">
        <f aca="false">'Pricing Details'!Z164</f>
        <v/>
      </c>
      <c r="Z174" s="158" t="str">
        <f aca="false">'Pricing Details'!AC164</f>
        <v/>
      </c>
      <c r="AA174" s="20"/>
      <c r="AB174" s="21" t="str">
        <f aca="false">IFERROR(_xlfn.xlookup(H174,Collection[Display],Collection[Line])&amp;_xlfn.xlookup(I174,Sleeve[Display],Sleeve[Sleeve]),"")</f>
        <v/>
      </c>
    </row>
    <row r="175" s="21" customFormat="true" ht="30" hidden="false" customHeight="true" outlineLevel="0" collapsed="false">
      <c r="A175" s="20"/>
      <c r="B175" s="90" t="n">
        <v>162</v>
      </c>
      <c r="C175" s="150"/>
      <c r="D175" s="160"/>
      <c r="E175" s="152"/>
      <c r="F175" s="152"/>
      <c r="G175" s="152"/>
      <c r="H175" s="152"/>
      <c r="I175" s="153"/>
      <c r="J175" s="152"/>
      <c r="K175" s="161"/>
      <c r="L175" s="152"/>
      <c r="M175" s="152"/>
      <c r="N175" s="152"/>
      <c r="O175" s="153"/>
      <c r="P175" s="153"/>
      <c r="Q175" s="153"/>
      <c r="R175" s="153"/>
      <c r="S175" s="153"/>
      <c r="T175" s="154"/>
      <c r="U175" s="159"/>
      <c r="V175" s="155" t="str">
        <f aca="false">IF(J175="","",'Pricing Details'!D165+'Pricing Details'!Q165)</f>
        <v/>
      </c>
      <c r="W175" s="155" t="str">
        <f aca="false">IF(J175="","",'Pricing Details'!V165)</f>
        <v/>
      </c>
      <c r="X175" s="156" t="str">
        <f aca="false">IF(J175="","",'Pricing Details'!X165)</f>
        <v/>
      </c>
      <c r="Y175" s="157" t="str">
        <f aca="false">'Pricing Details'!Z165</f>
        <v/>
      </c>
      <c r="Z175" s="158" t="str">
        <f aca="false">'Pricing Details'!AC165</f>
        <v/>
      </c>
      <c r="AA175" s="20"/>
      <c r="AB175" s="21" t="str">
        <f aca="false">IFERROR(_xlfn.xlookup(H175,Collection[Display],Collection[Line])&amp;_xlfn.xlookup(I175,Sleeve[Display],Sleeve[Sleeve]),"")</f>
        <v/>
      </c>
    </row>
    <row r="176" s="21" customFormat="true" ht="30" hidden="false" customHeight="true" outlineLevel="0" collapsed="false">
      <c r="A176" s="20"/>
      <c r="B176" s="90" t="n">
        <v>163</v>
      </c>
      <c r="C176" s="150"/>
      <c r="D176" s="160"/>
      <c r="E176" s="152"/>
      <c r="F176" s="152"/>
      <c r="G176" s="152"/>
      <c r="H176" s="152"/>
      <c r="I176" s="153"/>
      <c r="J176" s="152"/>
      <c r="K176" s="161"/>
      <c r="L176" s="152"/>
      <c r="M176" s="152"/>
      <c r="N176" s="152"/>
      <c r="O176" s="153"/>
      <c r="P176" s="153"/>
      <c r="Q176" s="153"/>
      <c r="R176" s="153"/>
      <c r="S176" s="153"/>
      <c r="T176" s="154"/>
      <c r="U176" s="159"/>
      <c r="V176" s="155" t="str">
        <f aca="false">IF(J176="","",'Pricing Details'!D166+'Pricing Details'!Q166)</f>
        <v/>
      </c>
      <c r="W176" s="155" t="str">
        <f aca="false">IF(J176="","",'Pricing Details'!V166)</f>
        <v/>
      </c>
      <c r="X176" s="156" t="str">
        <f aca="false">IF(J176="","",'Pricing Details'!X166)</f>
        <v/>
      </c>
      <c r="Y176" s="157" t="str">
        <f aca="false">'Pricing Details'!Z166</f>
        <v/>
      </c>
      <c r="Z176" s="158" t="str">
        <f aca="false">'Pricing Details'!AC166</f>
        <v/>
      </c>
      <c r="AA176" s="20"/>
      <c r="AB176" s="21" t="str">
        <f aca="false">IFERROR(_xlfn.xlookup(H176,Collection[Display],Collection[Line])&amp;_xlfn.xlookup(I176,Sleeve[Display],Sleeve[Sleeve]),"")</f>
        <v/>
      </c>
    </row>
    <row r="177" s="21" customFormat="true" ht="30" hidden="false" customHeight="true" outlineLevel="0" collapsed="false">
      <c r="A177" s="20"/>
      <c r="B177" s="90" t="n">
        <v>164</v>
      </c>
      <c r="C177" s="150"/>
      <c r="D177" s="160"/>
      <c r="E177" s="152"/>
      <c r="F177" s="152"/>
      <c r="G177" s="152"/>
      <c r="H177" s="152"/>
      <c r="I177" s="153"/>
      <c r="J177" s="152"/>
      <c r="K177" s="161"/>
      <c r="L177" s="152"/>
      <c r="M177" s="152"/>
      <c r="N177" s="152"/>
      <c r="O177" s="153"/>
      <c r="P177" s="153"/>
      <c r="Q177" s="153"/>
      <c r="R177" s="153"/>
      <c r="S177" s="153"/>
      <c r="T177" s="154"/>
      <c r="U177" s="159"/>
      <c r="V177" s="155" t="str">
        <f aca="false">IF(J177="","",'Pricing Details'!D167+'Pricing Details'!Q167)</f>
        <v/>
      </c>
      <c r="W177" s="155" t="str">
        <f aca="false">IF(J177="","",'Pricing Details'!V167)</f>
        <v/>
      </c>
      <c r="X177" s="156" t="str">
        <f aca="false">IF(J177="","",'Pricing Details'!X167)</f>
        <v/>
      </c>
      <c r="Y177" s="157" t="str">
        <f aca="false">'Pricing Details'!Z167</f>
        <v/>
      </c>
      <c r="Z177" s="158" t="str">
        <f aca="false">'Pricing Details'!AC167</f>
        <v/>
      </c>
      <c r="AA177" s="20"/>
      <c r="AB177" s="21" t="str">
        <f aca="false">IFERROR(_xlfn.xlookup(H177,Collection[Display],Collection[Line])&amp;_xlfn.xlookup(I177,Sleeve[Display],Sleeve[Sleeve]),"")</f>
        <v/>
      </c>
    </row>
    <row r="178" s="21" customFormat="true" ht="30" hidden="false" customHeight="true" outlineLevel="0" collapsed="false">
      <c r="A178" s="20"/>
      <c r="B178" s="90" t="n">
        <v>165</v>
      </c>
      <c r="C178" s="150"/>
      <c r="D178" s="160"/>
      <c r="E178" s="152"/>
      <c r="F178" s="152"/>
      <c r="G178" s="152"/>
      <c r="H178" s="152"/>
      <c r="I178" s="153"/>
      <c r="J178" s="152"/>
      <c r="K178" s="161"/>
      <c r="L178" s="152"/>
      <c r="M178" s="152"/>
      <c r="N178" s="152"/>
      <c r="O178" s="153"/>
      <c r="P178" s="153"/>
      <c r="Q178" s="153"/>
      <c r="R178" s="153"/>
      <c r="S178" s="153"/>
      <c r="T178" s="154"/>
      <c r="U178" s="159"/>
      <c r="V178" s="155" t="str">
        <f aca="false">IF(J178="","",'Pricing Details'!D168+'Pricing Details'!Q168)</f>
        <v/>
      </c>
      <c r="W178" s="155" t="str">
        <f aca="false">IF(J178="","",'Pricing Details'!V168)</f>
        <v/>
      </c>
      <c r="X178" s="156" t="str">
        <f aca="false">IF(J178="","",'Pricing Details'!X168)</f>
        <v/>
      </c>
      <c r="Y178" s="157" t="str">
        <f aca="false">'Pricing Details'!Z168</f>
        <v/>
      </c>
      <c r="Z178" s="158" t="str">
        <f aca="false">'Pricing Details'!AC168</f>
        <v/>
      </c>
      <c r="AA178" s="20"/>
      <c r="AB178" s="21" t="str">
        <f aca="false">IFERROR(_xlfn.xlookup(H178,Collection[Display],Collection[Line])&amp;_xlfn.xlookup(I178,Sleeve[Display],Sleeve[Sleeve]),"")</f>
        <v/>
      </c>
    </row>
    <row r="179" s="21" customFormat="true" ht="30" hidden="false" customHeight="true" outlineLevel="0" collapsed="false">
      <c r="A179" s="20"/>
      <c r="B179" s="90" t="n">
        <v>166</v>
      </c>
      <c r="C179" s="150"/>
      <c r="D179" s="160"/>
      <c r="E179" s="152"/>
      <c r="F179" s="152"/>
      <c r="G179" s="152"/>
      <c r="H179" s="152"/>
      <c r="I179" s="153"/>
      <c r="J179" s="152"/>
      <c r="K179" s="161"/>
      <c r="L179" s="152"/>
      <c r="M179" s="152"/>
      <c r="N179" s="152"/>
      <c r="O179" s="153"/>
      <c r="P179" s="153"/>
      <c r="Q179" s="153"/>
      <c r="R179" s="153"/>
      <c r="S179" s="153"/>
      <c r="T179" s="154"/>
      <c r="U179" s="159"/>
      <c r="V179" s="155" t="str">
        <f aca="false">IF(J179="","",'Pricing Details'!D169+'Pricing Details'!Q169)</f>
        <v/>
      </c>
      <c r="W179" s="155" t="str">
        <f aca="false">IF(J179="","",'Pricing Details'!V169)</f>
        <v/>
      </c>
      <c r="X179" s="156" t="str">
        <f aca="false">IF(J179="","",'Pricing Details'!X169)</f>
        <v/>
      </c>
      <c r="Y179" s="157" t="str">
        <f aca="false">'Pricing Details'!Z169</f>
        <v/>
      </c>
      <c r="Z179" s="158" t="str">
        <f aca="false">'Pricing Details'!AC169</f>
        <v/>
      </c>
      <c r="AA179" s="20"/>
      <c r="AB179" s="21" t="str">
        <f aca="false">IFERROR(_xlfn.xlookup(H179,Collection[Display],Collection[Line])&amp;_xlfn.xlookup(I179,Sleeve[Display],Sleeve[Sleeve]),"")</f>
        <v/>
      </c>
    </row>
    <row r="180" s="21" customFormat="true" ht="30" hidden="false" customHeight="true" outlineLevel="0" collapsed="false">
      <c r="A180" s="20"/>
      <c r="B180" s="90" t="n">
        <v>167</v>
      </c>
      <c r="C180" s="150"/>
      <c r="D180" s="160"/>
      <c r="E180" s="152"/>
      <c r="F180" s="152"/>
      <c r="G180" s="152"/>
      <c r="H180" s="152"/>
      <c r="I180" s="153"/>
      <c r="J180" s="152"/>
      <c r="K180" s="161"/>
      <c r="L180" s="152"/>
      <c r="M180" s="152"/>
      <c r="N180" s="152"/>
      <c r="O180" s="153"/>
      <c r="P180" s="153"/>
      <c r="Q180" s="153"/>
      <c r="R180" s="153"/>
      <c r="S180" s="153"/>
      <c r="T180" s="154"/>
      <c r="U180" s="159"/>
      <c r="V180" s="155" t="str">
        <f aca="false">IF(J180="","",'Pricing Details'!D170+'Pricing Details'!Q170)</f>
        <v/>
      </c>
      <c r="W180" s="155" t="str">
        <f aca="false">IF(J180="","",'Pricing Details'!V170)</f>
        <v/>
      </c>
      <c r="X180" s="156" t="str">
        <f aca="false">IF(J180="","",'Pricing Details'!X170)</f>
        <v/>
      </c>
      <c r="Y180" s="157" t="str">
        <f aca="false">'Pricing Details'!Z170</f>
        <v/>
      </c>
      <c r="Z180" s="158" t="str">
        <f aca="false">'Pricing Details'!AC170</f>
        <v/>
      </c>
      <c r="AA180" s="20"/>
      <c r="AB180" s="21" t="str">
        <f aca="false">IFERROR(_xlfn.xlookup(H180,Collection[Display],Collection[Line])&amp;_xlfn.xlookup(I180,Sleeve[Display],Sleeve[Sleeve]),"")</f>
        <v/>
      </c>
    </row>
    <row r="181" s="21" customFormat="true" ht="30" hidden="false" customHeight="true" outlineLevel="0" collapsed="false">
      <c r="A181" s="20"/>
      <c r="B181" s="90" t="n">
        <v>168</v>
      </c>
      <c r="C181" s="150"/>
      <c r="D181" s="160"/>
      <c r="E181" s="152"/>
      <c r="F181" s="152"/>
      <c r="G181" s="152"/>
      <c r="H181" s="152"/>
      <c r="I181" s="153"/>
      <c r="J181" s="152"/>
      <c r="K181" s="161"/>
      <c r="L181" s="152"/>
      <c r="M181" s="152"/>
      <c r="N181" s="152"/>
      <c r="O181" s="153"/>
      <c r="P181" s="153"/>
      <c r="Q181" s="153"/>
      <c r="R181" s="153"/>
      <c r="S181" s="153"/>
      <c r="T181" s="154"/>
      <c r="U181" s="159"/>
      <c r="V181" s="155" t="str">
        <f aca="false">IF(J181="","",'Pricing Details'!D171+'Pricing Details'!Q171)</f>
        <v/>
      </c>
      <c r="W181" s="155" t="str">
        <f aca="false">IF(J181="","",'Pricing Details'!V171)</f>
        <v/>
      </c>
      <c r="X181" s="156" t="str">
        <f aca="false">IF(J181="","",'Pricing Details'!X171)</f>
        <v/>
      </c>
      <c r="Y181" s="157" t="str">
        <f aca="false">'Pricing Details'!Z171</f>
        <v/>
      </c>
      <c r="Z181" s="158" t="str">
        <f aca="false">'Pricing Details'!AC171</f>
        <v/>
      </c>
      <c r="AA181" s="20"/>
      <c r="AB181" s="21" t="str">
        <f aca="false">IFERROR(_xlfn.xlookup(H181,Collection[Display],Collection[Line])&amp;_xlfn.xlookup(I181,Sleeve[Display],Sleeve[Sleeve]),"")</f>
        <v/>
      </c>
    </row>
    <row r="182" s="21" customFormat="true" ht="30" hidden="false" customHeight="true" outlineLevel="0" collapsed="false">
      <c r="A182" s="20"/>
      <c r="B182" s="90" t="n">
        <v>169</v>
      </c>
      <c r="C182" s="150"/>
      <c r="D182" s="160"/>
      <c r="E182" s="152"/>
      <c r="F182" s="152"/>
      <c r="G182" s="152"/>
      <c r="H182" s="152"/>
      <c r="I182" s="153"/>
      <c r="J182" s="152"/>
      <c r="K182" s="161"/>
      <c r="L182" s="152"/>
      <c r="M182" s="152"/>
      <c r="N182" s="152"/>
      <c r="O182" s="153"/>
      <c r="P182" s="153"/>
      <c r="Q182" s="153"/>
      <c r="R182" s="153"/>
      <c r="S182" s="153"/>
      <c r="T182" s="154"/>
      <c r="U182" s="159"/>
      <c r="V182" s="155" t="str">
        <f aca="false">IF(J182="","",'Pricing Details'!D172+'Pricing Details'!Q172)</f>
        <v/>
      </c>
      <c r="W182" s="155" t="str">
        <f aca="false">IF(J182="","",'Pricing Details'!V172)</f>
        <v/>
      </c>
      <c r="X182" s="156" t="str">
        <f aca="false">IF(J182="","",'Pricing Details'!X172)</f>
        <v/>
      </c>
      <c r="Y182" s="157" t="str">
        <f aca="false">'Pricing Details'!Z172</f>
        <v/>
      </c>
      <c r="Z182" s="158" t="str">
        <f aca="false">'Pricing Details'!AC172</f>
        <v/>
      </c>
      <c r="AA182" s="20"/>
      <c r="AB182" s="21" t="str">
        <f aca="false">IFERROR(_xlfn.xlookup(H182,Collection[Display],Collection[Line])&amp;_xlfn.xlookup(I182,Sleeve[Display],Sleeve[Sleeve]),"")</f>
        <v/>
      </c>
    </row>
    <row r="183" s="21" customFormat="true" ht="30" hidden="false" customHeight="true" outlineLevel="0" collapsed="false">
      <c r="A183" s="20"/>
      <c r="B183" s="90" t="n">
        <v>170</v>
      </c>
      <c r="C183" s="150"/>
      <c r="D183" s="160"/>
      <c r="E183" s="152"/>
      <c r="F183" s="152"/>
      <c r="G183" s="152"/>
      <c r="H183" s="152"/>
      <c r="I183" s="153"/>
      <c r="J183" s="152"/>
      <c r="K183" s="161"/>
      <c r="L183" s="152"/>
      <c r="M183" s="152"/>
      <c r="N183" s="152"/>
      <c r="O183" s="153"/>
      <c r="P183" s="153"/>
      <c r="Q183" s="153"/>
      <c r="R183" s="153"/>
      <c r="S183" s="153"/>
      <c r="T183" s="154"/>
      <c r="U183" s="159"/>
      <c r="V183" s="155" t="str">
        <f aca="false">IF(J183="","",'Pricing Details'!D173+'Pricing Details'!Q173)</f>
        <v/>
      </c>
      <c r="W183" s="155" t="str">
        <f aca="false">IF(J183="","",'Pricing Details'!V173)</f>
        <v/>
      </c>
      <c r="X183" s="156" t="str">
        <f aca="false">IF(J183="","",'Pricing Details'!X173)</f>
        <v/>
      </c>
      <c r="Y183" s="157" t="str">
        <f aca="false">'Pricing Details'!Z173</f>
        <v/>
      </c>
      <c r="Z183" s="158" t="str">
        <f aca="false">'Pricing Details'!AC173</f>
        <v/>
      </c>
      <c r="AA183" s="20"/>
      <c r="AB183" s="21" t="str">
        <f aca="false">IFERROR(_xlfn.xlookup(H183,Collection[Display],Collection[Line])&amp;_xlfn.xlookup(I183,Sleeve[Display],Sleeve[Sleeve]),"")</f>
        <v/>
      </c>
    </row>
    <row r="184" s="21" customFormat="true" ht="30" hidden="false" customHeight="true" outlineLevel="0" collapsed="false">
      <c r="A184" s="20"/>
      <c r="B184" s="90" t="n">
        <v>171</v>
      </c>
      <c r="C184" s="150"/>
      <c r="D184" s="160"/>
      <c r="E184" s="152"/>
      <c r="F184" s="152"/>
      <c r="G184" s="152"/>
      <c r="H184" s="152"/>
      <c r="I184" s="153"/>
      <c r="J184" s="152"/>
      <c r="K184" s="161"/>
      <c r="L184" s="152"/>
      <c r="M184" s="152"/>
      <c r="N184" s="152"/>
      <c r="O184" s="153"/>
      <c r="P184" s="153"/>
      <c r="Q184" s="153"/>
      <c r="R184" s="153"/>
      <c r="S184" s="153"/>
      <c r="T184" s="154"/>
      <c r="U184" s="159"/>
      <c r="V184" s="155" t="str">
        <f aca="false">IF(J184="","",'Pricing Details'!D174+'Pricing Details'!Q174)</f>
        <v/>
      </c>
      <c r="W184" s="155" t="str">
        <f aca="false">IF(J184="","",'Pricing Details'!V174)</f>
        <v/>
      </c>
      <c r="X184" s="156" t="str">
        <f aca="false">IF(J184="","",'Pricing Details'!X174)</f>
        <v/>
      </c>
      <c r="Y184" s="157" t="str">
        <f aca="false">'Pricing Details'!Z174</f>
        <v/>
      </c>
      <c r="Z184" s="158" t="str">
        <f aca="false">'Pricing Details'!AC174</f>
        <v/>
      </c>
      <c r="AA184" s="20"/>
      <c r="AB184" s="21" t="str">
        <f aca="false">IFERROR(_xlfn.xlookup(H184,Collection[Display],Collection[Line])&amp;_xlfn.xlookup(I184,Sleeve[Display],Sleeve[Sleeve]),"")</f>
        <v/>
      </c>
    </row>
    <row r="185" s="21" customFormat="true" ht="30" hidden="false" customHeight="true" outlineLevel="0" collapsed="false">
      <c r="A185" s="20"/>
      <c r="B185" s="90" t="n">
        <v>172</v>
      </c>
      <c r="C185" s="150"/>
      <c r="D185" s="160"/>
      <c r="E185" s="152"/>
      <c r="F185" s="152"/>
      <c r="G185" s="152"/>
      <c r="H185" s="152"/>
      <c r="I185" s="153"/>
      <c r="J185" s="152"/>
      <c r="K185" s="161"/>
      <c r="L185" s="152"/>
      <c r="M185" s="152"/>
      <c r="N185" s="152"/>
      <c r="O185" s="153"/>
      <c r="P185" s="153"/>
      <c r="Q185" s="153"/>
      <c r="R185" s="153"/>
      <c r="S185" s="153"/>
      <c r="T185" s="154"/>
      <c r="U185" s="159"/>
      <c r="V185" s="155" t="str">
        <f aca="false">IF(J185="","",'Pricing Details'!D175+'Pricing Details'!Q175)</f>
        <v/>
      </c>
      <c r="W185" s="155" t="str">
        <f aca="false">IF(J185="","",'Pricing Details'!V175)</f>
        <v/>
      </c>
      <c r="X185" s="156" t="str">
        <f aca="false">IF(J185="","",'Pricing Details'!X175)</f>
        <v/>
      </c>
      <c r="Y185" s="157" t="str">
        <f aca="false">'Pricing Details'!Z175</f>
        <v/>
      </c>
      <c r="Z185" s="158" t="str">
        <f aca="false">'Pricing Details'!AC175</f>
        <v/>
      </c>
      <c r="AA185" s="20"/>
      <c r="AB185" s="21" t="str">
        <f aca="false">IFERROR(_xlfn.xlookup(H185,Collection[Display],Collection[Line])&amp;_xlfn.xlookup(I185,Sleeve[Display],Sleeve[Sleeve]),"")</f>
        <v/>
      </c>
    </row>
    <row r="186" s="21" customFormat="true" ht="30" hidden="false" customHeight="true" outlineLevel="0" collapsed="false">
      <c r="A186" s="20"/>
      <c r="B186" s="90" t="n">
        <v>173</v>
      </c>
      <c r="C186" s="150"/>
      <c r="D186" s="160"/>
      <c r="E186" s="152"/>
      <c r="F186" s="152"/>
      <c r="G186" s="152"/>
      <c r="H186" s="152"/>
      <c r="I186" s="153"/>
      <c r="J186" s="152"/>
      <c r="K186" s="161"/>
      <c r="L186" s="152"/>
      <c r="M186" s="152"/>
      <c r="N186" s="152"/>
      <c r="O186" s="153"/>
      <c r="P186" s="153"/>
      <c r="Q186" s="153"/>
      <c r="R186" s="153"/>
      <c r="S186" s="153"/>
      <c r="T186" s="154"/>
      <c r="U186" s="159"/>
      <c r="V186" s="155" t="str">
        <f aca="false">IF(J186="","",'Pricing Details'!D176+'Pricing Details'!Q176)</f>
        <v/>
      </c>
      <c r="W186" s="155" t="str">
        <f aca="false">IF(J186="","",'Pricing Details'!V176)</f>
        <v/>
      </c>
      <c r="X186" s="156" t="str">
        <f aca="false">IF(J186="","",'Pricing Details'!X176)</f>
        <v/>
      </c>
      <c r="Y186" s="157" t="str">
        <f aca="false">'Pricing Details'!Z176</f>
        <v/>
      </c>
      <c r="Z186" s="158" t="str">
        <f aca="false">'Pricing Details'!AC176</f>
        <v/>
      </c>
      <c r="AA186" s="20"/>
      <c r="AB186" s="21" t="str">
        <f aca="false">IFERROR(_xlfn.xlookup(H186,Collection[Display],Collection[Line])&amp;_xlfn.xlookup(I186,Sleeve[Display],Sleeve[Sleeve]),"")</f>
        <v/>
      </c>
    </row>
    <row r="187" s="21" customFormat="true" ht="30" hidden="false" customHeight="true" outlineLevel="0" collapsed="false">
      <c r="A187" s="20"/>
      <c r="B187" s="90" t="n">
        <v>174</v>
      </c>
      <c r="C187" s="150"/>
      <c r="D187" s="160"/>
      <c r="E187" s="152"/>
      <c r="F187" s="152"/>
      <c r="G187" s="152"/>
      <c r="H187" s="152"/>
      <c r="I187" s="153"/>
      <c r="J187" s="152"/>
      <c r="K187" s="161"/>
      <c r="L187" s="152"/>
      <c r="M187" s="152"/>
      <c r="N187" s="152"/>
      <c r="O187" s="153"/>
      <c r="P187" s="153"/>
      <c r="Q187" s="153"/>
      <c r="R187" s="153"/>
      <c r="S187" s="153"/>
      <c r="T187" s="154"/>
      <c r="U187" s="159"/>
      <c r="V187" s="155" t="str">
        <f aca="false">IF(J187="","",'Pricing Details'!D177+'Pricing Details'!Q177)</f>
        <v/>
      </c>
      <c r="W187" s="155" t="str">
        <f aca="false">IF(J187="","",'Pricing Details'!V177)</f>
        <v/>
      </c>
      <c r="X187" s="156" t="str">
        <f aca="false">IF(J187="","",'Pricing Details'!X177)</f>
        <v/>
      </c>
      <c r="Y187" s="157" t="str">
        <f aca="false">'Pricing Details'!Z177</f>
        <v/>
      </c>
      <c r="Z187" s="158" t="str">
        <f aca="false">'Pricing Details'!AC177</f>
        <v/>
      </c>
      <c r="AA187" s="20"/>
      <c r="AB187" s="21" t="str">
        <f aca="false">IFERROR(_xlfn.xlookup(H187,Collection[Display],Collection[Line])&amp;_xlfn.xlookup(I187,Sleeve[Display],Sleeve[Sleeve]),"")</f>
        <v/>
      </c>
    </row>
    <row r="188" s="21" customFormat="true" ht="30" hidden="false" customHeight="true" outlineLevel="0" collapsed="false">
      <c r="A188" s="20"/>
      <c r="B188" s="90" t="n">
        <v>175</v>
      </c>
      <c r="C188" s="150"/>
      <c r="D188" s="160"/>
      <c r="E188" s="152"/>
      <c r="F188" s="152"/>
      <c r="G188" s="152"/>
      <c r="H188" s="152"/>
      <c r="I188" s="153"/>
      <c r="J188" s="152"/>
      <c r="K188" s="161"/>
      <c r="L188" s="152"/>
      <c r="M188" s="152"/>
      <c r="N188" s="152"/>
      <c r="O188" s="153"/>
      <c r="P188" s="153"/>
      <c r="Q188" s="153"/>
      <c r="R188" s="153"/>
      <c r="S188" s="153"/>
      <c r="T188" s="154"/>
      <c r="U188" s="159"/>
      <c r="V188" s="155" t="str">
        <f aca="false">IF(J188="","",'Pricing Details'!D178+'Pricing Details'!Q178)</f>
        <v/>
      </c>
      <c r="W188" s="155" t="str">
        <f aca="false">IF(J188="","",'Pricing Details'!V178)</f>
        <v/>
      </c>
      <c r="X188" s="156" t="str">
        <f aca="false">IF(J188="","",'Pricing Details'!X178)</f>
        <v/>
      </c>
      <c r="Y188" s="157" t="str">
        <f aca="false">'Pricing Details'!Z178</f>
        <v/>
      </c>
      <c r="Z188" s="158" t="str">
        <f aca="false">'Pricing Details'!AC178</f>
        <v/>
      </c>
      <c r="AA188" s="20"/>
      <c r="AB188" s="21" t="str">
        <f aca="false">IFERROR(_xlfn.xlookup(H188,Collection[Display],Collection[Line])&amp;_xlfn.xlookup(I188,Sleeve[Display],Sleeve[Sleeve]),"")</f>
        <v/>
      </c>
    </row>
    <row r="189" s="21" customFormat="true" ht="30" hidden="false" customHeight="true" outlineLevel="0" collapsed="false">
      <c r="A189" s="20"/>
      <c r="B189" s="90" t="n">
        <v>176</v>
      </c>
      <c r="C189" s="150"/>
      <c r="D189" s="160"/>
      <c r="E189" s="152"/>
      <c r="F189" s="152"/>
      <c r="G189" s="152"/>
      <c r="H189" s="152"/>
      <c r="I189" s="153"/>
      <c r="J189" s="152"/>
      <c r="K189" s="161"/>
      <c r="L189" s="152"/>
      <c r="M189" s="152"/>
      <c r="N189" s="152"/>
      <c r="O189" s="153"/>
      <c r="P189" s="153"/>
      <c r="Q189" s="153"/>
      <c r="R189" s="153"/>
      <c r="S189" s="153"/>
      <c r="T189" s="154"/>
      <c r="U189" s="159"/>
      <c r="V189" s="155" t="str">
        <f aca="false">IF(J189="","",'Pricing Details'!D179+'Pricing Details'!Q179)</f>
        <v/>
      </c>
      <c r="W189" s="155" t="str">
        <f aca="false">IF(J189="","",'Pricing Details'!V179)</f>
        <v/>
      </c>
      <c r="X189" s="156" t="str">
        <f aca="false">IF(J189="","",'Pricing Details'!X179)</f>
        <v/>
      </c>
      <c r="Y189" s="157" t="str">
        <f aca="false">'Pricing Details'!Z179</f>
        <v/>
      </c>
      <c r="Z189" s="158" t="str">
        <f aca="false">'Pricing Details'!AC179</f>
        <v/>
      </c>
      <c r="AA189" s="20"/>
      <c r="AB189" s="21" t="str">
        <f aca="false">IFERROR(_xlfn.xlookup(H189,Collection[Display],Collection[Line])&amp;_xlfn.xlookup(I189,Sleeve[Display],Sleeve[Sleeve]),"")</f>
        <v/>
      </c>
    </row>
    <row r="190" s="21" customFormat="true" ht="30" hidden="false" customHeight="true" outlineLevel="0" collapsed="false">
      <c r="A190" s="20"/>
      <c r="B190" s="90" t="n">
        <v>177</v>
      </c>
      <c r="C190" s="150"/>
      <c r="D190" s="160"/>
      <c r="E190" s="152"/>
      <c r="F190" s="152"/>
      <c r="G190" s="152"/>
      <c r="H190" s="152"/>
      <c r="I190" s="153"/>
      <c r="J190" s="152"/>
      <c r="K190" s="161"/>
      <c r="L190" s="152"/>
      <c r="M190" s="152"/>
      <c r="N190" s="152"/>
      <c r="O190" s="153"/>
      <c r="P190" s="153"/>
      <c r="Q190" s="153"/>
      <c r="R190" s="153"/>
      <c r="S190" s="153"/>
      <c r="T190" s="154"/>
      <c r="U190" s="159"/>
      <c r="V190" s="155" t="str">
        <f aca="false">IF(J190="","",'Pricing Details'!D180+'Pricing Details'!Q180)</f>
        <v/>
      </c>
      <c r="W190" s="155" t="str">
        <f aca="false">IF(J190="","",'Pricing Details'!V180)</f>
        <v/>
      </c>
      <c r="X190" s="156" t="str">
        <f aca="false">IF(J190="","",'Pricing Details'!X180)</f>
        <v/>
      </c>
      <c r="Y190" s="157" t="str">
        <f aca="false">'Pricing Details'!Z180</f>
        <v/>
      </c>
      <c r="Z190" s="158" t="str">
        <f aca="false">'Pricing Details'!AC180</f>
        <v/>
      </c>
      <c r="AA190" s="20"/>
      <c r="AB190" s="21" t="str">
        <f aca="false">IFERROR(_xlfn.xlookup(H190,Collection[Display],Collection[Line])&amp;_xlfn.xlookup(I190,Sleeve[Display],Sleeve[Sleeve]),"")</f>
        <v/>
      </c>
    </row>
    <row r="191" s="21" customFormat="true" ht="30" hidden="false" customHeight="true" outlineLevel="0" collapsed="false">
      <c r="A191" s="20"/>
      <c r="B191" s="90" t="n">
        <v>178</v>
      </c>
      <c r="C191" s="150"/>
      <c r="D191" s="160"/>
      <c r="E191" s="152"/>
      <c r="F191" s="152"/>
      <c r="G191" s="152"/>
      <c r="H191" s="152"/>
      <c r="I191" s="153"/>
      <c r="J191" s="152"/>
      <c r="K191" s="161"/>
      <c r="L191" s="152"/>
      <c r="M191" s="152"/>
      <c r="N191" s="152"/>
      <c r="O191" s="153"/>
      <c r="P191" s="153"/>
      <c r="Q191" s="153"/>
      <c r="R191" s="153"/>
      <c r="S191" s="153"/>
      <c r="T191" s="154"/>
      <c r="U191" s="159"/>
      <c r="V191" s="155" t="str">
        <f aca="false">IF(J191="","",'Pricing Details'!D181+'Pricing Details'!Q181)</f>
        <v/>
      </c>
      <c r="W191" s="155" t="str">
        <f aca="false">IF(J191="","",'Pricing Details'!V181)</f>
        <v/>
      </c>
      <c r="X191" s="156" t="str">
        <f aca="false">IF(J191="","",'Pricing Details'!X181)</f>
        <v/>
      </c>
      <c r="Y191" s="157" t="str">
        <f aca="false">'Pricing Details'!Z181</f>
        <v/>
      </c>
      <c r="Z191" s="158" t="str">
        <f aca="false">'Pricing Details'!AC181</f>
        <v/>
      </c>
      <c r="AA191" s="20"/>
      <c r="AB191" s="21" t="str">
        <f aca="false">IFERROR(_xlfn.xlookup(H191,Collection[Display],Collection[Line])&amp;_xlfn.xlookup(I191,Sleeve[Display],Sleeve[Sleeve]),"")</f>
        <v/>
      </c>
    </row>
    <row r="192" s="21" customFormat="true" ht="30" hidden="false" customHeight="true" outlineLevel="0" collapsed="false">
      <c r="A192" s="20"/>
      <c r="B192" s="90" t="n">
        <v>179</v>
      </c>
      <c r="C192" s="150"/>
      <c r="D192" s="160"/>
      <c r="E192" s="152"/>
      <c r="F192" s="152"/>
      <c r="G192" s="152"/>
      <c r="H192" s="152"/>
      <c r="I192" s="153"/>
      <c r="J192" s="152"/>
      <c r="K192" s="161"/>
      <c r="L192" s="152"/>
      <c r="M192" s="152"/>
      <c r="N192" s="152"/>
      <c r="O192" s="153"/>
      <c r="P192" s="153"/>
      <c r="Q192" s="153"/>
      <c r="R192" s="153"/>
      <c r="S192" s="153"/>
      <c r="T192" s="154"/>
      <c r="U192" s="159"/>
      <c r="V192" s="155" t="str">
        <f aca="false">IF(J192="","",'Pricing Details'!D182+'Pricing Details'!Q182)</f>
        <v/>
      </c>
      <c r="W192" s="155" t="str">
        <f aca="false">IF(J192="","",'Pricing Details'!V182)</f>
        <v/>
      </c>
      <c r="X192" s="156" t="str">
        <f aca="false">IF(J192="","",'Pricing Details'!X182)</f>
        <v/>
      </c>
      <c r="Y192" s="157" t="str">
        <f aca="false">'Pricing Details'!Z182</f>
        <v/>
      </c>
      <c r="Z192" s="158" t="str">
        <f aca="false">'Pricing Details'!AC182</f>
        <v/>
      </c>
      <c r="AA192" s="20"/>
      <c r="AB192" s="21" t="str">
        <f aca="false">IFERROR(_xlfn.xlookup(H192,Collection[Display],Collection[Line])&amp;_xlfn.xlookup(I192,Sleeve[Display],Sleeve[Sleeve]),"")</f>
        <v/>
      </c>
    </row>
    <row r="193" s="21" customFormat="true" ht="30" hidden="false" customHeight="true" outlineLevel="0" collapsed="false">
      <c r="A193" s="20"/>
      <c r="B193" s="90" t="n">
        <v>180</v>
      </c>
      <c r="C193" s="150"/>
      <c r="D193" s="160"/>
      <c r="E193" s="152"/>
      <c r="F193" s="152"/>
      <c r="G193" s="152"/>
      <c r="H193" s="152"/>
      <c r="I193" s="153"/>
      <c r="J193" s="152"/>
      <c r="K193" s="161"/>
      <c r="L193" s="152"/>
      <c r="M193" s="152"/>
      <c r="N193" s="152"/>
      <c r="O193" s="153"/>
      <c r="P193" s="153"/>
      <c r="Q193" s="153"/>
      <c r="R193" s="153"/>
      <c r="S193" s="153"/>
      <c r="T193" s="154"/>
      <c r="U193" s="159"/>
      <c r="V193" s="155" t="str">
        <f aca="false">IF(J193="","",'Pricing Details'!D183+'Pricing Details'!Q183)</f>
        <v/>
      </c>
      <c r="W193" s="155" t="str">
        <f aca="false">IF(J193="","",'Pricing Details'!V183)</f>
        <v/>
      </c>
      <c r="X193" s="156" t="str">
        <f aca="false">IF(J193="","",'Pricing Details'!X183)</f>
        <v/>
      </c>
      <c r="Y193" s="157" t="str">
        <f aca="false">'Pricing Details'!Z183</f>
        <v/>
      </c>
      <c r="Z193" s="158" t="str">
        <f aca="false">'Pricing Details'!AC183</f>
        <v/>
      </c>
      <c r="AA193" s="20"/>
      <c r="AB193" s="21" t="str">
        <f aca="false">IFERROR(_xlfn.xlookup(H193,Collection[Display],Collection[Line])&amp;_xlfn.xlookup(I193,Sleeve[Display],Sleeve[Sleeve]),"")</f>
        <v/>
      </c>
    </row>
    <row r="194" s="21" customFormat="true" ht="30" hidden="false" customHeight="true" outlineLevel="0" collapsed="false">
      <c r="A194" s="20"/>
      <c r="B194" s="90" t="n">
        <v>181</v>
      </c>
      <c r="C194" s="150"/>
      <c r="D194" s="160"/>
      <c r="E194" s="152"/>
      <c r="F194" s="152"/>
      <c r="G194" s="152"/>
      <c r="H194" s="152"/>
      <c r="I194" s="153"/>
      <c r="J194" s="152"/>
      <c r="K194" s="161"/>
      <c r="L194" s="152"/>
      <c r="M194" s="152"/>
      <c r="N194" s="152"/>
      <c r="O194" s="153"/>
      <c r="P194" s="153"/>
      <c r="Q194" s="153"/>
      <c r="R194" s="153"/>
      <c r="S194" s="153"/>
      <c r="T194" s="154"/>
      <c r="U194" s="159"/>
      <c r="V194" s="155" t="str">
        <f aca="false">IF(J194="","",'Pricing Details'!D184+'Pricing Details'!Q184)</f>
        <v/>
      </c>
      <c r="W194" s="155" t="str">
        <f aca="false">IF(J194="","",'Pricing Details'!V184)</f>
        <v/>
      </c>
      <c r="X194" s="156" t="str">
        <f aca="false">IF(J194="","",'Pricing Details'!X184)</f>
        <v/>
      </c>
      <c r="Y194" s="157" t="str">
        <f aca="false">'Pricing Details'!Z184</f>
        <v/>
      </c>
      <c r="Z194" s="158" t="str">
        <f aca="false">'Pricing Details'!AC184</f>
        <v/>
      </c>
      <c r="AA194" s="20"/>
      <c r="AB194" s="21" t="str">
        <f aca="false">IFERROR(_xlfn.xlookup(H194,Collection[Display],Collection[Line])&amp;_xlfn.xlookup(I194,Sleeve[Display],Sleeve[Sleeve]),"")</f>
        <v/>
      </c>
    </row>
    <row r="195" s="21" customFormat="true" ht="30" hidden="false" customHeight="true" outlineLevel="0" collapsed="false">
      <c r="A195" s="20"/>
      <c r="B195" s="90" t="n">
        <v>182</v>
      </c>
      <c r="C195" s="150"/>
      <c r="D195" s="160"/>
      <c r="E195" s="152"/>
      <c r="F195" s="152"/>
      <c r="G195" s="152"/>
      <c r="H195" s="152"/>
      <c r="I195" s="153"/>
      <c r="J195" s="152"/>
      <c r="K195" s="161"/>
      <c r="L195" s="152"/>
      <c r="M195" s="152"/>
      <c r="N195" s="152"/>
      <c r="O195" s="153"/>
      <c r="P195" s="153"/>
      <c r="Q195" s="153"/>
      <c r="R195" s="153"/>
      <c r="S195" s="153"/>
      <c r="T195" s="154"/>
      <c r="U195" s="159"/>
      <c r="V195" s="155" t="str">
        <f aca="false">IF(J195="","",'Pricing Details'!D185+'Pricing Details'!Q185)</f>
        <v/>
      </c>
      <c r="W195" s="155" t="str">
        <f aca="false">IF(J195="","",'Pricing Details'!V185)</f>
        <v/>
      </c>
      <c r="X195" s="156" t="str">
        <f aca="false">IF(J195="","",'Pricing Details'!X185)</f>
        <v/>
      </c>
      <c r="Y195" s="157" t="str">
        <f aca="false">'Pricing Details'!Z185</f>
        <v/>
      </c>
      <c r="Z195" s="158" t="str">
        <f aca="false">'Pricing Details'!AC185</f>
        <v/>
      </c>
      <c r="AA195" s="20"/>
      <c r="AB195" s="21" t="str">
        <f aca="false">IFERROR(_xlfn.xlookup(H195,Collection[Display],Collection[Line])&amp;_xlfn.xlookup(I195,Sleeve[Display],Sleeve[Sleeve]),"")</f>
        <v/>
      </c>
    </row>
    <row r="196" s="21" customFormat="true" ht="30" hidden="false" customHeight="true" outlineLevel="0" collapsed="false">
      <c r="A196" s="20"/>
      <c r="B196" s="90" t="n">
        <v>183</v>
      </c>
      <c r="C196" s="150"/>
      <c r="D196" s="160"/>
      <c r="E196" s="152"/>
      <c r="F196" s="152"/>
      <c r="G196" s="152"/>
      <c r="H196" s="152"/>
      <c r="I196" s="153"/>
      <c r="J196" s="152"/>
      <c r="K196" s="161"/>
      <c r="L196" s="152"/>
      <c r="M196" s="152"/>
      <c r="N196" s="152"/>
      <c r="O196" s="153"/>
      <c r="P196" s="153"/>
      <c r="Q196" s="153"/>
      <c r="R196" s="153"/>
      <c r="S196" s="153"/>
      <c r="T196" s="154"/>
      <c r="U196" s="159"/>
      <c r="V196" s="155" t="str">
        <f aca="false">IF(J196="","",'Pricing Details'!D186+'Pricing Details'!Q186)</f>
        <v/>
      </c>
      <c r="W196" s="155" t="str">
        <f aca="false">IF(J196="","",'Pricing Details'!V186)</f>
        <v/>
      </c>
      <c r="X196" s="156" t="str">
        <f aca="false">IF(J196="","",'Pricing Details'!X186)</f>
        <v/>
      </c>
      <c r="Y196" s="157" t="str">
        <f aca="false">'Pricing Details'!Z186</f>
        <v/>
      </c>
      <c r="Z196" s="158" t="str">
        <f aca="false">'Pricing Details'!AC186</f>
        <v/>
      </c>
      <c r="AA196" s="20"/>
      <c r="AB196" s="21" t="str">
        <f aca="false">IFERROR(_xlfn.xlookup(H196,Collection[Display],Collection[Line])&amp;_xlfn.xlookup(I196,Sleeve[Display],Sleeve[Sleeve]),"")</f>
        <v/>
      </c>
    </row>
    <row r="197" s="21" customFormat="true" ht="30" hidden="false" customHeight="true" outlineLevel="0" collapsed="false">
      <c r="A197" s="20"/>
      <c r="B197" s="90" t="n">
        <v>184</v>
      </c>
      <c r="C197" s="150"/>
      <c r="D197" s="160"/>
      <c r="E197" s="152"/>
      <c r="F197" s="152"/>
      <c r="G197" s="152"/>
      <c r="H197" s="152"/>
      <c r="I197" s="153"/>
      <c r="J197" s="152"/>
      <c r="K197" s="161"/>
      <c r="L197" s="152"/>
      <c r="M197" s="152"/>
      <c r="N197" s="152"/>
      <c r="O197" s="153"/>
      <c r="P197" s="153"/>
      <c r="Q197" s="153"/>
      <c r="R197" s="153"/>
      <c r="S197" s="153"/>
      <c r="T197" s="154"/>
      <c r="U197" s="159"/>
      <c r="V197" s="155" t="str">
        <f aca="false">IF(J197="","",'Pricing Details'!D187+'Pricing Details'!Q187)</f>
        <v/>
      </c>
      <c r="W197" s="155" t="str">
        <f aca="false">IF(J197="","",'Pricing Details'!V187)</f>
        <v/>
      </c>
      <c r="X197" s="156" t="str">
        <f aca="false">IF(J197="","",'Pricing Details'!X187)</f>
        <v/>
      </c>
      <c r="Y197" s="157" t="str">
        <f aca="false">'Pricing Details'!Z187</f>
        <v/>
      </c>
      <c r="Z197" s="158" t="str">
        <f aca="false">'Pricing Details'!AC187</f>
        <v/>
      </c>
      <c r="AA197" s="20"/>
      <c r="AB197" s="21" t="str">
        <f aca="false">IFERROR(_xlfn.xlookup(H197,Collection[Display],Collection[Line])&amp;_xlfn.xlookup(I197,Sleeve[Display],Sleeve[Sleeve]),"")</f>
        <v/>
      </c>
    </row>
    <row r="198" s="21" customFormat="true" ht="30" hidden="false" customHeight="true" outlineLevel="0" collapsed="false">
      <c r="A198" s="20"/>
      <c r="B198" s="90" t="n">
        <v>185</v>
      </c>
      <c r="C198" s="150"/>
      <c r="D198" s="160"/>
      <c r="E198" s="152"/>
      <c r="F198" s="152"/>
      <c r="G198" s="152"/>
      <c r="H198" s="152"/>
      <c r="I198" s="153"/>
      <c r="J198" s="152"/>
      <c r="K198" s="161"/>
      <c r="L198" s="152"/>
      <c r="M198" s="152"/>
      <c r="N198" s="152"/>
      <c r="O198" s="153"/>
      <c r="P198" s="153"/>
      <c r="Q198" s="153"/>
      <c r="R198" s="153"/>
      <c r="S198" s="153"/>
      <c r="T198" s="154"/>
      <c r="U198" s="159"/>
      <c r="V198" s="155" t="str">
        <f aca="false">IF(J198="","",'Pricing Details'!D188+'Pricing Details'!Q188)</f>
        <v/>
      </c>
      <c r="W198" s="155" t="str">
        <f aca="false">IF(J198="","",'Pricing Details'!V188)</f>
        <v/>
      </c>
      <c r="X198" s="156" t="str">
        <f aca="false">IF(J198="","",'Pricing Details'!X188)</f>
        <v/>
      </c>
      <c r="Y198" s="157" t="str">
        <f aca="false">'Pricing Details'!Z188</f>
        <v/>
      </c>
      <c r="Z198" s="158" t="str">
        <f aca="false">'Pricing Details'!AC188</f>
        <v/>
      </c>
      <c r="AA198" s="20"/>
      <c r="AB198" s="21" t="str">
        <f aca="false">IFERROR(_xlfn.xlookup(H198,Collection[Display],Collection[Line])&amp;_xlfn.xlookup(I198,Sleeve[Display],Sleeve[Sleeve]),"")</f>
        <v/>
      </c>
    </row>
    <row r="199" s="21" customFormat="true" ht="30" hidden="false" customHeight="true" outlineLevel="0" collapsed="false">
      <c r="A199" s="20"/>
      <c r="B199" s="90" t="n">
        <v>186</v>
      </c>
      <c r="C199" s="150"/>
      <c r="D199" s="160"/>
      <c r="E199" s="152"/>
      <c r="F199" s="152"/>
      <c r="G199" s="152"/>
      <c r="H199" s="152"/>
      <c r="I199" s="153"/>
      <c r="J199" s="152"/>
      <c r="K199" s="161"/>
      <c r="L199" s="152"/>
      <c r="M199" s="152"/>
      <c r="N199" s="152"/>
      <c r="O199" s="153"/>
      <c r="P199" s="153"/>
      <c r="Q199" s="153"/>
      <c r="R199" s="153"/>
      <c r="S199" s="153"/>
      <c r="T199" s="154"/>
      <c r="U199" s="159"/>
      <c r="V199" s="155" t="str">
        <f aca="false">IF(J199="","",'Pricing Details'!D189+'Pricing Details'!Q189)</f>
        <v/>
      </c>
      <c r="W199" s="155" t="str">
        <f aca="false">IF(J199="","",'Pricing Details'!V189)</f>
        <v/>
      </c>
      <c r="X199" s="156" t="str">
        <f aca="false">IF(J199="","",'Pricing Details'!X189)</f>
        <v/>
      </c>
      <c r="Y199" s="157" t="str">
        <f aca="false">'Pricing Details'!Z189</f>
        <v/>
      </c>
      <c r="Z199" s="158" t="str">
        <f aca="false">'Pricing Details'!AC189</f>
        <v/>
      </c>
      <c r="AA199" s="20"/>
      <c r="AB199" s="21" t="str">
        <f aca="false">IFERROR(_xlfn.xlookup(H199,Collection[Display],Collection[Line])&amp;_xlfn.xlookup(I199,Sleeve[Display],Sleeve[Sleeve]),"")</f>
        <v/>
      </c>
    </row>
    <row r="200" s="21" customFormat="true" ht="30" hidden="false" customHeight="true" outlineLevel="0" collapsed="false">
      <c r="A200" s="20"/>
      <c r="B200" s="90" t="n">
        <v>187</v>
      </c>
      <c r="C200" s="150"/>
      <c r="D200" s="160"/>
      <c r="E200" s="152"/>
      <c r="F200" s="152"/>
      <c r="G200" s="152"/>
      <c r="H200" s="152"/>
      <c r="I200" s="153"/>
      <c r="J200" s="152"/>
      <c r="K200" s="161"/>
      <c r="L200" s="152"/>
      <c r="M200" s="152"/>
      <c r="N200" s="152"/>
      <c r="O200" s="153"/>
      <c r="P200" s="153"/>
      <c r="Q200" s="153"/>
      <c r="R200" s="153"/>
      <c r="S200" s="153"/>
      <c r="T200" s="154"/>
      <c r="U200" s="159"/>
      <c r="V200" s="155" t="str">
        <f aca="false">IF(J200="","",'Pricing Details'!D190+'Pricing Details'!Q190)</f>
        <v/>
      </c>
      <c r="W200" s="155" t="str">
        <f aca="false">IF(J200="","",'Pricing Details'!V190)</f>
        <v/>
      </c>
      <c r="X200" s="156" t="str">
        <f aca="false">IF(J200="","",'Pricing Details'!X190)</f>
        <v/>
      </c>
      <c r="Y200" s="157" t="str">
        <f aca="false">'Pricing Details'!Z190</f>
        <v/>
      </c>
      <c r="Z200" s="158" t="str">
        <f aca="false">'Pricing Details'!AC190</f>
        <v/>
      </c>
      <c r="AA200" s="20"/>
      <c r="AB200" s="21" t="str">
        <f aca="false">IFERROR(_xlfn.xlookup(H200,Collection[Display],Collection[Line])&amp;_xlfn.xlookup(I200,Sleeve[Display],Sleeve[Sleeve]),"")</f>
        <v/>
      </c>
    </row>
    <row r="201" s="21" customFormat="true" ht="30" hidden="false" customHeight="true" outlineLevel="0" collapsed="false">
      <c r="A201" s="20"/>
      <c r="B201" s="90" t="n">
        <v>188</v>
      </c>
      <c r="C201" s="150"/>
      <c r="D201" s="160"/>
      <c r="E201" s="152"/>
      <c r="F201" s="152"/>
      <c r="G201" s="152"/>
      <c r="H201" s="152"/>
      <c r="I201" s="153"/>
      <c r="J201" s="152"/>
      <c r="K201" s="161"/>
      <c r="L201" s="152"/>
      <c r="M201" s="152"/>
      <c r="N201" s="152"/>
      <c r="O201" s="153"/>
      <c r="P201" s="153"/>
      <c r="Q201" s="153"/>
      <c r="R201" s="153"/>
      <c r="S201" s="153"/>
      <c r="T201" s="154"/>
      <c r="U201" s="159"/>
      <c r="V201" s="155" t="str">
        <f aca="false">IF(J201="","",'Pricing Details'!D191+'Pricing Details'!Q191)</f>
        <v/>
      </c>
      <c r="W201" s="155" t="str">
        <f aca="false">IF(J201="","",'Pricing Details'!V191)</f>
        <v/>
      </c>
      <c r="X201" s="156" t="str">
        <f aca="false">IF(J201="","",'Pricing Details'!X191)</f>
        <v/>
      </c>
      <c r="Y201" s="157" t="str">
        <f aca="false">'Pricing Details'!Z191</f>
        <v/>
      </c>
      <c r="Z201" s="158" t="str">
        <f aca="false">'Pricing Details'!AC191</f>
        <v/>
      </c>
      <c r="AA201" s="20"/>
      <c r="AB201" s="21" t="str">
        <f aca="false">IFERROR(_xlfn.xlookup(H201,Collection[Display],Collection[Line])&amp;_xlfn.xlookup(I201,Sleeve[Display],Sleeve[Sleeve]),"")</f>
        <v/>
      </c>
    </row>
    <row r="202" s="21" customFormat="true" ht="30" hidden="false" customHeight="true" outlineLevel="0" collapsed="false">
      <c r="A202" s="20"/>
      <c r="B202" s="90" t="n">
        <v>189</v>
      </c>
      <c r="C202" s="150"/>
      <c r="D202" s="160"/>
      <c r="E202" s="152"/>
      <c r="F202" s="152"/>
      <c r="G202" s="152"/>
      <c r="H202" s="152"/>
      <c r="I202" s="153"/>
      <c r="J202" s="152"/>
      <c r="K202" s="161"/>
      <c r="L202" s="152"/>
      <c r="M202" s="152"/>
      <c r="N202" s="152"/>
      <c r="O202" s="153"/>
      <c r="P202" s="153"/>
      <c r="Q202" s="153"/>
      <c r="R202" s="153"/>
      <c r="S202" s="153"/>
      <c r="T202" s="154"/>
      <c r="U202" s="159"/>
      <c r="V202" s="155" t="str">
        <f aca="false">IF(J202="","",'Pricing Details'!D192+'Pricing Details'!Q192)</f>
        <v/>
      </c>
      <c r="W202" s="155" t="str">
        <f aca="false">IF(J202="","",'Pricing Details'!V192)</f>
        <v/>
      </c>
      <c r="X202" s="156" t="str">
        <f aca="false">IF(J202="","",'Pricing Details'!X192)</f>
        <v/>
      </c>
      <c r="Y202" s="157" t="str">
        <f aca="false">'Pricing Details'!Z192</f>
        <v/>
      </c>
      <c r="Z202" s="158" t="str">
        <f aca="false">'Pricing Details'!AC192</f>
        <v/>
      </c>
      <c r="AA202" s="20"/>
      <c r="AB202" s="21" t="str">
        <f aca="false">IFERROR(_xlfn.xlookup(H202,Collection[Display],Collection[Line])&amp;_xlfn.xlookup(I202,Sleeve[Display],Sleeve[Sleeve]),"")</f>
        <v/>
      </c>
    </row>
    <row r="203" s="21" customFormat="true" ht="30" hidden="false" customHeight="true" outlineLevel="0" collapsed="false">
      <c r="A203" s="20"/>
      <c r="B203" s="90" t="n">
        <v>190</v>
      </c>
      <c r="C203" s="150"/>
      <c r="D203" s="160"/>
      <c r="E203" s="152"/>
      <c r="F203" s="152"/>
      <c r="G203" s="152"/>
      <c r="H203" s="152"/>
      <c r="I203" s="153"/>
      <c r="J203" s="152"/>
      <c r="K203" s="161"/>
      <c r="L203" s="152"/>
      <c r="M203" s="152"/>
      <c r="N203" s="152"/>
      <c r="O203" s="153"/>
      <c r="P203" s="153"/>
      <c r="Q203" s="153"/>
      <c r="R203" s="153"/>
      <c r="S203" s="153"/>
      <c r="T203" s="154"/>
      <c r="U203" s="159"/>
      <c r="V203" s="155" t="str">
        <f aca="false">IF(J203="","",'Pricing Details'!D193+'Pricing Details'!Q193)</f>
        <v/>
      </c>
      <c r="W203" s="155" t="str">
        <f aca="false">IF(J203="","",'Pricing Details'!V193)</f>
        <v/>
      </c>
      <c r="X203" s="156" t="str">
        <f aca="false">IF(J203="","",'Pricing Details'!X193)</f>
        <v/>
      </c>
      <c r="Y203" s="157" t="str">
        <f aca="false">'Pricing Details'!Z193</f>
        <v/>
      </c>
      <c r="Z203" s="158" t="str">
        <f aca="false">'Pricing Details'!AC193</f>
        <v/>
      </c>
      <c r="AA203" s="20"/>
      <c r="AB203" s="21" t="str">
        <f aca="false">IFERROR(_xlfn.xlookup(H203,Collection[Display],Collection[Line])&amp;_xlfn.xlookup(I203,Sleeve[Display],Sleeve[Sleeve]),"")</f>
        <v/>
      </c>
    </row>
    <row r="204" s="21" customFormat="true" ht="30" hidden="false" customHeight="true" outlineLevel="0" collapsed="false">
      <c r="A204" s="20"/>
      <c r="B204" s="90" t="n">
        <v>191</v>
      </c>
      <c r="C204" s="150"/>
      <c r="D204" s="160"/>
      <c r="E204" s="152"/>
      <c r="F204" s="152"/>
      <c r="G204" s="152"/>
      <c r="H204" s="152"/>
      <c r="I204" s="153"/>
      <c r="J204" s="152"/>
      <c r="K204" s="161"/>
      <c r="L204" s="152"/>
      <c r="M204" s="152"/>
      <c r="N204" s="152"/>
      <c r="O204" s="153"/>
      <c r="P204" s="153"/>
      <c r="Q204" s="153"/>
      <c r="R204" s="153"/>
      <c r="S204" s="153"/>
      <c r="T204" s="154"/>
      <c r="U204" s="159"/>
      <c r="V204" s="155" t="str">
        <f aca="false">IF(J204="","",'Pricing Details'!D194+'Pricing Details'!Q194)</f>
        <v/>
      </c>
      <c r="W204" s="155" t="str">
        <f aca="false">IF(J204="","",'Pricing Details'!V194)</f>
        <v/>
      </c>
      <c r="X204" s="156" t="str">
        <f aca="false">IF(J204="","",'Pricing Details'!X194)</f>
        <v/>
      </c>
      <c r="Y204" s="157" t="str">
        <f aca="false">'Pricing Details'!Z194</f>
        <v/>
      </c>
      <c r="Z204" s="158" t="str">
        <f aca="false">'Pricing Details'!AC194</f>
        <v/>
      </c>
      <c r="AA204" s="20"/>
      <c r="AB204" s="21" t="str">
        <f aca="false">IFERROR(_xlfn.xlookup(H204,Collection[Display],Collection[Line])&amp;_xlfn.xlookup(I204,Sleeve[Display],Sleeve[Sleeve]),"")</f>
        <v/>
      </c>
    </row>
    <row r="205" s="21" customFormat="true" ht="30" hidden="false" customHeight="true" outlineLevel="0" collapsed="false">
      <c r="A205" s="20"/>
      <c r="B205" s="90" t="n">
        <v>192</v>
      </c>
      <c r="C205" s="150"/>
      <c r="D205" s="160"/>
      <c r="E205" s="152"/>
      <c r="F205" s="152"/>
      <c r="G205" s="152"/>
      <c r="H205" s="152"/>
      <c r="I205" s="153"/>
      <c r="J205" s="152"/>
      <c r="K205" s="161"/>
      <c r="L205" s="152"/>
      <c r="M205" s="152"/>
      <c r="N205" s="152"/>
      <c r="O205" s="153"/>
      <c r="P205" s="153"/>
      <c r="Q205" s="153"/>
      <c r="R205" s="153"/>
      <c r="S205" s="153"/>
      <c r="T205" s="154"/>
      <c r="U205" s="159"/>
      <c r="V205" s="155" t="str">
        <f aca="false">IF(J205="","",'Pricing Details'!D195+'Pricing Details'!Q195)</f>
        <v/>
      </c>
      <c r="W205" s="155" t="str">
        <f aca="false">IF(J205="","",'Pricing Details'!V195)</f>
        <v/>
      </c>
      <c r="X205" s="156" t="str">
        <f aca="false">IF(J205="","",'Pricing Details'!X195)</f>
        <v/>
      </c>
      <c r="Y205" s="157" t="str">
        <f aca="false">'Pricing Details'!Z195</f>
        <v/>
      </c>
      <c r="Z205" s="158" t="str">
        <f aca="false">'Pricing Details'!AC195</f>
        <v/>
      </c>
      <c r="AA205" s="20"/>
      <c r="AB205" s="21" t="str">
        <f aca="false">IFERROR(_xlfn.xlookup(H205,Collection[Display],Collection[Line])&amp;_xlfn.xlookup(I205,Sleeve[Display],Sleeve[Sleeve]),"")</f>
        <v/>
      </c>
    </row>
    <row r="206" s="21" customFormat="true" ht="30" hidden="false" customHeight="true" outlineLevel="0" collapsed="false">
      <c r="A206" s="20"/>
      <c r="B206" s="90" t="n">
        <v>193</v>
      </c>
      <c r="C206" s="150"/>
      <c r="D206" s="160"/>
      <c r="E206" s="152"/>
      <c r="F206" s="152"/>
      <c r="G206" s="152"/>
      <c r="H206" s="152"/>
      <c r="I206" s="153"/>
      <c r="J206" s="152"/>
      <c r="K206" s="161"/>
      <c r="L206" s="152"/>
      <c r="M206" s="152"/>
      <c r="N206" s="152"/>
      <c r="O206" s="153"/>
      <c r="P206" s="153"/>
      <c r="Q206" s="153"/>
      <c r="R206" s="153"/>
      <c r="S206" s="153"/>
      <c r="T206" s="154"/>
      <c r="U206" s="159"/>
      <c r="V206" s="155" t="str">
        <f aca="false">IF(J206="","",'Pricing Details'!D196+'Pricing Details'!Q196)</f>
        <v/>
      </c>
      <c r="W206" s="155" t="str">
        <f aca="false">IF(J206="","",'Pricing Details'!V196)</f>
        <v/>
      </c>
      <c r="X206" s="156" t="str">
        <f aca="false">IF(J206="","",'Pricing Details'!X196)</f>
        <v/>
      </c>
      <c r="Y206" s="157" t="str">
        <f aca="false">'Pricing Details'!Z196</f>
        <v/>
      </c>
      <c r="Z206" s="158" t="str">
        <f aca="false">'Pricing Details'!AC196</f>
        <v/>
      </c>
      <c r="AA206" s="20"/>
      <c r="AB206" s="21" t="str">
        <f aca="false">IFERROR(_xlfn.xlookup(H206,Collection[Display],Collection[Line])&amp;_xlfn.xlookup(I206,Sleeve[Display],Sleeve[Sleeve]),"")</f>
        <v/>
      </c>
    </row>
    <row r="207" s="21" customFormat="true" ht="30" hidden="false" customHeight="true" outlineLevel="0" collapsed="false">
      <c r="A207" s="20"/>
      <c r="B207" s="90" t="n">
        <v>194</v>
      </c>
      <c r="C207" s="150"/>
      <c r="D207" s="160"/>
      <c r="E207" s="152"/>
      <c r="F207" s="152"/>
      <c r="G207" s="152"/>
      <c r="H207" s="152"/>
      <c r="I207" s="153"/>
      <c r="J207" s="152"/>
      <c r="K207" s="161"/>
      <c r="L207" s="152"/>
      <c r="M207" s="152"/>
      <c r="N207" s="152"/>
      <c r="O207" s="153"/>
      <c r="P207" s="153"/>
      <c r="Q207" s="153"/>
      <c r="R207" s="153"/>
      <c r="S207" s="153"/>
      <c r="T207" s="154"/>
      <c r="U207" s="159"/>
      <c r="V207" s="155" t="str">
        <f aca="false">IF(J207="","",'Pricing Details'!D197+'Pricing Details'!Q197)</f>
        <v/>
      </c>
      <c r="W207" s="155" t="str">
        <f aca="false">IF(J207="","",'Pricing Details'!V197)</f>
        <v/>
      </c>
      <c r="X207" s="156" t="str">
        <f aca="false">IF(J207="","",'Pricing Details'!X197)</f>
        <v/>
      </c>
      <c r="Y207" s="157" t="str">
        <f aca="false">'Pricing Details'!Z197</f>
        <v/>
      </c>
      <c r="Z207" s="158" t="str">
        <f aca="false">'Pricing Details'!AC197</f>
        <v/>
      </c>
      <c r="AA207" s="20"/>
      <c r="AB207" s="21" t="str">
        <f aca="false">IFERROR(_xlfn.xlookup(H207,Collection[Display],Collection[Line])&amp;_xlfn.xlookup(I207,Sleeve[Display],Sleeve[Sleeve]),"")</f>
        <v/>
      </c>
    </row>
    <row r="208" s="21" customFormat="true" ht="30" hidden="false" customHeight="true" outlineLevel="0" collapsed="false">
      <c r="A208" s="20"/>
      <c r="B208" s="90" t="n">
        <v>195</v>
      </c>
      <c r="C208" s="150"/>
      <c r="D208" s="160"/>
      <c r="E208" s="152"/>
      <c r="F208" s="152"/>
      <c r="G208" s="152"/>
      <c r="H208" s="152"/>
      <c r="I208" s="153"/>
      <c r="J208" s="152"/>
      <c r="K208" s="161"/>
      <c r="L208" s="152"/>
      <c r="M208" s="152"/>
      <c r="N208" s="152"/>
      <c r="O208" s="153"/>
      <c r="P208" s="153"/>
      <c r="Q208" s="153"/>
      <c r="R208" s="153"/>
      <c r="S208" s="153"/>
      <c r="T208" s="154"/>
      <c r="U208" s="159"/>
      <c r="V208" s="155" t="str">
        <f aca="false">IF(J208="","",'Pricing Details'!D198+'Pricing Details'!Q198)</f>
        <v/>
      </c>
      <c r="W208" s="155" t="str">
        <f aca="false">IF(J208="","",'Pricing Details'!V198)</f>
        <v/>
      </c>
      <c r="X208" s="156" t="str">
        <f aca="false">IF(J208="","",'Pricing Details'!X198)</f>
        <v/>
      </c>
      <c r="Y208" s="157" t="str">
        <f aca="false">'Pricing Details'!Z198</f>
        <v/>
      </c>
      <c r="Z208" s="158" t="str">
        <f aca="false">'Pricing Details'!AC198</f>
        <v/>
      </c>
      <c r="AA208" s="20"/>
      <c r="AB208" s="21" t="str">
        <f aca="false">IFERROR(_xlfn.xlookup(H208,Collection[Display],Collection[Line])&amp;_xlfn.xlookup(I208,Sleeve[Display],Sleeve[Sleeve]),"")</f>
        <v/>
      </c>
    </row>
    <row r="209" s="21" customFormat="true" ht="30" hidden="false" customHeight="true" outlineLevel="0" collapsed="false">
      <c r="A209" s="20"/>
      <c r="B209" s="90" t="n">
        <v>196</v>
      </c>
      <c r="C209" s="150"/>
      <c r="D209" s="160"/>
      <c r="E209" s="152"/>
      <c r="F209" s="152"/>
      <c r="G209" s="152"/>
      <c r="H209" s="152"/>
      <c r="I209" s="153"/>
      <c r="J209" s="152"/>
      <c r="K209" s="161"/>
      <c r="L209" s="152"/>
      <c r="M209" s="152"/>
      <c r="N209" s="152"/>
      <c r="O209" s="153"/>
      <c r="P209" s="153"/>
      <c r="Q209" s="153"/>
      <c r="R209" s="153"/>
      <c r="S209" s="153"/>
      <c r="T209" s="154"/>
      <c r="U209" s="159"/>
      <c r="V209" s="155" t="str">
        <f aca="false">IF(J209="","",'Pricing Details'!D199+'Pricing Details'!Q199)</f>
        <v/>
      </c>
      <c r="W209" s="155" t="str">
        <f aca="false">IF(J209="","",'Pricing Details'!V199)</f>
        <v/>
      </c>
      <c r="X209" s="156" t="str">
        <f aca="false">IF(J209="","",'Pricing Details'!X199)</f>
        <v/>
      </c>
      <c r="Y209" s="157" t="str">
        <f aca="false">'Pricing Details'!Z199</f>
        <v/>
      </c>
      <c r="Z209" s="158" t="str">
        <f aca="false">'Pricing Details'!AC199</f>
        <v/>
      </c>
      <c r="AA209" s="20"/>
      <c r="AB209" s="21" t="str">
        <f aca="false">IFERROR(_xlfn.xlookup(H209,Collection[Display],Collection[Line])&amp;_xlfn.xlookup(I209,Sleeve[Display],Sleeve[Sleeve]),"")</f>
        <v/>
      </c>
    </row>
    <row r="210" s="21" customFormat="true" ht="30" hidden="false" customHeight="true" outlineLevel="0" collapsed="false">
      <c r="A210" s="20"/>
      <c r="B210" s="90" t="n">
        <v>197</v>
      </c>
      <c r="C210" s="150"/>
      <c r="D210" s="160"/>
      <c r="E210" s="152"/>
      <c r="F210" s="152"/>
      <c r="G210" s="152"/>
      <c r="H210" s="152"/>
      <c r="I210" s="153"/>
      <c r="J210" s="152"/>
      <c r="K210" s="161"/>
      <c r="L210" s="152"/>
      <c r="M210" s="152"/>
      <c r="N210" s="152"/>
      <c r="O210" s="153"/>
      <c r="P210" s="153"/>
      <c r="Q210" s="153"/>
      <c r="R210" s="153"/>
      <c r="S210" s="153"/>
      <c r="T210" s="154"/>
      <c r="U210" s="159"/>
      <c r="V210" s="155" t="str">
        <f aca="false">IF(J210="","",'Pricing Details'!D200+'Pricing Details'!Q200)</f>
        <v/>
      </c>
      <c r="W210" s="155" t="str">
        <f aca="false">IF(J210="","",'Pricing Details'!V200)</f>
        <v/>
      </c>
      <c r="X210" s="156" t="str">
        <f aca="false">IF(J210="","",'Pricing Details'!X200)</f>
        <v/>
      </c>
      <c r="Y210" s="157" t="str">
        <f aca="false">'Pricing Details'!Z200</f>
        <v/>
      </c>
      <c r="Z210" s="158" t="str">
        <f aca="false">'Pricing Details'!AC200</f>
        <v/>
      </c>
      <c r="AA210" s="20"/>
      <c r="AB210" s="21" t="str">
        <f aca="false">IFERROR(_xlfn.xlookup(H210,Collection[Display],Collection[Line])&amp;_xlfn.xlookup(I210,Sleeve[Display],Sleeve[Sleeve]),"")</f>
        <v/>
      </c>
    </row>
    <row r="211" s="21" customFormat="true" ht="30" hidden="false" customHeight="true" outlineLevel="0" collapsed="false">
      <c r="A211" s="20"/>
      <c r="B211" s="90" t="n">
        <v>198</v>
      </c>
      <c r="C211" s="150"/>
      <c r="D211" s="160"/>
      <c r="E211" s="152"/>
      <c r="F211" s="152"/>
      <c r="G211" s="152"/>
      <c r="H211" s="152"/>
      <c r="I211" s="153"/>
      <c r="J211" s="152"/>
      <c r="K211" s="161"/>
      <c r="L211" s="152"/>
      <c r="M211" s="152"/>
      <c r="N211" s="152"/>
      <c r="O211" s="153"/>
      <c r="P211" s="153"/>
      <c r="Q211" s="153"/>
      <c r="R211" s="153"/>
      <c r="S211" s="153"/>
      <c r="T211" s="154"/>
      <c r="U211" s="159"/>
      <c r="V211" s="155" t="str">
        <f aca="false">IF(J211="","",'Pricing Details'!D201+'Pricing Details'!Q201)</f>
        <v/>
      </c>
      <c r="W211" s="155" t="str">
        <f aca="false">IF(J211="","",'Pricing Details'!V201)</f>
        <v/>
      </c>
      <c r="X211" s="156" t="str">
        <f aca="false">IF(J211="","",'Pricing Details'!X201)</f>
        <v/>
      </c>
      <c r="Y211" s="157" t="str">
        <f aca="false">'Pricing Details'!Z201</f>
        <v/>
      </c>
      <c r="Z211" s="158" t="str">
        <f aca="false">'Pricing Details'!AC201</f>
        <v/>
      </c>
      <c r="AA211" s="20"/>
      <c r="AB211" s="21" t="str">
        <f aca="false">IFERROR(_xlfn.xlookup(H211,Collection[Display],Collection[Line])&amp;_xlfn.xlookup(I211,Sleeve[Display],Sleeve[Sleeve]),"")</f>
        <v/>
      </c>
    </row>
    <row r="212" s="21" customFormat="true" ht="30" hidden="false" customHeight="true" outlineLevel="0" collapsed="false">
      <c r="A212" s="20"/>
      <c r="B212" s="90" t="n">
        <v>199</v>
      </c>
      <c r="C212" s="150"/>
      <c r="D212" s="160"/>
      <c r="E212" s="152"/>
      <c r="F212" s="152"/>
      <c r="G212" s="152"/>
      <c r="H212" s="152"/>
      <c r="I212" s="153"/>
      <c r="J212" s="152"/>
      <c r="K212" s="161"/>
      <c r="L212" s="152"/>
      <c r="M212" s="152"/>
      <c r="N212" s="152"/>
      <c r="O212" s="153"/>
      <c r="P212" s="153"/>
      <c r="Q212" s="153"/>
      <c r="R212" s="153"/>
      <c r="S212" s="153"/>
      <c r="T212" s="154"/>
      <c r="U212" s="159"/>
      <c r="V212" s="155" t="str">
        <f aca="false">IF(J212="","",'Pricing Details'!D202+'Pricing Details'!Q202)</f>
        <v/>
      </c>
      <c r="W212" s="155" t="str">
        <f aca="false">IF(J212="","",'Pricing Details'!V202)</f>
        <v/>
      </c>
      <c r="X212" s="156" t="str">
        <f aca="false">IF(J212="","",'Pricing Details'!X202)</f>
        <v/>
      </c>
      <c r="Y212" s="157" t="str">
        <f aca="false">'Pricing Details'!Z202</f>
        <v/>
      </c>
      <c r="Z212" s="158" t="str">
        <f aca="false">'Pricing Details'!AC202</f>
        <v/>
      </c>
      <c r="AA212" s="20"/>
      <c r="AB212" s="21" t="str">
        <f aca="false">IFERROR(_xlfn.xlookup(H212,Collection[Display],Collection[Line])&amp;_xlfn.xlookup(I212,Sleeve[Display],Sleeve[Sleeve]),"")</f>
        <v/>
      </c>
    </row>
    <row r="213" s="21" customFormat="true" ht="30" hidden="false" customHeight="true" outlineLevel="0" collapsed="false">
      <c r="A213" s="20"/>
      <c r="B213" s="90" t="n">
        <v>200</v>
      </c>
      <c r="C213" s="150"/>
      <c r="D213" s="160"/>
      <c r="E213" s="152"/>
      <c r="F213" s="152"/>
      <c r="G213" s="152"/>
      <c r="H213" s="152"/>
      <c r="I213" s="153"/>
      <c r="J213" s="152"/>
      <c r="K213" s="161"/>
      <c r="L213" s="152"/>
      <c r="M213" s="152"/>
      <c r="N213" s="152"/>
      <c r="O213" s="153"/>
      <c r="P213" s="153"/>
      <c r="Q213" s="153"/>
      <c r="R213" s="153"/>
      <c r="S213" s="153"/>
      <c r="T213" s="154"/>
      <c r="U213" s="159"/>
      <c r="V213" s="155" t="str">
        <f aca="false">IF(J213="","",'Pricing Details'!D203+'Pricing Details'!Q203)</f>
        <v/>
      </c>
      <c r="W213" s="155" t="str">
        <f aca="false">IF(J213="","",'Pricing Details'!V203)</f>
        <v/>
      </c>
      <c r="X213" s="156" t="str">
        <f aca="false">IF(J213="","",'Pricing Details'!X203)</f>
        <v/>
      </c>
      <c r="Y213" s="157" t="str">
        <f aca="false">'Pricing Details'!Z203</f>
        <v/>
      </c>
      <c r="Z213" s="158" t="str">
        <f aca="false">'Pricing Details'!AC203</f>
        <v/>
      </c>
      <c r="AA213" s="20"/>
      <c r="AB213" s="21" t="str">
        <f aca="false">IFERROR(_xlfn.xlookup(H213,Collection[Display],Collection[Line])&amp;_xlfn.xlookup(I213,Sleeve[Display],Sleeve[Sleeve]),"")</f>
        <v/>
      </c>
    </row>
    <row r="214" s="21" customFormat="true" ht="30" hidden="false" customHeight="true" outlineLevel="0" collapsed="false">
      <c r="A214" s="20"/>
      <c r="B214" s="90" t="n">
        <v>201</v>
      </c>
      <c r="C214" s="150"/>
      <c r="D214" s="160"/>
      <c r="E214" s="152"/>
      <c r="F214" s="152"/>
      <c r="G214" s="152"/>
      <c r="H214" s="152"/>
      <c r="I214" s="153"/>
      <c r="J214" s="152"/>
      <c r="K214" s="161"/>
      <c r="L214" s="152"/>
      <c r="M214" s="152"/>
      <c r="N214" s="152"/>
      <c r="O214" s="153"/>
      <c r="P214" s="153"/>
      <c r="Q214" s="153"/>
      <c r="R214" s="153"/>
      <c r="S214" s="153"/>
      <c r="T214" s="154"/>
      <c r="U214" s="159"/>
      <c r="V214" s="155" t="str">
        <f aca="false">IF(J214="","",'Pricing Details'!D204+'Pricing Details'!Q204)</f>
        <v/>
      </c>
      <c r="W214" s="155" t="str">
        <f aca="false">IF(J214="","",'Pricing Details'!V204)</f>
        <v/>
      </c>
      <c r="X214" s="156" t="str">
        <f aca="false">IF(J214="","",'Pricing Details'!X204)</f>
        <v/>
      </c>
      <c r="Y214" s="157" t="str">
        <f aca="false">'Pricing Details'!Z204</f>
        <v/>
      </c>
      <c r="Z214" s="158" t="str">
        <f aca="false">'Pricing Details'!AC204</f>
        <v/>
      </c>
      <c r="AA214" s="20"/>
      <c r="AB214" s="21" t="str">
        <f aca="false">IFERROR(_xlfn.xlookup(H214,Collection[Display],Collection[Line])&amp;_xlfn.xlookup(I214,Sleeve[Display],Sleeve[Sleeve]),"")</f>
        <v/>
      </c>
    </row>
    <row r="215" s="21" customFormat="true" ht="30" hidden="false" customHeight="true" outlineLevel="0" collapsed="false">
      <c r="A215" s="20"/>
      <c r="B215" s="90" t="n">
        <v>202</v>
      </c>
      <c r="C215" s="150"/>
      <c r="D215" s="160"/>
      <c r="E215" s="152"/>
      <c r="F215" s="152"/>
      <c r="G215" s="152"/>
      <c r="H215" s="152"/>
      <c r="I215" s="153"/>
      <c r="J215" s="152"/>
      <c r="K215" s="161"/>
      <c r="L215" s="152"/>
      <c r="M215" s="152"/>
      <c r="N215" s="152"/>
      <c r="O215" s="153"/>
      <c r="P215" s="153"/>
      <c r="Q215" s="153"/>
      <c r="R215" s="153"/>
      <c r="S215" s="153"/>
      <c r="T215" s="154"/>
      <c r="U215" s="159"/>
      <c r="V215" s="155" t="str">
        <f aca="false">IF(J215="","",'Pricing Details'!D205+'Pricing Details'!Q205)</f>
        <v/>
      </c>
      <c r="W215" s="155" t="str">
        <f aca="false">IF(J215="","",'Pricing Details'!V205)</f>
        <v/>
      </c>
      <c r="X215" s="156" t="str">
        <f aca="false">IF(J215="","",'Pricing Details'!X205)</f>
        <v/>
      </c>
      <c r="Y215" s="157" t="str">
        <f aca="false">'Pricing Details'!Z205</f>
        <v/>
      </c>
      <c r="Z215" s="158" t="str">
        <f aca="false">'Pricing Details'!AC205</f>
        <v/>
      </c>
      <c r="AA215" s="20"/>
      <c r="AB215" s="21" t="str">
        <f aca="false">IFERROR(_xlfn.xlookup(H215,Collection[Display],Collection[Line])&amp;_xlfn.xlookup(I215,Sleeve[Display],Sleeve[Sleeve]),"")</f>
        <v/>
      </c>
    </row>
    <row r="216" s="21" customFormat="true" ht="30" hidden="false" customHeight="true" outlineLevel="0" collapsed="false">
      <c r="A216" s="20"/>
      <c r="B216" s="90" t="n">
        <v>203</v>
      </c>
      <c r="C216" s="150"/>
      <c r="D216" s="160"/>
      <c r="E216" s="152"/>
      <c r="F216" s="152"/>
      <c r="G216" s="152"/>
      <c r="H216" s="152"/>
      <c r="I216" s="153"/>
      <c r="J216" s="152"/>
      <c r="K216" s="161"/>
      <c r="L216" s="152"/>
      <c r="M216" s="152"/>
      <c r="N216" s="152"/>
      <c r="O216" s="153"/>
      <c r="P216" s="153"/>
      <c r="Q216" s="153"/>
      <c r="R216" s="153"/>
      <c r="S216" s="153"/>
      <c r="T216" s="154"/>
      <c r="U216" s="159"/>
      <c r="V216" s="155" t="str">
        <f aca="false">IF(J216="","",'Pricing Details'!D206+'Pricing Details'!Q206)</f>
        <v/>
      </c>
      <c r="W216" s="155" t="str">
        <f aca="false">IF(J216="","",'Pricing Details'!V206)</f>
        <v/>
      </c>
      <c r="X216" s="156" t="str">
        <f aca="false">IF(J216="","",'Pricing Details'!X206)</f>
        <v/>
      </c>
      <c r="Y216" s="157" t="str">
        <f aca="false">'Pricing Details'!Z206</f>
        <v/>
      </c>
      <c r="Z216" s="158" t="str">
        <f aca="false">'Pricing Details'!AC206</f>
        <v/>
      </c>
      <c r="AA216" s="20"/>
      <c r="AB216" s="21" t="str">
        <f aca="false">IFERROR(_xlfn.xlookup(H216,Collection[Display],Collection[Line])&amp;_xlfn.xlookup(I216,Sleeve[Display],Sleeve[Sleeve]),"")</f>
        <v/>
      </c>
    </row>
    <row r="217" s="21" customFormat="true" ht="30" hidden="false" customHeight="true" outlineLevel="0" collapsed="false">
      <c r="A217" s="20"/>
      <c r="B217" s="90" t="n">
        <v>204</v>
      </c>
      <c r="C217" s="150"/>
      <c r="D217" s="160"/>
      <c r="E217" s="152"/>
      <c r="F217" s="152"/>
      <c r="G217" s="152"/>
      <c r="H217" s="152"/>
      <c r="I217" s="153"/>
      <c r="J217" s="152"/>
      <c r="K217" s="161"/>
      <c r="L217" s="152"/>
      <c r="M217" s="152"/>
      <c r="N217" s="152"/>
      <c r="O217" s="153"/>
      <c r="P217" s="153"/>
      <c r="Q217" s="153"/>
      <c r="R217" s="153"/>
      <c r="S217" s="153"/>
      <c r="T217" s="154"/>
      <c r="U217" s="159"/>
      <c r="V217" s="155" t="str">
        <f aca="false">IF(J217="","",'Pricing Details'!D207+'Pricing Details'!Q207)</f>
        <v/>
      </c>
      <c r="W217" s="155" t="str">
        <f aca="false">IF(J217="","",'Pricing Details'!V207)</f>
        <v/>
      </c>
      <c r="X217" s="156" t="str">
        <f aca="false">IF(J217="","",'Pricing Details'!X207)</f>
        <v/>
      </c>
      <c r="Y217" s="157" t="str">
        <f aca="false">'Pricing Details'!Z207</f>
        <v/>
      </c>
      <c r="Z217" s="158" t="str">
        <f aca="false">'Pricing Details'!AC207</f>
        <v/>
      </c>
      <c r="AA217" s="20"/>
      <c r="AB217" s="21" t="str">
        <f aca="false">IFERROR(_xlfn.xlookup(H217,Collection[Display],Collection[Line])&amp;_xlfn.xlookup(I217,Sleeve[Display],Sleeve[Sleeve]),"")</f>
        <v/>
      </c>
    </row>
    <row r="218" s="21" customFormat="true" ht="30" hidden="false" customHeight="true" outlineLevel="0" collapsed="false">
      <c r="A218" s="20"/>
      <c r="B218" s="90" t="n">
        <v>205</v>
      </c>
      <c r="C218" s="150"/>
      <c r="D218" s="160"/>
      <c r="E218" s="152"/>
      <c r="F218" s="152"/>
      <c r="G218" s="152"/>
      <c r="H218" s="152"/>
      <c r="I218" s="153"/>
      <c r="J218" s="152"/>
      <c r="K218" s="161"/>
      <c r="L218" s="152"/>
      <c r="M218" s="152"/>
      <c r="N218" s="152"/>
      <c r="O218" s="153"/>
      <c r="P218" s="153"/>
      <c r="Q218" s="153"/>
      <c r="R218" s="153"/>
      <c r="S218" s="153"/>
      <c r="T218" s="154"/>
      <c r="U218" s="159"/>
      <c r="V218" s="155" t="str">
        <f aca="false">IF(J218="","",'Pricing Details'!D208+'Pricing Details'!Q208)</f>
        <v/>
      </c>
      <c r="W218" s="155" t="str">
        <f aca="false">IF(J218="","",'Pricing Details'!V208)</f>
        <v/>
      </c>
      <c r="X218" s="156" t="str">
        <f aca="false">IF(J218="","",'Pricing Details'!X208)</f>
        <v/>
      </c>
      <c r="Y218" s="157" t="str">
        <f aca="false">'Pricing Details'!Z208</f>
        <v/>
      </c>
      <c r="Z218" s="158" t="str">
        <f aca="false">'Pricing Details'!AC208</f>
        <v/>
      </c>
      <c r="AA218" s="20"/>
      <c r="AB218" s="21" t="str">
        <f aca="false">IFERROR(_xlfn.xlookup(H218,Collection[Display],Collection[Line])&amp;_xlfn.xlookup(I218,Sleeve[Display],Sleeve[Sleeve]),"")</f>
        <v/>
      </c>
    </row>
    <row r="219" s="21" customFormat="true" ht="30" hidden="false" customHeight="true" outlineLevel="0" collapsed="false">
      <c r="A219" s="20"/>
      <c r="B219" s="90" t="n">
        <v>206</v>
      </c>
      <c r="C219" s="150"/>
      <c r="D219" s="160"/>
      <c r="E219" s="152"/>
      <c r="F219" s="152"/>
      <c r="G219" s="152"/>
      <c r="H219" s="152"/>
      <c r="I219" s="153"/>
      <c r="J219" s="152"/>
      <c r="K219" s="161"/>
      <c r="L219" s="152"/>
      <c r="M219" s="152"/>
      <c r="N219" s="152"/>
      <c r="O219" s="153"/>
      <c r="P219" s="153"/>
      <c r="Q219" s="153"/>
      <c r="R219" s="153"/>
      <c r="S219" s="153"/>
      <c r="T219" s="154"/>
      <c r="U219" s="159"/>
      <c r="V219" s="155" t="str">
        <f aca="false">IF(J219="","",'Pricing Details'!D209+'Pricing Details'!Q209)</f>
        <v/>
      </c>
      <c r="W219" s="155" t="str">
        <f aca="false">IF(J219="","",'Pricing Details'!V209)</f>
        <v/>
      </c>
      <c r="X219" s="156" t="str">
        <f aca="false">IF(J219="","",'Pricing Details'!X209)</f>
        <v/>
      </c>
      <c r="Y219" s="157" t="str">
        <f aca="false">'Pricing Details'!Z209</f>
        <v/>
      </c>
      <c r="Z219" s="158" t="str">
        <f aca="false">'Pricing Details'!AC209</f>
        <v/>
      </c>
      <c r="AA219" s="20"/>
      <c r="AB219" s="21" t="str">
        <f aca="false">IFERROR(_xlfn.xlookup(H219,Collection[Display],Collection[Line])&amp;_xlfn.xlookup(I219,Sleeve[Display],Sleeve[Sleeve]),"")</f>
        <v/>
      </c>
    </row>
    <row r="220" s="21" customFormat="true" ht="30" hidden="false" customHeight="true" outlineLevel="0" collapsed="false">
      <c r="A220" s="20"/>
      <c r="B220" s="90" t="n">
        <v>207</v>
      </c>
      <c r="C220" s="150"/>
      <c r="D220" s="160"/>
      <c r="E220" s="152"/>
      <c r="F220" s="152"/>
      <c r="G220" s="152"/>
      <c r="H220" s="152"/>
      <c r="I220" s="153"/>
      <c r="J220" s="152"/>
      <c r="K220" s="161"/>
      <c r="L220" s="152"/>
      <c r="M220" s="152"/>
      <c r="N220" s="152"/>
      <c r="O220" s="153"/>
      <c r="P220" s="153"/>
      <c r="Q220" s="153"/>
      <c r="R220" s="153"/>
      <c r="S220" s="153"/>
      <c r="T220" s="154"/>
      <c r="U220" s="159"/>
      <c r="V220" s="155" t="str">
        <f aca="false">IF(J220="","",'Pricing Details'!D210+'Pricing Details'!Q210)</f>
        <v/>
      </c>
      <c r="W220" s="155" t="str">
        <f aca="false">IF(J220="","",'Pricing Details'!V210)</f>
        <v/>
      </c>
      <c r="X220" s="156" t="str">
        <f aca="false">IF(J220="","",'Pricing Details'!X210)</f>
        <v/>
      </c>
      <c r="Y220" s="157" t="str">
        <f aca="false">'Pricing Details'!Z210</f>
        <v/>
      </c>
      <c r="Z220" s="158" t="str">
        <f aca="false">'Pricing Details'!AC210</f>
        <v/>
      </c>
      <c r="AA220" s="20"/>
      <c r="AB220" s="21" t="str">
        <f aca="false">IFERROR(_xlfn.xlookup(H220,Collection[Display],Collection[Line])&amp;_xlfn.xlookup(I220,Sleeve[Display],Sleeve[Sleeve]),"")</f>
        <v/>
      </c>
    </row>
    <row r="221" s="21" customFormat="true" ht="30" hidden="false" customHeight="true" outlineLevel="0" collapsed="false">
      <c r="A221" s="20"/>
      <c r="B221" s="90" t="n">
        <v>208</v>
      </c>
      <c r="C221" s="150"/>
      <c r="D221" s="160"/>
      <c r="E221" s="152"/>
      <c r="F221" s="152"/>
      <c r="G221" s="152"/>
      <c r="H221" s="152"/>
      <c r="I221" s="153"/>
      <c r="J221" s="152"/>
      <c r="K221" s="161"/>
      <c r="L221" s="152"/>
      <c r="M221" s="152"/>
      <c r="N221" s="152"/>
      <c r="O221" s="153"/>
      <c r="P221" s="153"/>
      <c r="Q221" s="153"/>
      <c r="R221" s="153"/>
      <c r="S221" s="153"/>
      <c r="T221" s="154"/>
      <c r="U221" s="159"/>
      <c r="V221" s="155" t="str">
        <f aca="false">IF(J221="","",'Pricing Details'!D211+'Pricing Details'!Q211)</f>
        <v/>
      </c>
      <c r="W221" s="155" t="str">
        <f aca="false">IF(J221="","",'Pricing Details'!V211)</f>
        <v/>
      </c>
      <c r="X221" s="156" t="str">
        <f aca="false">IF(J221="","",'Pricing Details'!X211)</f>
        <v/>
      </c>
      <c r="Y221" s="157" t="str">
        <f aca="false">'Pricing Details'!Z211</f>
        <v/>
      </c>
      <c r="Z221" s="158" t="str">
        <f aca="false">'Pricing Details'!AC211</f>
        <v/>
      </c>
      <c r="AA221" s="20"/>
      <c r="AB221" s="21" t="str">
        <f aca="false">IFERROR(_xlfn.xlookup(H221,Collection[Display],Collection[Line])&amp;_xlfn.xlookup(I221,Sleeve[Display],Sleeve[Sleeve]),"")</f>
        <v/>
      </c>
    </row>
    <row r="222" s="21" customFormat="true" ht="30" hidden="false" customHeight="true" outlineLevel="0" collapsed="false">
      <c r="A222" s="20"/>
      <c r="B222" s="90" t="n">
        <v>209</v>
      </c>
      <c r="C222" s="150"/>
      <c r="D222" s="160"/>
      <c r="E222" s="152"/>
      <c r="F222" s="152"/>
      <c r="G222" s="152"/>
      <c r="H222" s="152"/>
      <c r="I222" s="153"/>
      <c r="J222" s="152"/>
      <c r="K222" s="161"/>
      <c r="L222" s="152"/>
      <c r="M222" s="152"/>
      <c r="N222" s="152"/>
      <c r="O222" s="153"/>
      <c r="P222" s="153"/>
      <c r="Q222" s="153"/>
      <c r="R222" s="153"/>
      <c r="S222" s="153"/>
      <c r="T222" s="154"/>
      <c r="U222" s="159"/>
      <c r="V222" s="155" t="str">
        <f aca="false">IF(J222="","",'Pricing Details'!D212+'Pricing Details'!Q212)</f>
        <v/>
      </c>
      <c r="W222" s="155" t="str">
        <f aca="false">IF(J222="","",'Pricing Details'!V212)</f>
        <v/>
      </c>
      <c r="X222" s="156" t="str">
        <f aca="false">IF(J222="","",'Pricing Details'!X212)</f>
        <v/>
      </c>
      <c r="Y222" s="157" t="str">
        <f aca="false">'Pricing Details'!Z212</f>
        <v/>
      </c>
      <c r="Z222" s="158" t="str">
        <f aca="false">'Pricing Details'!AC212</f>
        <v/>
      </c>
      <c r="AA222" s="20"/>
      <c r="AB222" s="21" t="str">
        <f aca="false">IFERROR(_xlfn.xlookup(H222,Collection[Display],Collection[Line])&amp;_xlfn.xlookup(I222,Sleeve[Display],Sleeve[Sleeve]),"")</f>
        <v/>
      </c>
    </row>
    <row r="223" s="21" customFormat="true" ht="30" hidden="false" customHeight="true" outlineLevel="0" collapsed="false">
      <c r="A223" s="20"/>
      <c r="B223" s="90" t="n">
        <v>210</v>
      </c>
      <c r="C223" s="150"/>
      <c r="D223" s="160"/>
      <c r="E223" s="152"/>
      <c r="F223" s="152"/>
      <c r="G223" s="152"/>
      <c r="H223" s="152"/>
      <c r="I223" s="153"/>
      <c r="J223" s="152"/>
      <c r="K223" s="161"/>
      <c r="L223" s="152"/>
      <c r="M223" s="152"/>
      <c r="N223" s="152"/>
      <c r="O223" s="153"/>
      <c r="P223" s="153"/>
      <c r="Q223" s="153"/>
      <c r="R223" s="153"/>
      <c r="S223" s="153"/>
      <c r="T223" s="154"/>
      <c r="U223" s="159"/>
      <c r="V223" s="155" t="str">
        <f aca="false">IF(J223="","",'Pricing Details'!D213+'Pricing Details'!Q213)</f>
        <v/>
      </c>
      <c r="W223" s="155" t="str">
        <f aca="false">IF(J223="","",'Pricing Details'!V213)</f>
        <v/>
      </c>
      <c r="X223" s="156" t="str">
        <f aca="false">IF(J223="","",'Pricing Details'!X213)</f>
        <v/>
      </c>
      <c r="Y223" s="157" t="str">
        <f aca="false">'Pricing Details'!Z213</f>
        <v/>
      </c>
      <c r="Z223" s="158" t="str">
        <f aca="false">'Pricing Details'!AC213</f>
        <v/>
      </c>
      <c r="AA223" s="20"/>
      <c r="AB223" s="21" t="str">
        <f aca="false">IFERROR(_xlfn.xlookup(H223,Collection[Display],Collection[Line])&amp;_xlfn.xlookup(I223,Sleeve[Display],Sleeve[Sleeve]),"")</f>
        <v/>
      </c>
    </row>
    <row r="224" s="21" customFormat="true" ht="30" hidden="false" customHeight="true" outlineLevel="0" collapsed="false">
      <c r="A224" s="20"/>
      <c r="B224" s="90" t="n">
        <v>211</v>
      </c>
      <c r="C224" s="150"/>
      <c r="D224" s="160"/>
      <c r="E224" s="152"/>
      <c r="F224" s="152"/>
      <c r="G224" s="152"/>
      <c r="H224" s="152"/>
      <c r="I224" s="153"/>
      <c r="J224" s="152"/>
      <c r="K224" s="161"/>
      <c r="L224" s="152"/>
      <c r="M224" s="152"/>
      <c r="N224" s="152"/>
      <c r="O224" s="153"/>
      <c r="P224" s="153"/>
      <c r="Q224" s="153"/>
      <c r="R224" s="153"/>
      <c r="S224" s="153"/>
      <c r="T224" s="154"/>
      <c r="U224" s="159"/>
      <c r="V224" s="155" t="str">
        <f aca="false">IF(J224="","",'Pricing Details'!D214+'Pricing Details'!Q214)</f>
        <v/>
      </c>
      <c r="W224" s="155" t="str">
        <f aca="false">IF(J224="","",'Pricing Details'!V214)</f>
        <v/>
      </c>
      <c r="X224" s="156" t="str">
        <f aca="false">IF(J224="","",'Pricing Details'!X214)</f>
        <v/>
      </c>
      <c r="Y224" s="157" t="str">
        <f aca="false">'Pricing Details'!Z214</f>
        <v/>
      </c>
      <c r="Z224" s="158" t="str">
        <f aca="false">'Pricing Details'!AC214</f>
        <v/>
      </c>
      <c r="AA224" s="20"/>
      <c r="AB224" s="21" t="str">
        <f aca="false">IFERROR(_xlfn.xlookup(H224,Collection[Display],Collection[Line])&amp;_xlfn.xlookup(I224,Sleeve[Display],Sleeve[Sleeve]),"")</f>
        <v/>
      </c>
    </row>
    <row r="225" s="21" customFormat="true" ht="30" hidden="false" customHeight="true" outlineLevel="0" collapsed="false">
      <c r="A225" s="20"/>
      <c r="B225" s="90" t="n">
        <v>212</v>
      </c>
      <c r="C225" s="150"/>
      <c r="D225" s="160"/>
      <c r="E225" s="152"/>
      <c r="F225" s="152"/>
      <c r="G225" s="152"/>
      <c r="H225" s="152"/>
      <c r="I225" s="153"/>
      <c r="J225" s="152"/>
      <c r="K225" s="161"/>
      <c r="L225" s="152"/>
      <c r="M225" s="152"/>
      <c r="N225" s="152"/>
      <c r="O225" s="153"/>
      <c r="P225" s="153"/>
      <c r="Q225" s="153"/>
      <c r="R225" s="153"/>
      <c r="S225" s="153"/>
      <c r="T225" s="154"/>
      <c r="U225" s="159"/>
      <c r="V225" s="155" t="str">
        <f aca="false">IF(J225="","",'Pricing Details'!D215+'Pricing Details'!Q215)</f>
        <v/>
      </c>
      <c r="W225" s="155" t="str">
        <f aca="false">IF(J225="","",'Pricing Details'!V215)</f>
        <v/>
      </c>
      <c r="X225" s="156" t="str">
        <f aca="false">IF(J225="","",'Pricing Details'!X215)</f>
        <v/>
      </c>
      <c r="Y225" s="157" t="str">
        <f aca="false">'Pricing Details'!Z215</f>
        <v/>
      </c>
      <c r="Z225" s="158" t="str">
        <f aca="false">'Pricing Details'!AC215</f>
        <v/>
      </c>
      <c r="AA225" s="20"/>
      <c r="AB225" s="21" t="str">
        <f aca="false">IFERROR(_xlfn.xlookup(H225,Collection[Display],Collection[Line])&amp;_xlfn.xlookup(I225,Sleeve[Display],Sleeve[Sleeve]),"")</f>
        <v/>
      </c>
    </row>
    <row r="226" s="21" customFormat="true" ht="30" hidden="false" customHeight="true" outlineLevel="0" collapsed="false">
      <c r="A226" s="20"/>
      <c r="B226" s="90" t="n">
        <v>213</v>
      </c>
      <c r="C226" s="150"/>
      <c r="D226" s="160"/>
      <c r="E226" s="152"/>
      <c r="F226" s="152"/>
      <c r="G226" s="152"/>
      <c r="H226" s="152"/>
      <c r="I226" s="153"/>
      <c r="J226" s="152"/>
      <c r="K226" s="161"/>
      <c r="L226" s="152"/>
      <c r="M226" s="152"/>
      <c r="N226" s="152"/>
      <c r="O226" s="153"/>
      <c r="P226" s="153"/>
      <c r="Q226" s="153"/>
      <c r="R226" s="153"/>
      <c r="S226" s="153"/>
      <c r="T226" s="154"/>
      <c r="U226" s="159"/>
      <c r="V226" s="155" t="str">
        <f aca="false">IF(J226="","",'Pricing Details'!D216+'Pricing Details'!Q216)</f>
        <v/>
      </c>
      <c r="W226" s="155" t="str">
        <f aca="false">IF(J226="","",'Pricing Details'!V216)</f>
        <v/>
      </c>
      <c r="X226" s="156" t="str">
        <f aca="false">IF(J226="","",'Pricing Details'!X216)</f>
        <v/>
      </c>
      <c r="Y226" s="157" t="str">
        <f aca="false">'Pricing Details'!Z216</f>
        <v/>
      </c>
      <c r="Z226" s="158" t="str">
        <f aca="false">'Pricing Details'!AC216</f>
        <v/>
      </c>
      <c r="AA226" s="20"/>
      <c r="AB226" s="21" t="str">
        <f aca="false">IFERROR(_xlfn.xlookup(H226,Collection[Display],Collection[Line])&amp;_xlfn.xlookup(I226,Sleeve[Display],Sleeve[Sleeve]),"")</f>
        <v/>
      </c>
    </row>
    <row r="227" s="21" customFormat="true" ht="30" hidden="false" customHeight="true" outlineLevel="0" collapsed="false">
      <c r="A227" s="20"/>
      <c r="B227" s="90" t="n">
        <v>214</v>
      </c>
      <c r="C227" s="150"/>
      <c r="D227" s="160"/>
      <c r="E227" s="152"/>
      <c r="F227" s="152"/>
      <c r="G227" s="152"/>
      <c r="H227" s="152"/>
      <c r="I227" s="153"/>
      <c r="J227" s="152"/>
      <c r="K227" s="161"/>
      <c r="L227" s="152"/>
      <c r="M227" s="152"/>
      <c r="N227" s="152"/>
      <c r="O227" s="153"/>
      <c r="P227" s="153"/>
      <c r="Q227" s="153"/>
      <c r="R227" s="153"/>
      <c r="S227" s="153"/>
      <c r="T227" s="154"/>
      <c r="U227" s="159"/>
      <c r="V227" s="155" t="str">
        <f aca="false">IF(J227="","",'Pricing Details'!D217+'Pricing Details'!Q217)</f>
        <v/>
      </c>
      <c r="W227" s="155" t="str">
        <f aca="false">IF(J227="","",'Pricing Details'!V217)</f>
        <v/>
      </c>
      <c r="X227" s="156" t="str">
        <f aca="false">IF(J227="","",'Pricing Details'!X217)</f>
        <v/>
      </c>
      <c r="Y227" s="157" t="str">
        <f aca="false">'Pricing Details'!Z217</f>
        <v/>
      </c>
      <c r="Z227" s="158" t="str">
        <f aca="false">'Pricing Details'!AC217</f>
        <v/>
      </c>
      <c r="AA227" s="20"/>
      <c r="AB227" s="21" t="str">
        <f aca="false">IFERROR(_xlfn.xlookup(H227,Collection[Display],Collection[Line])&amp;_xlfn.xlookup(I227,Sleeve[Display],Sleeve[Sleeve]),"")</f>
        <v/>
      </c>
    </row>
    <row r="228" s="21" customFormat="true" ht="30" hidden="false" customHeight="true" outlineLevel="0" collapsed="false">
      <c r="A228" s="20"/>
      <c r="B228" s="90" t="n">
        <v>215</v>
      </c>
      <c r="C228" s="150"/>
      <c r="D228" s="160"/>
      <c r="E228" s="152"/>
      <c r="F228" s="152"/>
      <c r="G228" s="152"/>
      <c r="H228" s="152"/>
      <c r="I228" s="153"/>
      <c r="J228" s="152"/>
      <c r="K228" s="161"/>
      <c r="L228" s="152"/>
      <c r="M228" s="152"/>
      <c r="N228" s="152"/>
      <c r="O228" s="153"/>
      <c r="P228" s="153"/>
      <c r="Q228" s="153"/>
      <c r="R228" s="153"/>
      <c r="S228" s="153"/>
      <c r="T228" s="154"/>
      <c r="U228" s="159"/>
      <c r="V228" s="155" t="str">
        <f aca="false">IF(J228="","",'Pricing Details'!D218+'Pricing Details'!Q218)</f>
        <v/>
      </c>
      <c r="W228" s="155" t="str">
        <f aca="false">IF(J228="","",'Pricing Details'!V218)</f>
        <v/>
      </c>
      <c r="X228" s="156" t="str">
        <f aca="false">IF(J228="","",'Pricing Details'!X218)</f>
        <v/>
      </c>
      <c r="Y228" s="157" t="str">
        <f aca="false">'Pricing Details'!Z218</f>
        <v/>
      </c>
      <c r="Z228" s="158" t="str">
        <f aca="false">'Pricing Details'!AC218</f>
        <v/>
      </c>
      <c r="AA228" s="20"/>
      <c r="AB228" s="21" t="str">
        <f aca="false">IFERROR(_xlfn.xlookup(H228,Collection[Display],Collection[Line])&amp;_xlfn.xlookup(I228,Sleeve[Display],Sleeve[Sleeve]),"")</f>
        <v/>
      </c>
    </row>
    <row r="229" s="21" customFormat="true" ht="30" hidden="false" customHeight="true" outlineLevel="0" collapsed="false">
      <c r="A229" s="20"/>
      <c r="B229" s="90" t="n">
        <v>216</v>
      </c>
      <c r="C229" s="150"/>
      <c r="D229" s="160"/>
      <c r="E229" s="152"/>
      <c r="F229" s="152"/>
      <c r="G229" s="152"/>
      <c r="H229" s="152"/>
      <c r="I229" s="153"/>
      <c r="J229" s="152"/>
      <c r="K229" s="161"/>
      <c r="L229" s="152"/>
      <c r="M229" s="152"/>
      <c r="N229" s="152"/>
      <c r="O229" s="153"/>
      <c r="P229" s="153"/>
      <c r="Q229" s="153"/>
      <c r="R229" s="153"/>
      <c r="S229" s="153"/>
      <c r="T229" s="154"/>
      <c r="U229" s="159"/>
      <c r="V229" s="155" t="str">
        <f aca="false">IF(J229="","",'Pricing Details'!D219+'Pricing Details'!Q219)</f>
        <v/>
      </c>
      <c r="W229" s="155" t="str">
        <f aca="false">IF(J229="","",'Pricing Details'!V219)</f>
        <v/>
      </c>
      <c r="X229" s="156" t="str">
        <f aca="false">IF(J229="","",'Pricing Details'!X219)</f>
        <v/>
      </c>
      <c r="Y229" s="157" t="str">
        <f aca="false">'Pricing Details'!Z219</f>
        <v/>
      </c>
      <c r="Z229" s="158" t="str">
        <f aca="false">'Pricing Details'!AC219</f>
        <v/>
      </c>
      <c r="AA229" s="20"/>
      <c r="AB229" s="21" t="str">
        <f aca="false">IFERROR(_xlfn.xlookup(H229,Collection[Display],Collection[Line])&amp;_xlfn.xlookup(I229,Sleeve[Display],Sleeve[Sleeve]),"")</f>
        <v/>
      </c>
    </row>
    <row r="230" s="21" customFormat="true" ht="30" hidden="false" customHeight="true" outlineLevel="0" collapsed="false">
      <c r="A230" s="20"/>
      <c r="B230" s="90" t="n">
        <v>217</v>
      </c>
      <c r="C230" s="150"/>
      <c r="D230" s="160"/>
      <c r="E230" s="152"/>
      <c r="F230" s="152"/>
      <c r="G230" s="152"/>
      <c r="H230" s="152"/>
      <c r="I230" s="153"/>
      <c r="J230" s="152"/>
      <c r="K230" s="161"/>
      <c r="L230" s="152"/>
      <c r="M230" s="152"/>
      <c r="N230" s="152"/>
      <c r="O230" s="153"/>
      <c r="P230" s="153"/>
      <c r="Q230" s="153"/>
      <c r="R230" s="153"/>
      <c r="S230" s="153"/>
      <c r="T230" s="154"/>
      <c r="U230" s="159"/>
      <c r="V230" s="155" t="str">
        <f aca="false">IF(J230="","",'Pricing Details'!D220+'Pricing Details'!Q220)</f>
        <v/>
      </c>
      <c r="W230" s="155" t="str">
        <f aca="false">IF(J230="","",'Pricing Details'!V220)</f>
        <v/>
      </c>
      <c r="X230" s="156" t="str">
        <f aca="false">IF(J230="","",'Pricing Details'!X220)</f>
        <v/>
      </c>
      <c r="Y230" s="157" t="str">
        <f aca="false">'Pricing Details'!Z220</f>
        <v/>
      </c>
      <c r="Z230" s="158" t="str">
        <f aca="false">'Pricing Details'!AC220</f>
        <v/>
      </c>
      <c r="AA230" s="20"/>
      <c r="AB230" s="21" t="str">
        <f aca="false">IFERROR(_xlfn.xlookup(H230,Collection[Display],Collection[Line])&amp;_xlfn.xlookup(I230,Sleeve[Display],Sleeve[Sleeve]),"")</f>
        <v/>
      </c>
    </row>
    <row r="231" s="21" customFormat="true" ht="30" hidden="false" customHeight="true" outlineLevel="0" collapsed="false">
      <c r="A231" s="20"/>
      <c r="B231" s="90" t="n">
        <v>218</v>
      </c>
      <c r="C231" s="150"/>
      <c r="D231" s="160"/>
      <c r="E231" s="152"/>
      <c r="F231" s="152"/>
      <c r="G231" s="152"/>
      <c r="H231" s="152"/>
      <c r="I231" s="153"/>
      <c r="J231" s="152"/>
      <c r="K231" s="161"/>
      <c r="L231" s="152"/>
      <c r="M231" s="152"/>
      <c r="N231" s="152"/>
      <c r="O231" s="153"/>
      <c r="P231" s="153"/>
      <c r="Q231" s="153"/>
      <c r="R231" s="153"/>
      <c r="S231" s="153"/>
      <c r="T231" s="154"/>
      <c r="U231" s="159"/>
      <c r="V231" s="155" t="str">
        <f aca="false">IF(J231="","",'Pricing Details'!D221+'Pricing Details'!Q221)</f>
        <v/>
      </c>
      <c r="W231" s="155" t="str">
        <f aca="false">IF(J231="","",'Pricing Details'!V221)</f>
        <v/>
      </c>
      <c r="X231" s="156" t="str">
        <f aca="false">IF(J231="","",'Pricing Details'!X221)</f>
        <v/>
      </c>
      <c r="Y231" s="157" t="str">
        <f aca="false">'Pricing Details'!Z221</f>
        <v/>
      </c>
      <c r="Z231" s="158" t="str">
        <f aca="false">'Pricing Details'!AC221</f>
        <v/>
      </c>
      <c r="AA231" s="20"/>
      <c r="AB231" s="21" t="str">
        <f aca="false">IFERROR(_xlfn.xlookup(H231,Collection[Display],Collection[Line])&amp;_xlfn.xlookup(I231,Sleeve[Display],Sleeve[Sleeve]),"")</f>
        <v/>
      </c>
    </row>
    <row r="232" s="21" customFormat="true" ht="30" hidden="false" customHeight="true" outlineLevel="0" collapsed="false">
      <c r="A232" s="20"/>
      <c r="B232" s="90" t="n">
        <v>219</v>
      </c>
      <c r="C232" s="150"/>
      <c r="D232" s="160"/>
      <c r="E232" s="152"/>
      <c r="F232" s="152"/>
      <c r="G232" s="152"/>
      <c r="H232" s="152"/>
      <c r="I232" s="153"/>
      <c r="J232" s="152"/>
      <c r="K232" s="161"/>
      <c r="L232" s="152"/>
      <c r="M232" s="152"/>
      <c r="N232" s="152"/>
      <c r="O232" s="153"/>
      <c r="P232" s="153"/>
      <c r="Q232" s="153"/>
      <c r="R232" s="153"/>
      <c r="S232" s="153"/>
      <c r="T232" s="154"/>
      <c r="U232" s="159"/>
      <c r="V232" s="155" t="str">
        <f aca="false">IF(J232="","",'Pricing Details'!D222+'Pricing Details'!Q222)</f>
        <v/>
      </c>
      <c r="W232" s="155" t="str">
        <f aca="false">IF(J232="","",'Pricing Details'!V222)</f>
        <v/>
      </c>
      <c r="X232" s="156" t="str">
        <f aca="false">IF(J232="","",'Pricing Details'!X222)</f>
        <v/>
      </c>
      <c r="Y232" s="157" t="str">
        <f aca="false">'Pricing Details'!Z222</f>
        <v/>
      </c>
      <c r="Z232" s="158" t="str">
        <f aca="false">'Pricing Details'!AC222</f>
        <v/>
      </c>
      <c r="AA232" s="20"/>
      <c r="AB232" s="21" t="str">
        <f aca="false">IFERROR(_xlfn.xlookup(H232,Collection[Display],Collection[Line])&amp;_xlfn.xlookup(I232,Sleeve[Display],Sleeve[Sleeve]),"")</f>
        <v/>
      </c>
    </row>
    <row r="233" s="21" customFormat="true" ht="30" hidden="false" customHeight="true" outlineLevel="0" collapsed="false">
      <c r="A233" s="20"/>
      <c r="B233" s="90" t="n">
        <v>220</v>
      </c>
      <c r="C233" s="150"/>
      <c r="D233" s="160"/>
      <c r="E233" s="152"/>
      <c r="F233" s="152"/>
      <c r="G233" s="152"/>
      <c r="H233" s="152"/>
      <c r="I233" s="153"/>
      <c r="J233" s="152"/>
      <c r="K233" s="161"/>
      <c r="L233" s="152"/>
      <c r="M233" s="152"/>
      <c r="N233" s="152"/>
      <c r="O233" s="153"/>
      <c r="P233" s="153"/>
      <c r="Q233" s="153"/>
      <c r="R233" s="153"/>
      <c r="S233" s="153"/>
      <c r="T233" s="154"/>
      <c r="U233" s="159"/>
      <c r="V233" s="155" t="str">
        <f aca="false">IF(J233="","",'Pricing Details'!D223+'Pricing Details'!Q223)</f>
        <v/>
      </c>
      <c r="W233" s="155" t="str">
        <f aca="false">IF(J233="","",'Pricing Details'!V223)</f>
        <v/>
      </c>
      <c r="X233" s="156" t="str">
        <f aca="false">IF(J233="","",'Pricing Details'!X223)</f>
        <v/>
      </c>
      <c r="Y233" s="157" t="str">
        <f aca="false">'Pricing Details'!Z223</f>
        <v/>
      </c>
      <c r="Z233" s="158" t="str">
        <f aca="false">'Pricing Details'!AC223</f>
        <v/>
      </c>
      <c r="AA233" s="20"/>
      <c r="AB233" s="21" t="str">
        <f aca="false">IFERROR(_xlfn.xlookup(H233,Collection[Display],Collection[Line])&amp;_xlfn.xlookup(I233,Sleeve[Display],Sleeve[Sleeve]),"")</f>
        <v/>
      </c>
    </row>
    <row r="234" s="21" customFormat="true" ht="30" hidden="false" customHeight="true" outlineLevel="0" collapsed="false">
      <c r="A234" s="20"/>
      <c r="B234" s="90" t="n">
        <v>221</v>
      </c>
      <c r="C234" s="150"/>
      <c r="D234" s="160"/>
      <c r="E234" s="152"/>
      <c r="F234" s="152"/>
      <c r="G234" s="152"/>
      <c r="H234" s="152"/>
      <c r="I234" s="153"/>
      <c r="J234" s="152"/>
      <c r="K234" s="161"/>
      <c r="L234" s="152"/>
      <c r="M234" s="152"/>
      <c r="N234" s="152"/>
      <c r="O234" s="153"/>
      <c r="P234" s="153"/>
      <c r="Q234" s="153"/>
      <c r="R234" s="153"/>
      <c r="S234" s="153"/>
      <c r="T234" s="154"/>
      <c r="U234" s="159"/>
      <c r="V234" s="155" t="str">
        <f aca="false">IF(J234="","",'Pricing Details'!D224+'Pricing Details'!Q224)</f>
        <v/>
      </c>
      <c r="W234" s="155" t="str">
        <f aca="false">IF(J234="","",'Pricing Details'!V224)</f>
        <v/>
      </c>
      <c r="X234" s="156" t="str">
        <f aca="false">IF(J234="","",'Pricing Details'!X224)</f>
        <v/>
      </c>
      <c r="Y234" s="157" t="str">
        <f aca="false">'Pricing Details'!Z224</f>
        <v/>
      </c>
      <c r="Z234" s="158" t="str">
        <f aca="false">'Pricing Details'!AC224</f>
        <v/>
      </c>
      <c r="AA234" s="20"/>
      <c r="AB234" s="21" t="str">
        <f aca="false">IFERROR(_xlfn.xlookup(H234,Collection[Display],Collection[Line])&amp;_xlfn.xlookup(I234,Sleeve[Display],Sleeve[Sleeve]),"")</f>
        <v/>
      </c>
    </row>
    <row r="235" s="21" customFormat="true" ht="30" hidden="false" customHeight="true" outlineLevel="0" collapsed="false">
      <c r="A235" s="20"/>
      <c r="B235" s="90" t="n">
        <v>222</v>
      </c>
      <c r="C235" s="150"/>
      <c r="D235" s="160"/>
      <c r="E235" s="152"/>
      <c r="F235" s="152"/>
      <c r="G235" s="152"/>
      <c r="H235" s="152"/>
      <c r="I235" s="153"/>
      <c r="J235" s="152"/>
      <c r="K235" s="161"/>
      <c r="L235" s="152"/>
      <c r="M235" s="152"/>
      <c r="N235" s="152"/>
      <c r="O235" s="153"/>
      <c r="P235" s="153"/>
      <c r="Q235" s="153"/>
      <c r="R235" s="153"/>
      <c r="S235" s="153"/>
      <c r="T235" s="154"/>
      <c r="U235" s="159"/>
      <c r="V235" s="155" t="str">
        <f aca="false">IF(J235="","",'Pricing Details'!D225+'Pricing Details'!Q225)</f>
        <v/>
      </c>
      <c r="W235" s="155" t="str">
        <f aca="false">IF(J235="","",'Pricing Details'!V225)</f>
        <v/>
      </c>
      <c r="X235" s="156" t="str">
        <f aca="false">IF(J235="","",'Pricing Details'!X225)</f>
        <v/>
      </c>
      <c r="Y235" s="157" t="str">
        <f aca="false">'Pricing Details'!Z225</f>
        <v/>
      </c>
      <c r="Z235" s="158" t="str">
        <f aca="false">'Pricing Details'!AC225</f>
        <v/>
      </c>
      <c r="AA235" s="20"/>
      <c r="AB235" s="21" t="str">
        <f aca="false">IFERROR(_xlfn.xlookup(H235,Collection[Display],Collection[Line])&amp;_xlfn.xlookup(I235,Sleeve[Display],Sleeve[Sleeve]),"")</f>
        <v/>
      </c>
    </row>
    <row r="236" s="21" customFormat="true" ht="30" hidden="false" customHeight="true" outlineLevel="0" collapsed="false">
      <c r="A236" s="20"/>
      <c r="B236" s="90" t="n">
        <v>223</v>
      </c>
      <c r="C236" s="150"/>
      <c r="D236" s="160"/>
      <c r="E236" s="152"/>
      <c r="F236" s="152"/>
      <c r="G236" s="152"/>
      <c r="H236" s="152"/>
      <c r="I236" s="153"/>
      <c r="J236" s="152"/>
      <c r="K236" s="161"/>
      <c r="L236" s="152"/>
      <c r="M236" s="152"/>
      <c r="N236" s="152"/>
      <c r="O236" s="153"/>
      <c r="P236" s="153"/>
      <c r="Q236" s="153"/>
      <c r="R236" s="153"/>
      <c r="S236" s="153"/>
      <c r="T236" s="154"/>
      <c r="U236" s="159"/>
      <c r="V236" s="155" t="str">
        <f aca="false">IF(J236="","",'Pricing Details'!D226+'Pricing Details'!Q226)</f>
        <v/>
      </c>
      <c r="W236" s="155" t="str">
        <f aca="false">IF(J236="","",'Pricing Details'!V226)</f>
        <v/>
      </c>
      <c r="X236" s="156" t="str">
        <f aca="false">IF(J236="","",'Pricing Details'!X226)</f>
        <v/>
      </c>
      <c r="Y236" s="157" t="str">
        <f aca="false">'Pricing Details'!Z226</f>
        <v/>
      </c>
      <c r="Z236" s="158" t="str">
        <f aca="false">'Pricing Details'!AC226</f>
        <v/>
      </c>
      <c r="AA236" s="20"/>
      <c r="AB236" s="21" t="str">
        <f aca="false">IFERROR(_xlfn.xlookup(H236,Collection[Display],Collection[Line])&amp;_xlfn.xlookup(I236,Sleeve[Display],Sleeve[Sleeve]),"")</f>
        <v/>
      </c>
    </row>
    <row r="237" s="21" customFormat="true" ht="30" hidden="false" customHeight="true" outlineLevel="0" collapsed="false">
      <c r="A237" s="20"/>
      <c r="B237" s="90" t="n">
        <v>224</v>
      </c>
      <c r="C237" s="150"/>
      <c r="D237" s="160"/>
      <c r="E237" s="152"/>
      <c r="F237" s="152"/>
      <c r="G237" s="152"/>
      <c r="H237" s="152"/>
      <c r="I237" s="153"/>
      <c r="J237" s="152"/>
      <c r="K237" s="161"/>
      <c r="L237" s="152"/>
      <c r="M237" s="152"/>
      <c r="N237" s="152"/>
      <c r="O237" s="153"/>
      <c r="P237" s="153"/>
      <c r="Q237" s="153"/>
      <c r="R237" s="153"/>
      <c r="S237" s="153"/>
      <c r="T237" s="154"/>
      <c r="U237" s="159"/>
      <c r="V237" s="155" t="str">
        <f aca="false">IF(J237="","",'Pricing Details'!D227+'Pricing Details'!Q227)</f>
        <v/>
      </c>
      <c r="W237" s="155" t="str">
        <f aca="false">IF(J237="","",'Pricing Details'!V227)</f>
        <v/>
      </c>
      <c r="X237" s="156" t="str">
        <f aca="false">IF(J237="","",'Pricing Details'!X227)</f>
        <v/>
      </c>
      <c r="Y237" s="157" t="str">
        <f aca="false">'Pricing Details'!Z227</f>
        <v/>
      </c>
      <c r="Z237" s="158" t="str">
        <f aca="false">'Pricing Details'!AC227</f>
        <v/>
      </c>
      <c r="AA237" s="20"/>
      <c r="AB237" s="21" t="str">
        <f aca="false">IFERROR(_xlfn.xlookup(H237,Collection[Display],Collection[Line])&amp;_xlfn.xlookup(I237,Sleeve[Display],Sleeve[Sleeve]),"")</f>
        <v/>
      </c>
    </row>
    <row r="238" s="21" customFormat="true" ht="30" hidden="false" customHeight="true" outlineLevel="0" collapsed="false">
      <c r="A238" s="20"/>
      <c r="B238" s="90" t="n">
        <v>225</v>
      </c>
      <c r="C238" s="150"/>
      <c r="D238" s="160"/>
      <c r="E238" s="152"/>
      <c r="F238" s="152"/>
      <c r="G238" s="152"/>
      <c r="H238" s="152"/>
      <c r="I238" s="153"/>
      <c r="J238" s="152"/>
      <c r="K238" s="161"/>
      <c r="L238" s="152"/>
      <c r="M238" s="152"/>
      <c r="N238" s="152"/>
      <c r="O238" s="153"/>
      <c r="P238" s="153"/>
      <c r="Q238" s="153"/>
      <c r="R238" s="153"/>
      <c r="S238" s="153"/>
      <c r="T238" s="154"/>
      <c r="U238" s="159"/>
      <c r="V238" s="155" t="str">
        <f aca="false">IF(J238="","",'Pricing Details'!D228+'Pricing Details'!Q228)</f>
        <v/>
      </c>
      <c r="W238" s="155" t="str">
        <f aca="false">IF(J238="","",'Pricing Details'!V228)</f>
        <v/>
      </c>
      <c r="X238" s="156" t="str">
        <f aca="false">IF(J238="","",'Pricing Details'!X228)</f>
        <v/>
      </c>
      <c r="Y238" s="157" t="str">
        <f aca="false">'Pricing Details'!Z228</f>
        <v/>
      </c>
      <c r="Z238" s="158" t="str">
        <f aca="false">'Pricing Details'!AC228</f>
        <v/>
      </c>
      <c r="AA238" s="20"/>
      <c r="AB238" s="21" t="str">
        <f aca="false">IFERROR(_xlfn.xlookup(H238,Collection[Display],Collection[Line])&amp;_xlfn.xlookup(I238,Sleeve[Display],Sleeve[Sleeve]),"")</f>
        <v/>
      </c>
    </row>
    <row r="239" s="21" customFormat="true" ht="30" hidden="false" customHeight="true" outlineLevel="0" collapsed="false">
      <c r="A239" s="20"/>
      <c r="B239" s="90" t="n">
        <v>226</v>
      </c>
      <c r="C239" s="150"/>
      <c r="D239" s="160"/>
      <c r="E239" s="152"/>
      <c r="F239" s="152"/>
      <c r="G239" s="152"/>
      <c r="H239" s="152"/>
      <c r="I239" s="153"/>
      <c r="J239" s="152"/>
      <c r="K239" s="161"/>
      <c r="L239" s="152"/>
      <c r="M239" s="152"/>
      <c r="N239" s="152"/>
      <c r="O239" s="153"/>
      <c r="P239" s="153"/>
      <c r="Q239" s="153"/>
      <c r="R239" s="153"/>
      <c r="S239" s="153"/>
      <c r="T239" s="154"/>
      <c r="U239" s="159"/>
      <c r="V239" s="155" t="str">
        <f aca="false">IF(J239="","",'Pricing Details'!D229+'Pricing Details'!Q229)</f>
        <v/>
      </c>
      <c r="W239" s="155" t="str">
        <f aca="false">IF(J239="","",'Pricing Details'!V229)</f>
        <v/>
      </c>
      <c r="X239" s="156" t="str">
        <f aca="false">IF(J239="","",'Pricing Details'!X229)</f>
        <v/>
      </c>
      <c r="Y239" s="157" t="str">
        <f aca="false">'Pricing Details'!Z229</f>
        <v/>
      </c>
      <c r="Z239" s="158" t="str">
        <f aca="false">'Pricing Details'!AC229</f>
        <v/>
      </c>
      <c r="AA239" s="20"/>
      <c r="AB239" s="21" t="str">
        <f aca="false">IFERROR(_xlfn.xlookup(H239,Collection[Display],Collection[Line])&amp;_xlfn.xlookup(I239,Sleeve[Display],Sleeve[Sleeve]),"")</f>
        <v/>
      </c>
    </row>
    <row r="240" s="21" customFormat="true" ht="30" hidden="false" customHeight="true" outlineLevel="0" collapsed="false">
      <c r="A240" s="20"/>
      <c r="B240" s="90" t="n">
        <v>227</v>
      </c>
      <c r="C240" s="150"/>
      <c r="D240" s="160"/>
      <c r="E240" s="152"/>
      <c r="F240" s="152"/>
      <c r="G240" s="152"/>
      <c r="H240" s="152"/>
      <c r="I240" s="153"/>
      <c r="J240" s="152"/>
      <c r="K240" s="161"/>
      <c r="L240" s="152"/>
      <c r="M240" s="152"/>
      <c r="N240" s="152"/>
      <c r="O240" s="153"/>
      <c r="P240" s="153"/>
      <c r="Q240" s="153"/>
      <c r="R240" s="153"/>
      <c r="S240" s="153"/>
      <c r="T240" s="154"/>
      <c r="U240" s="159"/>
      <c r="V240" s="155" t="str">
        <f aca="false">IF(J240="","",'Pricing Details'!D230+'Pricing Details'!Q230)</f>
        <v/>
      </c>
      <c r="W240" s="155" t="str">
        <f aca="false">IF(J240="","",'Pricing Details'!V230)</f>
        <v/>
      </c>
      <c r="X240" s="156" t="str">
        <f aca="false">IF(J240="","",'Pricing Details'!X230)</f>
        <v/>
      </c>
      <c r="Y240" s="157" t="str">
        <f aca="false">'Pricing Details'!Z230</f>
        <v/>
      </c>
      <c r="Z240" s="158" t="str">
        <f aca="false">'Pricing Details'!AC230</f>
        <v/>
      </c>
      <c r="AA240" s="20"/>
      <c r="AB240" s="21" t="str">
        <f aca="false">IFERROR(_xlfn.xlookup(H240,Collection[Display],Collection[Line])&amp;_xlfn.xlookup(I240,Sleeve[Display],Sleeve[Sleeve]),"")</f>
        <v/>
      </c>
    </row>
    <row r="241" s="21" customFormat="true" ht="30" hidden="false" customHeight="true" outlineLevel="0" collapsed="false">
      <c r="A241" s="20"/>
      <c r="B241" s="90" t="n">
        <v>228</v>
      </c>
      <c r="C241" s="150"/>
      <c r="D241" s="160"/>
      <c r="E241" s="152"/>
      <c r="F241" s="152"/>
      <c r="G241" s="152"/>
      <c r="H241" s="152"/>
      <c r="I241" s="153"/>
      <c r="J241" s="152"/>
      <c r="K241" s="161"/>
      <c r="L241" s="152"/>
      <c r="M241" s="152"/>
      <c r="N241" s="152"/>
      <c r="O241" s="153"/>
      <c r="P241" s="153"/>
      <c r="Q241" s="153"/>
      <c r="R241" s="153"/>
      <c r="S241" s="153"/>
      <c r="T241" s="154"/>
      <c r="U241" s="159"/>
      <c r="V241" s="155" t="str">
        <f aca="false">IF(J241="","",'Pricing Details'!D231+'Pricing Details'!Q231)</f>
        <v/>
      </c>
      <c r="W241" s="155" t="str">
        <f aca="false">IF(J241="","",'Pricing Details'!V231)</f>
        <v/>
      </c>
      <c r="X241" s="156" t="str">
        <f aca="false">IF(J241="","",'Pricing Details'!X231)</f>
        <v/>
      </c>
      <c r="Y241" s="157" t="str">
        <f aca="false">'Pricing Details'!Z231</f>
        <v/>
      </c>
      <c r="Z241" s="158" t="str">
        <f aca="false">'Pricing Details'!AC231</f>
        <v/>
      </c>
      <c r="AA241" s="20"/>
      <c r="AB241" s="21" t="str">
        <f aca="false">IFERROR(_xlfn.xlookup(H241,Collection[Display],Collection[Line])&amp;_xlfn.xlookup(I241,Sleeve[Display],Sleeve[Sleeve]),"")</f>
        <v/>
      </c>
    </row>
    <row r="242" s="21" customFormat="true" ht="30" hidden="false" customHeight="true" outlineLevel="0" collapsed="false">
      <c r="A242" s="20"/>
      <c r="B242" s="90" t="n">
        <v>229</v>
      </c>
      <c r="C242" s="150"/>
      <c r="D242" s="160"/>
      <c r="E242" s="152"/>
      <c r="F242" s="152"/>
      <c r="G242" s="152"/>
      <c r="H242" s="152"/>
      <c r="I242" s="153"/>
      <c r="J242" s="152"/>
      <c r="K242" s="161"/>
      <c r="L242" s="152"/>
      <c r="M242" s="152"/>
      <c r="N242" s="152"/>
      <c r="O242" s="153"/>
      <c r="P242" s="153"/>
      <c r="Q242" s="153"/>
      <c r="R242" s="153"/>
      <c r="S242" s="153"/>
      <c r="T242" s="154"/>
      <c r="U242" s="159"/>
      <c r="V242" s="155" t="str">
        <f aca="false">IF(J242="","",'Pricing Details'!D232+'Pricing Details'!Q232)</f>
        <v/>
      </c>
      <c r="W242" s="155" t="str">
        <f aca="false">IF(J242="","",'Pricing Details'!V232)</f>
        <v/>
      </c>
      <c r="X242" s="156" t="str">
        <f aca="false">IF(J242="","",'Pricing Details'!X232)</f>
        <v/>
      </c>
      <c r="Y242" s="157" t="str">
        <f aca="false">'Pricing Details'!Z232</f>
        <v/>
      </c>
      <c r="Z242" s="158" t="str">
        <f aca="false">'Pricing Details'!AC232</f>
        <v/>
      </c>
      <c r="AA242" s="20"/>
      <c r="AB242" s="21" t="str">
        <f aca="false">IFERROR(_xlfn.xlookup(H242,Collection[Display],Collection[Line])&amp;_xlfn.xlookup(I242,Sleeve[Display],Sleeve[Sleeve]),"")</f>
        <v/>
      </c>
    </row>
    <row r="243" s="21" customFormat="true" ht="30" hidden="false" customHeight="true" outlineLevel="0" collapsed="false">
      <c r="A243" s="20"/>
      <c r="B243" s="90" t="n">
        <v>230</v>
      </c>
      <c r="C243" s="150"/>
      <c r="D243" s="160"/>
      <c r="E243" s="152"/>
      <c r="F243" s="152"/>
      <c r="G243" s="152"/>
      <c r="H243" s="152"/>
      <c r="I243" s="153"/>
      <c r="J243" s="152"/>
      <c r="K243" s="161"/>
      <c r="L243" s="152"/>
      <c r="M243" s="152"/>
      <c r="N243" s="152"/>
      <c r="O243" s="153"/>
      <c r="P243" s="153"/>
      <c r="Q243" s="153"/>
      <c r="R243" s="153"/>
      <c r="S243" s="153"/>
      <c r="T243" s="154"/>
      <c r="U243" s="159"/>
      <c r="V243" s="155" t="str">
        <f aca="false">IF(J243="","",'Pricing Details'!D233+'Pricing Details'!Q233)</f>
        <v/>
      </c>
      <c r="W243" s="155" t="str">
        <f aca="false">IF(J243="","",'Pricing Details'!V233)</f>
        <v/>
      </c>
      <c r="X243" s="156" t="str">
        <f aca="false">IF(J243="","",'Pricing Details'!X233)</f>
        <v/>
      </c>
      <c r="Y243" s="157" t="str">
        <f aca="false">'Pricing Details'!Z233</f>
        <v/>
      </c>
      <c r="Z243" s="158" t="str">
        <f aca="false">'Pricing Details'!AC233</f>
        <v/>
      </c>
      <c r="AA243" s="20"/>
      <c r="AB243" s="21" t="str">
        <f aca="false">IFERROR(_xlfn.xlookup(H243,Collection[Display],Collection[Line])&amp;_xlfn.xlookup(I243,Sleeve[Display],Sleeve[Sleeve]),"")</f>
        <v/>
      </c>
    </row>
    <row r="244" s="21" customFormat="true" ht="30" hidden="false" customHeight="true" outlineLevel="0" collapsed="false">
      <c r="A244" s="20"/>
      <c r="B244" s="90" t="n">
        <v>231</v>
      </c>
      <c r="C244" s="150"/>
      <c r="D244" s="160"/>
      <c r="E244" s="152"/>
      <c r="F244" s="152"/>
      <c r="G244" s="152"/>
      <c r="H244" s="152"/>
      <c r="I244" s="153"/>
      <c r="J244" s="152"/>
      <c r="K244" s="161"/>
      <c r="L244" s="152"/>
      <c r="M244" s="152"/>
      <c r="N244" s="152"/>
      <c r="O244" s="153"/>
      <c r="P244" s="153"/>
      <c r="Q244" s="153"/>
      <c r="R244" s="153"/>
      <c r="S244" s="153"/>
      <c r="T244" s="154"/>
      <c r="U244" s="159"/>
      <c r="V244" s="155" t="str">
        <f aca="false">IF(J244="","",'Pricing Details'!D234+'Pricing Details'!Q234)</f>
        <v/>
      </c>
      <c r="W244" s="155" t="str">
        <f aca="false">IF(J244="","",'Pricing Details'!V234)</f>
        <v/>
      </c>
      <c r="X244" s="156" t="str">
        <f aca="false">IF(J244="","",'Pricing Details'!X234)</f>
        <v/>
      </c>
      <c r="Y244" s="157" t="str">
        <f aca="false">'Pricing Details'!Z234</f>
        <v/>
      </c>
      <c r="Z244" s="158" t="str">
        <f aca="false">'Pricing Details'!AC234</f>
        <v/>
      </c>
      <c r="AA244" s="20"/>
      <c r="AB244" s="21" t="str">
        <f aca="false">IFERROR(_xlfn.xlookup(H244,Collection[Display],Collection[Line])&amp;_xlfn.xlookup(I244,Sleeve[Display],Sleeve[Sleeve]),"")</f>
        <v/>
      </c>
    </row>
    <row r="245" s="21" customFormat="true" ht="30" hidden="false" customHeight="true" outlineLevel="0" collapsed="false">
      <c r="A245" s="20"/>
      <c r="B245" s="90" t="n">
        <v>232</v>
      </c>
      <c r="C245" s="150"/>
      <c r="D245" s="160"/>
      <c r="E245" s="152"/>
      <c r="F245" s="152"/>
      <c r="G245" s="152"/>
      <c r="H245" s="152"/>
      <c r="I245" s="153"/>
      <c r="J245" s="152"/>
      <c r="K245" s="161"/>
      <c r="L245" s="152"/>
      <c r="M245" s="152"/>
      <c r="N245" s="152"/>
      <c r="O245" s="153"/>
      <c r="P245" s="153"/>
      <c r="Q245" s="153"/>
      <c r="R245" s="153"/>
      <c r="S245" s="153"/>
      <c r="T245" s="154"/>
      <c r="U245" s="159"/>
      <c r="V245" s="155" t="str">
        <f aca="false">IF(J245="","",'Pricing Details'!D235+'Pricing Details'!Q235)</f>
        <v/>
      </c>
      <c r="W245" s="155" t="str">
        <f aca="false">IF(J245="","",'Pricing Details'!V235)</f>
        <v/>
      </c>
      <c r="X245" s="156" t="str">
        <f aca="false">IF(J245="","",'Pricing Details'!X235)</f>
        <v/>
      </c>
      <c r="Y245" s="157" t="str">
        <f aca="false">'Pricing Details'!Z235</f>
        <v/>
      </c>
      <c r="Z245" s="158" t="str">
        <f aca="false">'Pricing Details'!AC235</f>
        <v/>
      </c>
      <c r="AA245" s="20"/>
      <c r="AB245" s="21" t="str">
        <f aca="false">IFERROR(_xlfn.xlookup(H245,Collection[Display],Collection[Line])&amp;_xlfn.xlookup(I245,Sleeve[Display],Sleeve[Sleeve]),"")</f>
        <v/>
      </c>
    </row>
    <row r="246" s="21" customFormat="true" ht="30" hidden="false" customHeight="true" outlineLevel="0" collapsed="false">
      <c r="A246" s="20"/>
      <c r="B246" s="90" t="n">
        <v>233</v>
      </c>
      <c r="C246" s="150"/>
      <c r="D246" s="160"/>
      <c r="E246" s="152"/>
      <c r="F246" s="152"/>
      <c r="G246" s="152"/>
      <c r="H246" s="152"/>
      <c r="I246" s="153"/>
      <c r="J246" s="152"/>
      <c r="K246" s="161"/>
      <c r="L246" s="152"/>
      <c r="M246" s="152"/>
      <c r="N246" s="152"/>
      <c r="O246" s="153"/>
      <c r="P246" s="153"/>
      <c r="Q246" s="153"/>
      <c r="R246" s="153"/>
      <c r="S246" s="153"/>
      <c r="T246" s="154"/>
      <c r="U246" s="159"/>
      <c r="V246" s="155" t="str">
        <f aca="false">IF(J246="","",'Pricing Details'!D236+'Pricing Details'!Q236)</f>
        <v/>
      </c>
      <c r="W246" s="155" t="str">
        <f aca="false">IF(J246="","",'Pricing Details'!V236)</f>
        <v/>
      </c>
      <c r="X246" s="156" t="str">
        <f aca="false">IF(J246="","",'Pricing Details'!X236)</f>
        <v/>
      </c>
      <c r="Y246" s="157" t="str">
        <f aca="false">'Pricing Details'!Z236</f>
        <v/>
      </c>
      <c r="Z246" s="158" t="str">
        <f aca="false">'Pricing Details'!AC236</f>
        <v/>
      </c>
      <c r="AA246" s="20"/>
      <c r="AB246" s="21" t="str">
        <f aca="false">IFERROR(_xlfn.xlookup(H246,Collection[Display],Collection[Line])&amp;_xlfn.xlookup(I246,Sleeve[Display],Sleeve[Sleeve]),"")</f>
        <v/>
      </c>
    </row>
    <row r="247" s="21" customFormat="true" ht="30" hidden="false" customHeight="true" outlineLevel="0" collapsed="false">
      <c r="A247" s="20"/>
      <c r="B247" s="90" t="n">
        <v>234</v>
      </c>
      <c r="C247" s="150"/>
      <c r="D247" s="160"/>
      <c r="E247" s="152"/>
      <c r="F247" s="152"/>
      <c r="G247" s="152"/>
      <c r="H247" s="152"/>
      <c r="I247" s="153"/>
      <c r="J247" s="152"/>
      <c r="K247" s="161"/>
      <c r="L247" s="152"/>
      <c r="M247" s="152"/>
      <c r="N247" s="152"/>
      <c r="O247" s="153"/>
      <c r="P247" s="153"/>
      <c r="Q247" s="153"/>
      <c r="R247" s="153"/>
      <c r="S247" s="153"/>
      <c r="T247" s="154"/>
      <c r="U247" s="159"/>
      <c r="V247" s="155" t="str">
        <f aca="false">IF(J247="","",'Pricing Details'!D237+'Pricing Details'!Q237)</f>
        <v/>
      </c>
      <c r="W247" s="155" t="str">
        <f aca="false">IF(J247="","",'Pricing Details'!V237)</f>
        <v/>
      </c>
      <c r="X247" s="156" t="str">
        <f aca="false">IF(J247="","",'Pricing Details'!X237)</f>
        <v/>
      </c>
      <c r="Y247" s="157" t="str">
        <f aca="false">'Pricing Details'!Z237</f>
        <v/>
      </c>
      <c r="Z247" s="158" t="str">
        <f aca="false">'Pricing Details'!AC237</f>
        <v/>
      </c>
      <c r="AA247" s="20"/>
      <c r="AB247" s="21" t="str">
        <f aca="false">IFERROR(_xlfn.xlookup(H247,Collection[Display],Collection[Line])&amp;_xlfn.xlookup(I247,Sleeve[Display],Sleeve[Sleeve]),"")</f>
        <v/>
      </c>
    </row>
    <row r="248" s="21" customFormat="true" ht="30" hidden="false" customHeight="true" outlineLevel="0" collapsed="false">
      <c r="A248" s="20"/>
      <c r="B248" s="90" t="n">
        <v>235</v>
      </c>
      <c r="C248" s="150"/>
      <c r="D248" s="160"/>
      <c r="E248" s="152"/>
      <c r="F248" s="152"/>
      <c r="G248" s="152"/>
      <c r="H248" s="152"/>
      <c r="I248" s="153"/>
      <c r="J248" s="152"/>
      <c r="K248" s="161"/>
      <c r="L248" s="152"/>
      <c r="M248" s="152"/>
      <c r="N248" s="152"/>
      <c r="O248" s="153"/>
      <c r="P248" s="153"/>
      <c r="Q248" s="153"/>
      <c r="R248" s="153"/>
      <c r="S248" s="153"/>
      <c r="T248" s="154"/>
      <c r="U248" s="159"/>
      <c r="V248" s="155" t="str">
        <f aca="false">IF(J248="","",'Pricing Details'!D238+'Pricing Details'!Q238)</f>
        <v/>
      </c>
      <c r="W248" s="155" t="str">
        <f aca="false">IF(J248="","",'Pricing Details'!V238)</f>
        <v/>
      </c>
      <c r="X248" s="156" t="str">
        <f aca="false">IF(J248="","",'Pricing Details'!X238)</f>
        <v/>
      </c>
      <c r="Y248" s="157" t="str">
        <f aca="false">'Pricing Details'!Z238</f>
        <v/>
      </c>
      <c r="Z248" s="158" t="str">
        <f aca="false">'Pricing Details'!AC238</f>
        <v/>
      </c>
      <c r="AA248" s="20"/>
      <c r="AB248" s="21" t="str">
        <f aca="false">IFERROR(_xlfn.xlookup(H248,Collection[Display],Collection[Line])&amp;_xlfn.xlookup(I248,Sleeve[Display],Sleeve[Sleeve]),"")</f>
        <v/>
      </c>
    </row>
    <row r="249" s="21" customFormat="true" ht="30" hidden="false" customHeight="true" outlineLevel="0" collapsed="false">
      <c r="A249" s="20"/>
      <c r="B249" s="90" t="n">
        <v>236</v>
      </c>
      <c r="C249" s="150"/>
      <c r="D249" s="160"/>
      <c r="E249" s="152"/>
      <c r="F249" s="152"/>
      <c r="G249" s="152"/>
      <c r="H249" s="152"/>
      <c r="I249" s="153"/>
      <c r="J249" s="152"/>
      <c r="K249" s="161"/>
      <c r="L249" s="152"/>
      <c r="M249" s="152"/>
      <c r="N249" s="152"/>
      <c r="O249" s="153"/>
      <c r="P249" s="153"/>
      <c r="Q249" s="153"/>
      <c r="R249" s="153"/>
      <c r="S249" s="153"/>
      <c r="T249" s="154"/>
      <c r="U249" s="159"/>
      <c r="V249" s="155" t="str">
        <f aca="false">IF(J249="","",'Pricing Details'!D239+'Pricing Details'!Q239)</f>
        <v/>
      </c>
      <c r="W249" s="155" t="str">
        <f aca="false">IF(J249="","",'Pricing Details'!V239)</f>
        <v/>
      </c>
      <c r="X249" s="156" t="str">
        <f aca="false">IF(J249="","",'Pricing Details'!X239)</f>
        <v/>
      </c>
      <c r="Y249" s="157" t="str">
        <f aca="false">'Pricing Details'!Z239</f>
        <v/>
      </c>
      <c r="Z249" s="158" t="str">
        <f aca="false">'Pricing Details'!AC239</f>
        <v/>
      </c>
      <c r="AA249" s="20"/>
      <c r="AB249" s="21" t="str">
        <f aca="false">IFERROR(_xlfn.xlookup(H249,Collection[Display],Collection[Line])&amp;_xlfn.xlookup(I249,Sleeve[Display],Sleeve[Sleeve]),"")</f>
        <v/>
      </c>
    </row>
    <row r="250" s="21" customFormat="true" ht="30" hidden="false" customHeight="true" outlineLevel="0" collapsed="false">
      <c r="A250" s="20"/>
      <c r="B250" s="90" t="n">
        <v>237</v>
      </c>
      <c r="C250" s="150"/>
      <c r="D250" s="160"/>
      <c r="E250" s="152"/>
      <c r="F250" s="152"/>
      <c r="G250" s="152"/>
      <c r="H250" s="152"/>
      <c r="I250" s="153"/>
      <c r="J250" s="152"/>
      <c r="K250" s="161"/>
      <c r="L250" s="152"/>
      <c r="M250" s="152"/>
      <c r="N250" s="152"/>
      <c r="O250" s="153"/>
      <c r="P250" s="153"/>
      <c r="Q250" s="153"/>
      <c r="R250" s="153"/>
      <c r="S250" s="153"/>
      <c r="T250" s="154"/>
      <c r="U250" s="159"/>
      <c r="V250" s="155" t="str">
        <f aca="false">IF(J250="","",'Pricing Details'!D240+'Pricing Details'!Q240)</f>
        <v/>
      </c>
      <c r="W250" s="155" t="str">
        <f aca="false">IF(J250="","",'Pricing Details'!V240)</f>
        <v/>
      </c>
      <c r="X250" s="156" t="str">
        <f aca="false">IF(J250="","",'Pricing Details'!X240)</f>
        <v/>
      </c>
      <c r="Y250" s="157" t="str">
        <f aca="false">'Pricing Details'!Z240</f>
        <v/>
      </c>
      <c r="Z250" s="158" t="str">
        <f aca="false">'Pricing Details'!AC240</f>
        <v/>
      </c>
      <c r="AA250" s="20"/>
      <c r="AB250" s="21" t="str">
        <f aca="false">IFERROR(_xlfn.xlookup(H250,Collection[Display],Collection[Line])&amp;_xlfn.xlookup(I250,Sleeve[Display],Sleeve[Sleeve]),"")</f>
        <v/>
      </c>
    </row>
    <row r="251" s="21" customFormat="true" ht="30" hidden="false" customHeight="true" outlineLevel="0" collapsed="false">
      <c r="A251" s="20"/>
      <c r="B251" s="90" t="n">
        <v>238</v>
      </c>
      <c r="C251" s="150"/>
      <c r="D251" s="160"/>
      <c r="E251" s="152"/>
      <c r="F251" s="152"/>
      <c r="G251" s="152"/>
      <c r="H251" s="152"/>
      <c r="I251" s="153"/>
      <c r="J251" s="152"/>
      <c r="K251" s="161"/>
      <c r="L251" s="152"/>
      <c r="M251" s="152"/>
      <c r="N251" s="152"/>
      <c r="O251" s="153"/>
      <c r="P251" s="153"/>
      <c r="Q251" s="153"/>
      <c r="R251" s="153"/>
      <c r="S251" s="153"/>
      <c r="T251" s="154"/>
      <c r="U251" s="159"/>
      <c r="V251" s="155" t="str">
        <f aca="false">IF(J251="","",'Pricing Details'!D241+'Pricing Details'!Q241)</f>
        <v/>
      </c>
      <c r="W251" s="155" t="str">
        <f aca="false">IF(J251="","",'Pricing Details'!V241)</f>
        <v/>
      </c>
      <c r="X251" s="156" t="str">
        <f aca="false">IF(J251="","",'Pricing Details'!X241)</f>
        <v/>
      </c>
      <c r="Y251" s="157" t="str">
        <f aca="false">'Pricing Details'!Z241</f>
        <v/>
      </c>
      <c r="Z251" s="158" t="str">
        <f aca="false">'Pricing Details'!AC241</f>
        <v/>
      </c>
      <c r="AA251" s="20"/>
      <c r="AB251" s="21" t="str">
        <f aca="false">IFERROR(_xlfn.xlookup(H251,Collection[Display],Collection[Line])&amp;_xlfn.xlookup(I251,Sleeve[Display],Sleeve[Sleeve]),"")</f>
        <v/>
      </c>
    </row>
    <row r="252" s="21" customFormat="true" ht="30" hidden="false" customHeight="true" outlineLevel="0" collapsed="false">
      <c r="A252" s="20"/>
      <c r="B252" s="90" t="n">
        <v>239</v>
      </c>
      <c r="C252" s="150"/>
      <c r="D252" s="160"/>
      <c r="E252" s="152"/>
      <c r="F252" s="152"/>
      <c r="G252" s="152"/>
      <c r="H252" s="152"/>
      <c r="I252" s="153"/>
      <c r="J252" s="152"/>
      <c r="K252" s="161"/>
      <c r="L252" s="152"/>
      <c r="M252" s="152"/>
      <c r="N252" s="152"/>
      <c r="O252" s="153"/>
      <c r="P252" s="153"/>
      <c r="Q252" s="153"/>
      <c r="R252" s="153"/>
      <c r="S252" s="153"/>
      <c r="T252" s="154"/>
      <c r="U252" s="159"/>
      <c r="V252" s="155" t="str">
        <f aca="false">IF(J252="","",'Pricing Details'!D242+'Pricing Details'!Q242)</f>
        <v/>
      </c>
      <c r="W252" s="155" t="str">
        <f aca="false">IF(J252="","",'Pricing Details'!V242)</f>
        <v/>
      </c>
      <c r="X252" s="156" t="str">
        <f aca="false">IF(J252="","",'Pricing Details'!X242)</f>
        <v/>
      </c>
      <c r="Y252" s="157" t="str">
        <f aca="false">'Pricing Details'!Z242</f>
        <v/>
      </c>
      <c r="Z252" s="158" t="str">
        <f aca="false">'Pricing Details'!AC242</f>
        <v/>
      </c>
      <c r="AA252" s="20"/>
      <c r="AB252" s="21" t="str">
        <f aca="false">IFERROR(_xlfn.xlookup(H252,Collection[Display],Collection[Line])&amp;_xlfn.xlookup(I252,Sleeve[Display],Sleeve[Sleeve]),"")</f>
        <v/>
      </c>
    </row>
    <row r="253" s="21" customFormat="true" ht="30" hidden="false" customHeight="true" outlineLevel="0" collapsed="false">
      <c r="A253" s="20"/>
      <c r="B253" s="90" t="n">
        <v>240</v>
      </c>
      <c r="C253" s="150"/>
      <c r="D253" s="160"/>
      <c r="E253" s="152"/>
      <c r="F253" s="152"/>
      <c r="G253" s="152"/>
      <c r="H253" s="152"/>
      <c r="I253" s="153"/>
      <c r="J253" s="152"/>
      <c r="K253" s="161"/>
      <c r="L253" s="152"/>
      <c r="M253" s="152"/>
      <c r="N253" s="152"/>
      <c r="O253" s="153"/>
      <c r="P253" s="153"/>
      <c r="Q253" s="153"/>
      <c r="R253" s="153"/>
      <c r="S253" s="153"/>
      <c r="T253" s="154"/>
      <c r="U253" s="159"/>
      <c r="V253" s="155" t="str">
        <f aca="false">IF(J253="","",'Pricing Details'!D243+'Pricing Details'!Q243)</f>
        <v/>
      </c>
      <c r="W253" s="155" t="str">
        <f aca="false">IF(J253="","",'Pricing Details'!V243)</f>
        <v/>
      </c>
      <c r="X253" s="156" t="str">
        <f aca="false">IF(J253="","",'Pricing Details'!X243)</f>
        <v/>
      </c>
      <c r="Y253" s="157" t="str">
        <f aca="false">'Pricing Details'!Z243</f>
        <v/>
      </c>
      <c r="Z253" s="158" t="str">
        <f aca="false">'Pricing Details'!AC243</f>
        <v/>
      </c>
      <c r="AA253" s="20"/>
      <c r="AB253" s="21" t="str">
        <f aca="false">IFERROR(_xlfn.xlookup(H253,Collection[Display],Collection[Line])&amp;_xlfn.xlookup(I253,Sleeve[Display],Sleeve[Sleeve]),"")</f>
        <v/>
      </c>
    </row>
    <row r="254" s="21" customFormat="true" ht="30" hidden="false" customHeight="true" outlineLevel="0" collapsed="false">
      <c r="A254" s="20"/>
      <c r="B254" s="90" t="n">
        <v>241</v>
      </c>
      <c r="C254" s="150"/>
      <c r="D254" s="160"/>
      <c r="E254" s="152"/>
      <c r="F254" s="152"/>
      <c r="G254" s="152"/>
      <c r="H254" s="152"/>
      <c r="I254" s="153"/>
      <c r="J254" s="152"/>
      <c r="K254" s="161"/>
      <c r="L254" s="152"/>
      <c r="M254" s="152"/>
      <c r="N254" s="152"/>
      <c r="O254" s="153"/>
      <c r="P254" s="153"/>
      <c r="Q254" s="153"/>
      <c r="R254" s="153"/>
      <c r="S254" s="153"/>
      <c r="T254" s="154"/>
      <c r="U254" s="159"/>
      <c r="V254" s="155" t="str">
        <f aca="false">IF(J254="","",'Pricing Details'!D244+'Pricing Details'!Q244)</f>
        <v/>
      </c>
      <c r="W254" s="155" t="str">
        <f aca="false">IF(J254="","",'Pricing Details'!V244)</f>
        <v/>
      </c>
      <c r="X254" s="156" t="str">
        <f aca="false">IF(J254="","",'Pricing Details'!X244)</f>
        <v/>
      </c>
      <c r="Y254" s="157" t="str">
        <f aca="false">'Pricing Details'!Z244</f>
        <v/>
      </c>
      <c r="Z254" s="158" t="str">
        <f aca="false">'Pricing Details'!AC244</f>
        <v/>
      </c>
      <c r="AA254" s="20"/>
      <c r="AB254" s="21" t="str">
        <f aca="false">IFERROR(_xlfn.xlookup(H254,Collection[Display],Collection[Line])&amp;_xlfn.xlookup(I254,Sleeve[Display],Sleeve[Sleeve]),"")</f>
        <v/>
      </c>
    </row>
    <row r="255" s="21" customFormat="true" ht="30" hidden="false" customHeight="true" outlineLevel="0" collapsed="false">
      <c r="A255" s="20"/>
      <c r="B255" s="90" t="n">
        <v>242</v>
      </c>
      <c r="C255" s="150"/>
      <c r="D255" s="160"/>
      <c r="E255" s="152"/>
      <c r="F255" s="152"/>
      <c r="G255" s="152"/>
      <c r="H255" s="152"/>
      <c r="I255" s="153"/>
      <c r="J255" s="152"/>
      <c r="K255" s="161"/>
      <c r="L255" s="152"/>
      <c r="M255" s="152"/>
      <c r="N255" s="152"/>
      <c r="O255" s="153"/>
      <c r="P255" s="153"/>
      <c r="Q255" s="153"/>
      <c r="R255" s="153"/>
      <c r="S255" s="153"/>
      <c r="T255" s="154"/>
      <c r="U255" s="159"/>
      <c r="V255" s="155" t="str">
        <f aca="false">IF(J255="","",'Pricing Details'!D245+'Pricing Details'!Q245)</f>
        <v/>
      </c>
      <c r="W255" s="155" t="str">
        <f aca="false">IF(J255="","",'Pricing Details'!V245)</f>
        <v/>
      </c>
      <c r="X255" s="156" t="str">
        <f aca="false">IF(J255="","",'Pricing Details'!X245)</f>
        <v/>
      </c>
      <c r="Y255" s="157" t="str">
        <f aca="false">'Pricing Details'!Z245</f>
        <v/>
      </c>
      <c r="Z255" s="158" t="str">
        <f aca="false">'Pricing Details'!AC245</f>
        <v/>
      </c>
      <c r="AA255" s="20"/>
      <c r="AB255" s="21" t="str">
        <f aca="false">IFERROR(_xlfn.xlookup(H255,Collection[Display],Collection[Line])&amp;_xlfn.xlookup(I255,Sleeve[Display],Sleeve[Sleeve]),"")</f>
        <v/>
      </c>
    </row>
    <row r="256" s="21" customFormat="true" ht="30" hidden="false" customHeight="true" outlineLevel="0" collapsed="false">
      <c r="A256" s="20"/>
      <c r="B256" s="90" t="n">
        <v>243</v>
      </c>
      <c r="C256" s="150"/>
      <c r="D256" s="160"/>
      <c r="E256" s="152"/>
      <c r="F256" s="152"/>
      <c r="G256" s="152"/>
      <c r="H256" s="152"/>
      <c r="I256" s="153"/>
      <c r="J256" s="152"/>
      <c r="K256" s="161"/>
      <c r="L256" s="152"/>
      <c r="M256" s="152"/>
      <c r="N256" s="152"/>
      <c r="O256" s="153"/>
      <c r="P256" s="153"/>
      <c r="Q256" s="153"/>
      <c r="R256" s="153"/>
      <c r="S256" s="153"/>
      <c r="T256" s="154"/>
      <c r="U256" s="159"/>
      <c r="V256" s="155" t="str">
        <f aca="false">IF(J256="","",'Pricing Details'!D246+'Pricing Details'!Q246)</f>
        <v/>
      </c>
      <c r="W256" s="155" t="str">
        <f aca="false">IF(J256="","",'Pricing Details'!V246)</f>
        <v/>
      </c>
      <c r="X256" s="156" t="str">
        <f aca="false">IF(J256="","",'Pricing Details'!X246)</f>
        <v/>
      </c>
      <c r="Y256" s="157" t="str">
        <f aca="false">'Pricing Details'!Z246</f>
        <v/>
      </c>
      <c r="Z256" s="158" t="str">
        <f aca="false">'Pricing Details'!AC246</f>
        <v/>
      </c>
      <c r="AA256" s="20"/>
      <c r="AB256" s="21" t="str">
        <f aca="false">IFERROR(_xlfn.xlookup(H256,Collection[Display],Collection[Line])&amp;_xlfn.xlookup(I256,Sleeve[Display],Sleeve[Sleeve]),"")</f>
        <v/>
      </c>
    </row>
    <row r="257" s="21" customFormat="true" ht="30" hidden="false" customHeight="true" outlineLevel="0" collapsed="false">
      <c r="A257" s="20"/>
      <c r="B257" s="90" t="n">
        <v>244</v>
      </c>
      <c r="C257" s="150"/>
      <c r="D257" s="160"/>
      <c r="E257" s="152"/>
      <c r="F257" s="152"/>
      <c r="G257" s="152"/>
      <c r="H257" s="152"/>
      <c r="I257" s="153"/>
      <c r="J257" s="152"/>
      <c r="K257" s="161"/>
      <c r="L257" s="152"/>
      <c r="M257" s="152"/>
      <c r="N257" s="152"/>
      <c r="O257" s="153"/>
      <c r="P257" s="153"/>
      <c r="Q257" s="153"/>
      <c r="R257" s="153"/>
      <c r="S257" s="153"/>
      <c r="T257" s="154"/>
      <c r="U257" s="159"/>
      <c r="V257" s="155" t="str">
        <f aca="false">IF(J257="","",'Pricing Details'!D247+'Pricing Details'!Q247)</f>
        <v/>
      </c>
      <c r="W257" s="155" t="str">
        <f aca="false">IF(J257="","",'Pricing Details'!V247)</f>
        <v/>
      </c>
      <c r="X257" s="156" t="str">
        <f aca="false">IF(J257="","",'Pricing Details'!X247)</f>
        <v/>
      </c>
      <c r="Y257" s="157" t="str">
        <f aca="false">'Pricing Details'!Z247</f>
        <v/>
      </c>
      <c r="Z257" s="158" t="str">
        <f aca="false">'Pricing Details'!AC247</f>
        <v/>
      </c>
      <c r="AA257" s="20"/>
      <c r="AB257" s="21" t="str">
        <f aca="false">IFERROR(_xlfn.xlookup(H257,Collection[Display],Collection[Line])&amp;_xlfn.xlookup(I257,Sleeve[Display],Sleeve[Sleeve]),"")</f>
        <v/>
      </c>
    </row>
    <row r="258" s="21" customFormat="true" ht="30" hidden="false" customHeight="true" outlineLevel="0" collapsed="false">
      <c r="A258" s="20"/>
      <c r="B258" s="90" t="n">
        <v>245</v>
      </c>
      <c r="C258" s="150"/>
      <c r="D258" s="160"/>
      <c r="E258" s="152"/>
      <c r="F258" s="152"/>
      <c r="G258" s="152"/>
      <c r="H258" s="152"/>
      <c r="I258" s="153"/>
      <c r="J258" s="152"/>
      <c r="K258" s="161"/>
      <c r="L258" s="152"/>
      <c r="M258" s="152"/>
      <c r="N258" s="152"/>
      <c r="O258" s="153"/>
      <c r="P258" s="153"/>
      <c r="Q258" s="153"/>
      <c r="R258" s="153"/>
      <c r="S258" s="153"/>
      <c r="T258" s="154"/>
      <c r="U258" s="159"/>
      <c r="V258" s="155" t="str">
        <f aca="false">IF(J258="","",'Pricing Details'!D248+'Pricing Details'!Q248)</f>
        <v/>
      </c>
      <c r="W258" s="155" t="str">
        <f aca="false">IF(J258="","",'Pricing Details'!V248)</f>
        <v/>
      </c>
      <c r="X258" s="156" t="str">
        <f aca="false">IF(J258="","",'Pricing Details'!X248)</f>
        <v/>
      </c>
      <c r="Y258" s="157" t="str">
        <f aca="false">'Pricing Details'!Z248</f>
        <v/>
      </c>
      <c r="Z258" s="158" t="str">
        <f aca="false">'Pricing Details'!AC248</f>
        <v/>
      </c>
      <c r="AA258" s="20"/>
      <c r="AB258" s="21" t="str">
        <f aca="false">IFERROR(_xlfn.xlookup(H258,Collection[Display],Collection[Line])&amp;_xlfn.xlookup(I258,Sleeve[Display],Sleeve[Sleeve]),"")</f>
        <v/>
      </c>
    </row>
    <row r="259" s="21" customFormat="true" ht="30" hidden="false" customHeight="true" outlineLevel="0" collapsed="false">
      <c r="A259" s="20"/>
      <c r="B259" s="90" t="n">
        <v>246</v>
      </c>
      <c r="C259" s="150"/>
      <c r="D259" s="160"/>
      <c r="E259" s="152"/>
      <c r="F259" s="152"/>
      <c r="G259" s="152"/>
      <c r="H259" s="152"/>
      <c r="I259" s="153"/>
      <c r="J259" s="152"/>
      <c r="K259" s="161"/>
      <c r="L259" s="152"/>
      <c r="M259" s="152"/>
      <c r="N259" s="152"/>
      <c r="O259" s="153"/>
      <c r="P259" s="153"/>
      <c r="Q259" s="153"/>
      <c r="R259" s="153"/>
      <c r="S259" s="153"/>
      <c r="T259" s="154"/>
      <c r="U259" s="159"/>
      <c r="V259" s="155" t="str">
        <f aca="false">IF(J259="","",'Pricing Details'!D249+'Pricing Details'!Q249)</f>
        <v/>
      </c>
      <c r="W259" s="155" t="str">
        <f aca="false">IF(J259="","",'Pricing Details'!V249)</f>
        <v/>
      </c>
      <c r="X259" s="156" t="str">
        <f aca="false">IF(J259="","",'Pricing Details'!X249)</f>
        <v/>
      </c>
      <c r="Y259" s="157" t="str">
        <f aca="false">'Pricing Details'!Z249</f>
        <v/>
      </c>
      <c r="Z259" s="158" t="str">
        <f aca="false">'Pricing Details'!AC249</f>
        <v/>
      </c>
      <c r="AA259" s="20"/>
      <c r="AB259" s="21" t="str">
        <f aca="false">IFERROR(_xlfn.xlookup(H259,Collection[Display],Collection[Line])&amp;_xlfn.xlookup(I259,Sleeve[Display],Sleeve[Sleeve]),"")</f>
        <v/>
      </c>
    </row>
    <row r="260" s="21" customFormat="true" ht="30" hidden="false" customHeight="true" outlineLevel="0" collapsed="false">
      <c r="A260" s="20"/>
      <c r="B260" s="90" t="n">
        <v>247</v>
      </c>
      <c r="C260" s="150"/>
      <c r="D260" s="160"/>
      <c r="E260" s="152"/>
      <c r="F260" s="152"/>
      <c r="G260" s="152"/>
      <c r="H260" s="152"/>
      <c r="I260" s="153"/>
      <c r="J260" s="152"/>
      <c r="K260" s="161"/>
      <c r="L260" s="152"/>
      <c r="M260" s="152"/>
      <c r="N260" s="152"/>
      <c r="O260" s="153"/>
      <c r="P260" s="153"/>
      <c r="Q260" s="153"/>
      <c r="R260" s="153"/>
      <c r="S260" s="153"/>
      <c r="T260" s="154"/>
      <c r="U260" s="159"/>
      <c r="V260" s="155" t="str">
        <f aca="false">IF(J260="","",'Pricing Details'!D250+'Pricing Details'!Q250)</f>
        <v/>
      </c>
      <c r="W260" s="155" t="str">
        <f aca="false">IF(J260="","",'Pricing Details'!V250)</f>
        <v/>
      </c>
      <c r="X260" s="156" t="str">
        <f aca="false">IF(J260="","",'Pricing Details'!X250)</f>
        <v/>
      </c>
      <c r="Y260" s="157" t="str">
        <f aca="false">'Pricing Details'!Z250</f>
        <v/>
      </c>
      <c r="Z260" s="158" t="str">
        <f aca="false">'Pricing Details'!AC250</f>
        <v/>
      </c>
      <c r="AA260" s="20"/>
      <c r="AB260" s="21" t="str">
        <f aca="false">IFERROR(_xlfn.xlookup(H260,Collection[Display],Collection[Line])&amp;_xlfn.xlookup(I260,Sleeve[Display],Sleeve[Sleeve]),"")</f>
        <v/>
      </c>
    </row>
    <row r="261" s="21" customFormat="true" ht="30" hidden="false" customHeight="true" outlineLevel="0" collapsed="false">
      <c r="A261" s="20"/>
      <c r="B261" s="90" t="n">
        <v>248</v>
      </c>
      <c r="C261" s="150"/>
      <c r="D261" s="160"/>
      <c r="E261" s="152"/>
      <c r="F261" s="152"/>
      <c r="G261" s="152"/>
      <c r="H261" s="152"/>
      <c r="I261" s="153"/>
      <c r="J261" s="152"/>
      <c r="K261" s="161"/>
      <c r="L261" s="152"/>
      <c r="M261" s="152"/>
      <c r="N261" s="152"/>
      <c r="O261" s="153"/>
      <c r="P261" s="153"/>
      <c r="Q261" s="153"/>
      <c r="R261" s="153"/>
      <c r="S261" s="153"/>
      <c r="T261" s="154"/>
      <c r="U261" s="159"/>
      <c r="V261" s="155" t="str">
        <f aca="false">IF(J261="","",'Pricing Details'!D251+'Pricing Details'!Q251)</f>
        <v/>
      </c>
      <c r="W261" s="155" t="str">
        <f aca="false">IF(J261="","",'Pricing Details'!V251)</f>
        <v/>
      </c>
      <c r="X261" s="156" t="str">
        <f aca="false">IF(J261="","",'Pricing Details'!X251)</f>
        <v/>
      </c>
      <c r="Y261" s="157" t="str">
        <f aca="false">'Pricing Details'!Z251</f>
        <v/>
      </c>
      <c r="Z261" s="158" t="str">
        <f aca="false">'Pricing Details'!AC251</f>
        <v/>
      </c>
      <c r="AA261" s="20"/>
      <c r="AB261" s="21" t="str">
        <f aca="false">IFERROR(_xlfn.xlookup(H261,Collection[Display],Collection[Line])&amp;_xlfn.xlookup(I261,Sleeve[Display],Sleeve[Sleeve]),"")</f>
        <v/>
      </c>
    </row>
    <row r="262" s="21" customFormat="true" ht="30" hidden="false" customHeight="true" outlineLevel="0" collapsed="false">
      <c r="A262" s="20"/>
      <c r="B262" s="90" t="n">
        <v>249</v>
      </c>
      <c r="C262" s="150"/>
      <c r="D262" s="160"/>
      <c r="E262" s="152"/>
      <c r="F262" s="152"/>
      <c r="G262" s="152"/>
      <c r="H262" s="152"/>
      <c r="I262" s="153"/>
      <c r="J262" s="152"/>
      <c r="K262" s="161"/>
      <c r="L262" s="152"/>
      <c r="M262" s="152"/>
      <c r="N262" s="152"/>
      <c r="O262" s="153"/>
      <c r="P262" s="153"/>
      <c r="Q262" s="153"/>
      <c r="R262" s="153"/>
      <c r="S262" s="153"/>
      <c r="T262" s="154"/>
      <c r="U262" s="159"/>
      <c r="V262" s="155" t="str">
        <f aca="false">IF(J262="","",'Pricing Details'!D252+'Pricing Details'!Q252)</f>
        <v/>
      </c>
      <c r="W262" s="155" t="str">
        <f aca="false">IF(J262="","",'Pricing Details'!V252)</f>
        <v/>
      </c>
      <c r="X262" s="156" t="str">
        <f aca="false">IF(J262="","",'Pricing Details'!X252)</f>
        <v/>
      </c>
      <c r="Y262" s="157" t="str">
        <f aca="false">'Pricing Details'!Z252</f>
        <v/>
      </c>
      <c r="Z262" s="158" t="str">
        <f aca="false">'Pricing Details'!AC252</f>
        <v/>
      </c>
      <c r="AA262" s="20"/>
      <c r="AB262" s="21" t="str">
        <f aca="false">IFERROR(_xlfn.xlookup(H262,Collection[Display],Collection[Line])&amp;_xlfn.xlookup(I262,Sleeve[Display],Sleeve[Sleeve]),"")</f>
        <v/>
      </c>
    </row>
    <row r="263" s="21" customFormat="true" ht="30" hidden="false" customHeight="true" outlineLevel="0" collapsed="false">
      <c r="A263" s="20"/>
      <c r="B263" s="90" t="n">
        <v>250</v>
      </c>
      <c r="C263" s="150"/>
      <c r="D263" s="160"/>
      <c r="E263" s="152"/>
      <c r="F263" s="152"/>
      <c r="G263" s="152"/>
      <c r="H263" s="152"/>
      <c r="I263" s="153"/>
      <c r="J263" s="152"/>
      <c r="K263" s="161"/>
      <c r="L263" s="152"/>
      <c r="M263" s="152"/>
      <c r="N263" s="152"/>
      <c r="O263" s="153"/>
      <c r="P263" s="153"/>
      <c r="Q263" s="153"/>
      <c r="R263" s="153"/>
      <c r="S263" s="153"/>
      <c r="T263" s="154"/>
      <c r="U263" s="159"/>
      <c r="V263" s="155" t="str">
        <f aca="false">IF(J263="","",'Pricing Details'!D253+'Pricing Details'!Q253)</f>
        <v/>
      </c>
      <c r="W263" s="155" t="str">
        <f aca="false">IF(J263="","",'Pricing Details'!V253)</f>
        <v/>
      </c>
      <c r="X263" s="156" t="str">
        <f aca="false">IF(J263="","",'Pricing Details'!X253)</f>
        <v/>
      </c>
      <c r="Y263" s="157" t="str">
        <f aca="false">'Pricing Details'!Z253</f>
        <v/>
      </c>
      <c r="Z263" s="158" t="str">
        <f aca="false">'Pricing Details'!AC253</f>
        <v/>
      </c>
      <c r="AA263" s="20"/>
      <c r="AB263" s="21" t="str">
        <f aca="false">IFERROR(_xlfn.xlookup(H263,Collection[Display],Collection[Line])&amp;_xlfn.xlookup(I263,Sleeve[Display],Sleeve[Sleeve]),"")</f>
        <v/>
      </c>
    </row>
    <row r="264" s="21" customFormat="true" ht="30" hidden="false" customHeight="true" outlineLevel="0" collapsed="false">
      <c r="A264" s="20"/>
      <c r="B264" s="90" t="n">
        <v>251</v>
      </c>
      <c r="C264" s="150"/>
      <c r="D264" s="160"/>
      <c r="E264" s="152"/>
      <c r="F264" s="152"/>
      <c r="G264" s="152"/>
      <c r="H264" s="152"/>
      <c r="I264" s="153"/>
      <c r="J264" s="152"/>
      <c r="K264" s="161"/>
      <c r="L264" s="152"/>
      <c r="M264" s="152"/>
      <c r="N264" s="152"/>
      <c r="O264" s="153"/>
      <c r="P264" s="153"/>
      <c r="Q264" s="153"/>
      <c r="R264" s="153"/>
      <c r="S264" s="153"/>
      <c r="T264" s="154"/>
      <c r="U264" s="159"/>
      <c r="V264" s="155" t="str">
        <f aca="false">IF(J264="","",'Pricing Details'!D254+'Pricing Details'!Q254)</f>
        <v/>
      </c>
      <c r="W264" s="155" t="str">
        <f aca="false">IF(J264="","",'Pricing Details'!V254)</f>
        <v/>
      </c>
      <c r="X264" s="156" t="str">
        <f aca="false">IF(J264="","",'Pricing Details'!X254)</f>
        <v/>
      </c>
      <c r="Y264" s="157" t="str">
        <f aca="false">'Pricing Details'!Z254</f>
        <v/>
      </c>
      <c r="Z264" s="158" t="str">
        <f aca="false">'Pricing Details'!AC254</f>
        <v/>
      </c>
      <c r="AA264" s="20"/>
      <c r="AB264" s="21" t="str">
        <f aca="false">IFERROR(_xlfn.xlookup(H264,Collection[Display],Collection[Line])&amp;_xlfn.xlookup(I264,Sleeve[Display],Sleeve[Sleeve]),"")</f>
        <v/>
      </c>
    </row>
    <row r="265" s="21" customFormat="true" ht="30" hidden="false" customHeight="true" outlineLevel="0" collapsed="false">
      <c r="A265" s="20"/>
      <c r="B265" s="90" t="n">
        <v>252</v>
      </c>
      <c r="C265" s="150"/>
      <c r="D265" s="160"/>
      <c r="E265" s="152"/>
      <c r="F265" s="152"/>
      <c r="G265" s="152"/>
      <c r="H265" s="152"/>
      <c r="I265" s="153"/>
      <c r="J265" s="152"/>
      <c r="K265" s="161"/>
      <c r="L265" s="152"/>
      <c r="M265" s="152"/>
      <c r="N265" s="152"/>
      <c r="O265" s="153"/>
      <c r="P265" s="153"/>
      <c r="Q265" s="153"/>
      <c r="R265" s="153"/>
      <c r="S265" s="153"/>
      <c r="T265" s="154"/>
      <c r="U265" s="159"/>
      <c r="V265" s="155" t="str">
        <f aca="false">IF(J265="","",'Pricing Details'!D255+'Pricing Details'!Q255)</f>
        <v/>
      </c>
      <c r="W265" s="155" t="str">
        <f aca="false">IF(J265="","",'Pricing Details'!V255)</f>
        <v/>
      </c>
      <c r="X265" s="156" t="str">
        <f aca="false">IF(J265="","",'Pricing Details'!X255)</f>
        <v/>
      </c>
      <c r="Y265" s="157" t="str">
        <f aca="false">'Pricing Details'!Z255</f>
        <v/>
      </c>
      <c r="Z265" s="158" t="str">
        <f aca="false">'Pricing Details'!AC255</f>
        <v/>
      </c>
      <c r="AA265" s="20"/>
      <c r="AB265" s="21" t="str">
        <f aca="false">IFERROR(_xlfn.xlookup(H265,Collection[Display],Collection[Line])&amp;_xlfn.xlookup(I265,Sleeve[Display],Sleeve[Sleeve]),"")</f>
        <v/>
      </c>
    </row>
    <row r="266" s="21" customFormat="true" ht="30" hidden="false" customHeight="true" outlineLevel="0" collapsed="false">
      <c r="A266" s="20"/>
      <c r="B266" s="90" t="n">
        <v>253</v>
      </c>
      <c r="C266" s="150"/>
      <c r="D266" s="160"/>
      <c r="E266" s="152"/>
      <c r="F266" s="152"/>
      <c r="G266" s="152"/>
      <c r="H266" s="152"/>
      <c r="I266" s="153"/>
      <c r="J266" s="152"/>
      <c r="K266" s="161"/>
      <c r="L266" s="152"/>
      <c r="M266" s="152"/>
      <c r="N266" s="152"/>
      <c r="O266" s="153"/>
      <c r="P266" s="153"/>
      <c r="Q266" s="153"/>
      <c r="R266" s="153"/>
      <c r="S266" s="153"/>
      <c r="T266" s="154"/>
      <c r="U266" s="159"/>
      <c r="V266" s="155" t="str">
        <f aca="false">IF(J266="","",'Pricing Details'!D256+'Pricing Details'!Q256)</f>
        <v/>
      </c>
      <c r="W266" s="155" t="str">
        <f aca="false">IF(J266="","",'Pricing Details'!V256)</f>
        <v/>
      </c>
      <c r="X266" s="156" t="str">
        <f aca="false">IF(J266="","",'Pricing Details'!X256)</f>
        <v/>
      </c>
      <c r="Y266" s="157" t="str">
        <f aca="false">'Pricing Details'!Z256</f>
        <v/>
      </c>
      <c r="Z266" s="158" t="str">
        <f aca="false">'Pricing Details'!AC256</f>
        <v/>
      </c>
      <c r="AA266" s="20"/>
      <c r="AB266" s="21" t="str">
        <f aca="false">IFERROR(_xlfn.xlookup(H266,Collection[Display],Collection[Line])&amp;_xlfn.xlookup(I266,Sleeve[Display],Sleeve[Sleeve]),"")</f>
        <v/>
      </c>
    </row>
    <row r="267" s="21" customFormat="true" ht="30" hidden="false" customHeight="true" outlineLevel="0" collapsed="false">
      <c r="A267" s="20"/>
      <c r="B267" s="90" t="n">
        <v>254</v>
      </c>
      <c r="C267" s="150"/>
      <c r="D267" s="160"/>
      <c r="E267" s="152"/>
      <c r="F267" s="152"/>
      <c r="G267" s="152"/>
      <c r="H267" s="152"/>
      <c r="I267" s="153"/>
      <c r="J267" s="152"/>
      <c r="K267" s="161"/>
      <c r="L267" s="152"/>
      <c r="M267" s="152"/>
      <c r="N267" s="152"/>
      <c r="O267" s="153"/>
      <c r="P267" s="153"/>
      <c r="Q267" s="153"/>
      <c r="R267" s="153"/>
      <c r="S267" s="153"/>
      <c r="T267" s="154"/>
      <c r="U267" s="159"/>
      <c r="V267" s="155" t="str">
        <f aca="false">IF(J267="","",'Pricing Details'!D257+'Pricing Details'!Q257)</f>
        <v/>
      </c>
      <c r="W267" s="155" t="str">
        <f aca="false">IF(J267="","",'Pricing Details'!V257)</f>
        <v/>
      </c>
      <c r="X267" s="156" t="str">
        <f aca="false">IF(J267="","",'Pricing Details'!X257)</f>
        <v/>
      </c>
      <c r="Y267" s="157" t="str">
        <f aca="false">'Pricing Details'!Z257</f>
        <v/>
      </c>
      <c r="Z267" s="158" t="str">
        <f aca="false">'Pricing Details'!AC257</f>
        <v/>
      </c>
      <c r="AA267" s="20"/>
      <c r="AB267" s="21" t="str">
        <f aca="false">IFERROR(_xlfn.xlookup(H267,Collection[Display],Collection[Line])&amp;_xlfn.xlookup(I267,Sleeve[Display],Sleeve[Sleeve]),"")</f>
        <v/>
      </c>
    </row>
    <row r="268" s="21" customFormat="true" ht="30" hidden="false" customHeight="true" outlineLevel="0" collapsed="false">
      <c r="A268" s="20"/>
      <c r="B268" s="90" t="n">
        <v>255</v>
      </c>
      <c r="C268" s="150"/>
      <c r="D268" s="160"/>
      <c r="E268" s="152"/>
      <c r="F268" s="152"/>
      <c r="G268" s="152"/>
      <c r="H268" s="152"/>
      <c r="I268" s="153"/>
      <c r="J268" s="152"/>
      <c r="K268" s="161"/>
      <c r="L268" s="152"/>
      <c r="M268" s="152"/>
      <c r="N268" s="152"/>
      <c r="O268" s="153"/>
      <c r="P268" s="153"/>
      <c r="Q268" s="153"/>
      <c r="R268" s="153"/>
      <c r="S268" s="153"/>
      <c r="T268" s="154"/>
      <c r="U268" s="159"/>
      <c r="V268" s="155" t="str">
        <f aca="false">IF(J268="","",'Pricing Details'!D258+'Pricing Details'!Q258)</f>
        <v/>
      </c>
      <c r="W268" s="155" t="str">
        <f aca="false">IF(J268="","",'Pricing Details'!V258)</f>
        <v/>
      </c>
      <c r="X268" s="156" t="str">
        <f aca="false">IF(J268="","",'Pricing Details'!X258)</f>
        <v/>
      </c>
      <c r="Y268" s="157" t="str">
        <f aca="false">'Pricing Details'!Z258</f>
        <v/>
      </c>
      <c r="Z268" s="158" t="str">
        <f aca="false">'Pricing Details'!AC258</f>
        <v/>
      </c>
      <c r="AA268" s="20"/>
      <c r="AB268" s="21" t="str">
        <f aca="false">IFERROR(_xlfn.xlookup(H268,Collection[Display],Collection[Line])&amp;_xlfn.xlookup(I268,Sleeve[Display],Sleeve[Sleeve]),"")</f>
        <v/>
      </c>
    </row>
    <row r="269" s="21" customFormat="true" ht="30" hidden="false" customHeight="true" outlineLevel="0" collapsed="false">
      <c r="A269" s="20"/>
      <c r="B269" s="90" t="n">
        <v>256</v>
      </c>
      <c r="C269" s="150"/>
      <c r="D269" s="160"/>
      <c r="E269" s="152"/>
      <c r="F269" s="152"/>
      <c r="G269" s="152"/>
      <c r="H269" s="152"/>
      <c r="I269" s="153"/>
      <c r="J269" s="152"/>
      <c r="K269" s="161"/>
      <c r="L269" s="152"/>
      <c r="M269" s="152"/>
      <c r="N269" s="152"/>
      <c r="O269" s="153"/>
      <c r="P269" s="153"/>
      <c r="Q269" s="153"/>
      <c r="R269" s="153"/>
      <c r="S269" s="153"/>
      <c r="T269" s="154"/>
      <c r="U269" s="159"/>
      <c r="V269" s="155" t="str">
        <f aca="false">IF(J269="","",'Pricing Details'!D259+'Pricing Details'!Q259)</f>
        <v/>
      </c>
      <c r="W269" s="155" t="str">
        <f aca="false">IF(J269="","",'Pricing Details'!V259)</f>
        <v/>
      </c>
      <c r="X269" s="156" t="str">
        <f aca="false">IF(J269="","",'Pricing Details'!X259)</f>
        <v/>
      </c>
      <c r="Y269" s="157" t="str">
        <f aca="false">'Pricing Details'!Z259</f>
        <v/>
      </c>
      <c r="Z269" s="158" t="str">
        <f aca="false">'Pricing Details'!AC259</f>
        <v/>
      </c>
      <c r="AA269" s="20"/>
      <c r="AB269" s="21" t="str">
        <f aca="false">IFERROR(_xlfn.xlookup(H269,Collection[Display],Collection[Line])&amp;_xlfn.xlookup(I269,Sleeve[Display],Sleeve[Sleeve]),"")</f>
        <v/>
      </c>
    </row>
    <row r="270" s="21" customFormat="true" ht="30" hidden="false" customHeight="true" outlineLevel="0" collapsed="false">
      <c r="A270" s="20"/>
      <c r="B270" s="90" t="n">
        <v>257</v>
      </c>
      <c r="C270" s="150"/>
      <c r="D270" s="160"/>
      <c r="E270" s="152"/>
      <c r="F270" s="152"/>
      <c r="G270" s="152"/>
      <c r="H270" s="152"/>
      <c r="I270" s="153"/>
      <c r="J270" s="152"/>
      <c r="K270" s="161"/>
      <c r="L270" s="152"/>
      <c r="M270" s="152"/>
      <c r="N270" s="152"/>
      <c r="O270" s="153"/>
      <c r="P270" s="153"/>
      <c r="Q270" s="153"/>
      <c r="R270" s="153"/>
      <c r="S270" s="153"/>
      <c r="T270" s="154"/>
      <c r="U270" s="159"/>
      <c r="V270" s="155" t="str">
        <f aca="false">IF(J270="","",'Pricing Details'!D260+'Pricing Details'!Q260)</f>
        <v/>
      </c>
      <c r="W270" s="155" t="str">
        <f aca="false">IF(J270="","",'Pricing Details'!V260)</f>
        <v/>
      </c>
      <c r="X270" s="156" t="str">
        <f aca="false">IF(J270="","",'Pricing Details'!X260)</f>
        <v/>
      </c>
      <c r="Y270" s="157" t="str">
        <f aca="false">'Pricing Details'!Z260</f>
        <v/>
      </c>
      <c r="Z270" s="158" t="str">
        <f aca="false">'Pricing Details'!AC260</f>
        <v/>
      </c>
      <c r="AA270" s="20"/>
      <c r="AB270" s="21" t="str">
        <f aca="false">IFERROR(_xlfn.xlookup(H270,Collection[Display],Collection[Line])&amp;_xlfn.xlookup(I270,Sleeve[Display],Sleeve[Sleeve]),"")</f>
        <v/>
      </c>
    </row>
    <row r="271" s="21" customFormat="true" ht="30" hidden="false" customHeight="true" outlineLevel="0" collapsed="false">
      <c r="A271" s="20"/>
      <c r="B271" s="90" t="n">
        <v>258</v>
      </c>
      <c r="C271" s="150"/>
      <c r="D271" s="160"/>
      <c r="E271" s="152"/>
      <c r="F271" s="152"/>
      <c r="G271" s="152"/>
      <c r="H271" s="152"/>
      <c r="I271" s="153"/>
      <c r="J271" s="152"/>
      <c r="K271" s="161"/>
      <c r="L271" s="152"/>
      <c r="M271" s="152"/>
      <c r="N271" s="152"/>
      <c r="O271" s="153"/>
      <c r="P271" s="153"/>
      <c r="Q271" s="153"/>
      <c r="R271" s="153"/>
      <c r="S271" s="153"/>
      <c r="T271" s="154"/>
      <c r="U271" s="159"/>
      <c r="V271" s="155" t="str">
        <f aca="false">IF(J271="","",'Pricing Details'!D261+'Pricing Details'!Q261)</f>
        <v/>
      </c>
      <c r="W271" s="155" t="str">
        <f aca="false">IF(J271="","",'Pricing Details'!V261)</f>
        <v/>
      </c>
      <c r="X271" s="156" t="str">
        <f aca="false">IF(J271="","",'Pricing Details'!X261)</f>
        <v/>
      </c>
      <c r="Y271" s="157" t="str">
        <f aca="false">'Pricing Details'!Z261</f>
        <v/>
      </c>
      <c r="Z271" s="158" t="str">
        <f aca="false">'Pricing Details'!AC261</f>
        <v/>
      </c>
      <c r="AA271" s="20"/>
      <c r="AB271" s="21" t="str">
        <f aca="false">IFERROR(_xlfn.xlookup(H271,Collection[Display],Collection[Line])&amp;_xlfn.xlookup(I271,Sleeve[Display],Sleeve[Sleeve]),"")</f>
        <v/>
      </c>
    </row>
    <row r="272" s="21" customFormat="true" ht="30" hidden="false" customHeight="true" outlineLevel="0" collapsed="false">
      <c r="A272" s="20"/>
      <c r="B272" s="90" t="n">
        <v>259</v>
      </c>
      <c r="C272" s="150"/>
      <c r="D272" s="160"/>
      <c r="E272" s="152"/>
      <c r="F272" s="152"/>
      <c r="G272" s="152"/>
      <c r="H272" s="152"/>
      <c r="I272" s="153"/>
      <c r="J272" s="152"/>
      <c r="K272" s="161"/>
      <c r="L272" s="152"/>
      <c r="M272" s="152"/>
      <c r="N272" s="152"/>
      <c r="O272" s="153"/>
      <c r="P272" s="153"/>
      <c r="Q272" s="153"/>
      <c r="R272" s="153"/>
      <c r="S272" s="153"/>
      <c r="T272" s="154"/>
      <c r="U272" s="159"/>
      <c r="V272" s="155" t="str">
        <f aca="false">IF(J272="","",'Pricing Details'!D262+'Pricing Details'!Q262)</f>
        <v/>
      </c>
      <c r="W272" s="155" t="str">
        <f aca="false">IF(J272="","",'Pricing Details'!V262)</f>
        <v/>
      </c>
      <c r="X272" s="156" t="str">
        <f aca="false">IF(J272="","",'Pricing Details'!X262)</f>
        <v/>
      </c>
      <c r="Y272" s="157" t="str">
        <f aca="false">'Pricing Details'!Z262</f>
        <v/>
      </c>
      <c r="Z272" s="158" t="str">
        <f aca="false">'Pricing Details'!AC262</f>
        <v/>
      </c>
      <c r="AA272" s="20"/>
      <c r="AB272" s="21" t="str">
        <f aca="false">IFERROR(_xlfn.xlookup(H272,Collection[Display],Collection[Line])&amp;_xlfn.xlookup(I272,Sleeve[Display],Sleeve[Sleeve]),"")</f>
        <v/>
      </c>
    </row>
    <row r="273" s="21" customFormat="true" ht="30" hidden="false" customHeight="true" outlineLevel="0" collapsed="false">
      <c r="A273" s="20"/>
      <c r="B273" s="90" t="n">
        <v>260</v>
      </c>
      <c r="C273" s="150"/>
      <c r="D273" s="160"/>
      <c r="E273" s="152"/>
      <c r="F273" s="152"/>
      <c r="G273" s="152"/>
      <c r="H273" s="152"/>
      <c r="I273" s="153"/>
      <c r="J273" s="152"/>
      <c r="K273" s="161"/>
      <c r="L273" s="152"/>
      <c r="M273" s="152"/>
      <c r="N273" s="152"/>
      <c r="O273" s="153"/>
      <c r="P273" s="153"/>
      <c r="Q273" s="153"/>
      <c r="R273" s="153"/>
      <c r="S273" s="153"/>
      <c r="T273" s="154"/>
      <c r="U273" s="159"/>
      <c r="V273" s="155" t="str">
        <f aca="false">IF(J273="","",'Pricing Details'!D263+'Pricing Details'!Q263)</f>
        <v/>
      </c>
      <c r="W273" s="155" t="str">
        <f aca="false">IF(J273="","",'Pricing Details'!V263)</f>
        <v/>
      </c>
      <c r="X273" s="156" t="str">
        <f aca="false">IF(J273="","",'Pricing Details'!X263)</f>
        <v/>
      </c>
      <c r="Y273" s="157" t="str">
        <f aca="false">'Pricing Details'!Z263</f>
        <v/>
      </c>
      <c r="Z273" s="158" t="str">
        <f aca="false">'Pricing Details'!AC263</f>
        <v/>
      </c>
      <c r="AA273" s="20"/>
      <c r="AB273" s="21" t="str">
        <f aca="false">IFERROR(_xlfn.xlookup(H273,Collection[Display],Collection[Line])&amp;_xlfn.xlookup(I273,Sleeve[Display],Sleeve[Sleeve]),"")</f>
        <v/>
      </c>
    </row>
    <row r="274" s="21" customFormat="true" ht="30" hidden="false" customHeight="true" outlineLevel="0" collapsed="false">
      <c r="A274" s="20"/>
      <c r="B274" s="90" t="n">
        <v>261</v>
      </c>
      <c r="C274" s="150"/>
      <c r="D274" s="160"/>
      <c r="E274" s="152"/>
      <c r="F274" s="152"/>
      <c r="G274" s="152"/>
      <c r="H274" s="152"/>
      <c r="I274" s="153"/>
      <c r="J274" s="152"/>
      <c r="K274" s="161"/>
      <c r="L274" s="152"/>
      <c r="M274" s="152"/>
      <c r="N274" s="152"/>
      <c r="O274" s="153"/>
      <c r="P274" s="153"/>
      <c r="Q274" s="153"/>
      <c r="R274" s="153"/>
      <c r="S274" s="153"/>
      <c r="T274" s="154"/>
      <c r="U274" s="159"/>
      <c r="V274" s="155" t="str">
        <f aca="false">IF(J274="","",'Pricing Details'!D264+'Pricing Details'!Q264)</f>
        <v/>
      </c>
      <c r="W274" s="155" t="str">
        <f aca="false">IF(J274="","",'Pricing Details'!V264)</f>
        <v/>
      </c>
      <c r="X274" s="156" t="str">
        <f aca="false">IF(J274="","",'Pricing Details'!X264)</f>
        <v/>
      </c>
      <c r="Y274" s="157" t="str">
        <f aca="false">'Pricing Details'!Z264</f>
        <v/>
      </c>
      <c r="Z274" s="158" t="str">
        <f aca="false">'Pricing Details'!AC264</f>
        <v/>
      </c>
      <c r="AA274" s="20"/>
      <c r="AB274" s="21" t="str">
        <f aca="false">IFERROR(_xlfn.xlookup(H274,Collection[Display],Collection[Line])&amp;_xlfn.xlookup(I274,Sleeve[Display],Sleeve[Sleeve]),"")</f>
        <v/>
      </c>
    </row>
    <row r="275" s="21" customFormat="true" ht="30" hidden="false" customHeight="true" outlineLevel="0" collapsed="false">
      <c r="A275" s="20"/>
      <c r="B275" s="90" t="n">
        <v>262</v>
      </c>
      <c r="C275" s="150"/>
      <c r="D275" s="160"/>
      <c r="E275" s="152"/>
      <c r="F275" s="152"/>
      <c r="G275" s="152"/>
      <c r="H275" s="152"/>
      <c r="I275" s="153"/>
      <c r="J275" s="152"/>
      <c r="K275" s="161"/>
      <c r="L275" s="152"/>
      <c r="M275" s="152"/>
      <c r="N275" s="152"/>
      <c r="O275" s="153"/>
      <c r="P275" s="153"/>
      <c r="Q275" s="153"/>
      <c r="R275" s="153"/>
      <c r="S275" s="153"/>
      <c r="T275" s="154"/>
      <c r="U275" s="159"/>
      <c r="V275" s="155" t="str">
        <f aca="false">IF(J275="","",'Pricing Details'!D265+'Pricing Details'!Q265)</f>
        <v/>
      </c>
      <c r="W275" s="155" t="str">
        <f aca="false">IF(J275="","",'Pricing Details'!V265)</f>
        <v/>
      </c>
      <c r="X275" s="156" t="str">
        <f aca="false">IF(J275="","",'Pricing Details'!X265)</f>
        <v/>
      </c>
      <c r="Y275" s="157" t="str">
        <f aca="false">'Pricing Details'!Z265</f>
        <v/>
      </c>
      <c r="Z275" s="158" t="str">
        <f aca="false">'Pricing Details'!AC265</f>
        <v/>
      </c>
      <c r="AA275" s="20"/>
      <c r="AB275" s="21" t="str">
        <f aca="false">IFERROR(_xlfn.xlookup(H275,Collection[Display],Collection[Line])&amp;_xlfn.xlookup(I275,Sleeve[Display],Sleeve[Sleeve]),"")</f>
        <v/>
      </c>
    </row>
    <row r="276" s="21" customFormat="true" ht="30" hidden="false" customHeight="true" outlineLevel="0" collapsed="false">
      <c r="A276" s="20"/>
      <c r="B276" s="90" t="n">
        <v>263</v>
      </c>
      <c r="C276" s="150"/>
      <c r="D276" s="160"/>
      <c r="E276" s="152"/>
      <c r="F276" s="152"/>
      <c r="G276" s="152"/>
      <c r="H276" s="152"/>
      <c r="I276" s="153"/>
      <c r="J276" s="152"/>
      <c r="K276" s="161"/>
      <c r="L276" s="152"/>
      <c r="M276" s="152"/>
      <c r="N276" s="152"/>
      <c r="O276" s="153"/>
      <c r="P276" s="153"/>
      <c r="Q276" s="153"/>
      <c r="R276" s="153"/>
      <c r="S276" s="153"/>
      <c r="T276" s="154"/>
      <c r="U276" s="159"/>
      <c r="V276" s="155" t="str">
        <f aca="false">IF(J276="","",'Pricing Details'!D266+'Pricing Details'!Q266)</f>
        <v/>
      </c>
      <c r="W276" s="155" t="str">
        <f aca="false">IF(J276="","",'Pricing Details'!V266)</f>
        <v/>
      </c>
      <c r="X276" s="156" t="str">
        <f aca="false">IF(J276="","",'Pricing Details'!X266)</f>
        <v/>
      </c>
      <c r="Y276" s="157" t="str">
        <f aca="false">'Pricing Details'!Z266</f>
        <v/>
      </c>
      <c r="Z276" s="158" t="str">
        <f aca="false">'Pricing Details'!AC266</f>
        <v/>
      </c>
      <c r="AA276" s="20"/>
      <c r="AB276" s="21" t="str">
        <f aca="false">IFERROR(_xlfn.xlookup(H276,Collection[Display],Collection[Line])&amp;_xlfn.xlookup(I276,Sleeve[Display],Sleeve[Sleeve]),"")</f>
        <v/>
      </c>
    </row>
    <row r="277" s="21" customFormat="true" ht="30" hidden="false" customHeight="true" outlineLevel="0" collapsed="false">
      <c r="A277" s="20"/>
      <c r="B277" s="90" t="n">
        <v>264</v>
      </c>
      <c r="C277" s="150"/>
      <c r="D277" s="160"/>
      <c r="E277" s="152"/>
      <c r="F277" s="152"/>
      <c r="G277" s="152"/>
      <c r="H277" s="152"/>
      <c r="I277" s="153"/>
      <c r="J277" s="152"/>
      <c r="K277" s="161"/>
      <c r="L277" s="152"/>
      <c r="M277" s="152"/>
      <c r="N277" s="152"/>
      <c r="O277" s="153"/>
      <c r="P277" s="153"/>
      <c r="Q277" s="153"/>
      <c r="R277" s="153"/>
      <c r="S277" s="153"/>
      <c r="T277" s="154"/>
      <c r="U277" s="159"/>
      <c r="V277" s="155" t="str">
        <f aca="false">IF(J277="","",'Pricing Details'!D267+'Pricing Details'!Q267)</f>
        <v/>
      </c>
      <c r="W277" s="155" t="str">
        <f aca="false">IF(J277="","",'Pricing Details'!V267)</f>
        <v/>
      </c>
      <c r="X277" s="156" t="str">
        <f aca="false">IF(J277="","",'Pricing Details'!X267)</f>
        <v/>
      </c>
      <c r="Y277" s="157" t="str">
        <f aca="false">'Pricing Details'!Z267</f>
        <v/>
      </c>
      <c r="Z277" s="158" t="str">
        <f aca="false">'Pricing Details'!AC267</f>
        <v/>
      </c>
      <c r="AA277" s="20"/>
      <c r="AB277" s="21" t="str">
        <f aca="false">IFERROR(_xlfn.xlookup(H277,Collection[Display],Collection[Line])&amp;_xlfn.xlookup(I277,Sleeve[Display],Sleeve[Sleeve]),"")</f>
        <v/>
      </c>
    </row>
    <row r="278" s="21" customFormat="true" ht="30" hidden="false" customHeight="true" outlineLevel="0" collapsed="false">
      <c r="A278" s="20"/>
      <c r="B278" s="90" t="n">
        <v>265</v>
      </c>
      <c r="C278" s="150"/>
      <c r="D278" s="160"/>
      <c r="E278" s="152"/>
      <c r="F278" s="152"/>
      <c r="G278" s="152"/>
      <c r="H278" s="152"/>
      <c r="I278" s="153"/>
      <c r="J278" s="152"/>
      <c r="K278" s="161"/>
      <c r="L278" s="152"/>
      <c r="M278" s="152"/>
      <c r="N278" s="152"/>
      <c r="O278" s="153"/>
      <c r="P278" s="153"/>
      <c r="Q278" s="153"/>
      <c r="R278" s="153"/>
      <c r="S278" s="153"/>
      <c r="T278" s="154"/>
      <c r="U278" s="159"/>
      <c r="V278" s="155" t="str">
        <f aca="false">IF(J278="","",'Pricing Details'!D268+'Pricing Details'!Q268)</f>
        <v/>
      </c>
      <c r="W278" s="155" t="str">
        <f aca="false">IF(J278="","",'Pricing Details'!V268)</f>
        <v/>
      </c>
      <c r="X278" s="156" t="str">
        <f aca="false">IF(J278="","",'Pricing Details'!X268)</f>
        <v/>
      </c>
      <c r="Y278" s="157" t="str">
        <f aca="false">'Pricing Details'!Z268</f>
        <v/>
      </c>
      <c r="Z278" s="158" t="str">
        <f aca="false">'Pricing Details'!AC268</f>
        <v/>
      </c>
      <c r="AA278" s="20"/>
      <c r="AB278" s="21" t="str">
        <f aca="false">IFERROR(_xlfn.xlookup(H278,Collection[Display],Collection[Line])&amp;_xlfn.xlookup(I278,Sleeve[Display],Sleeve[Sleeve]),"")</f>
        <v/>
      </c>
    </row>
    <row r="279" s="21" customFormat="true" ht="30" hidden="false" customHeight="true" outlineLevel="0" collapsed="false">
      <c r="A279" s="20"/>
      <c r="B279" s="90" t="n">
        <v>266</v>
      </c>
      <c r="C279" s="150"/>
      <c r="D279" s="160"/>
      <c r="E279" s="152"/>
      <c r="F279" s="152"/>
      <c r="G279" s="152"/>
      <c r="H279" s="152"/>
      <c r="I279" s="153"/>
      <c r="J279" s="152"/>
      <c r="K279" s="161"/>
      <c r="L279" s="152"/>
      <c r="M279" s="152"/>
      <c r="N279" s="152"/>
      <c r="O279" s="153"/>
      <c r="P279" s="153"/>
      <c r="Q279" s="153"/>
      <c r="R279" s="153"/>
      <c r="S279" s="153"/>
      <c r="T279" s="154"/>
      <c r="U279" s="159"/>
      <c r="V279" s="155" t="str">
        <f aca="false">IF(J279="","",'Pricing Details'!D269+'Pricing Details'!Q269)</f>
        <v/>
      </c>
      <c r="W279" s="155" t="str">
        <f aca="false">IF(J279="","",'Pricing Details'!V269)</f>
        <v/>
      </c>
      <c r="X279" s="156" t="str">
        <f aca="false">IF(J279="","",'Pricing Details'!X269)</f>
        <v/>
      </c>
      <c r="Y279" s="157" t="str">
        <f aca="false">'Pricing Details'!Z269</f>
        <v/>
      </c>
      <c r="Z279" s="158" t="str">
        <f aca="false">'Pricing Details'!AC269</f>
        <v/>
      </c>
      <c r="AA279" s="20"/>
      <c r="AB279" s="21" t="str">
        <f aca="false">IFERROR(_xlfn.xlookup(H279,Collection[Display],Collection[Line])&amp;_xlfn.xlookup(I279,Sleeve[Display],Sleeve[Sleeve]),"")</f>
        <v/>
      </c>
    </row>
    <row r="280" s="21" customFormat="true" ht="30" hidden="false" customHeight="true" outlineLevel="0" collapsed="false">
      <c r="A280" s="20"/>
      <c r="B280" s="90" t="n">
        <v>267</v>
      </c>
      <c r="C280" s="150"/>
      <c r="D280" s="160"/>
      <c r="E280" s="152"/>
      <c r="F280" s="152"/>
      <c r="G280" s="152"/>
      <c r="H280" s="152"/>
      <c r="I280" s="153"/>
      <c r="J280" s="152"/>
      <c r="K280" s="161"/>
      <c r="L280" s="152"/>
      <c r="M280" s="152"/>
      <c r="N280" s="152"/>
      <c r="O280" s="153"/>
      <c r="P280" s="153"/>
      <c r="Q280" s="153"/>
      <c r="R280" s="153"/>
      <c r="S280" s="153"/>
      <c r="T280" s="154"/>
      <c r="U280" s="159"/>
      <c r="V280" s="155" t="str">
        <f aca="false">IF(J280="","",'Pricing Details'!D270+'Pricing Details'!Q270)</f>
        <v/>
      </c>
      <c r="W280" s="155" t="str">
        <f aca="false">IF(J280="","",'Pricing Details'!V270)</f>
        <v/>
      </c>
      <c r="X280" s="156" t="str">
        <f aca="false">IF(J280="","",'Pricing Details'!X270)</f>
        <v/>
      </c>
      <c r="Y280" s="157" t="str">
        <f aca="false">'Pricing Details'!Z270</f>
        <v/>
      </c>
      <c r="Z280" s="158" t="str">
        <f aca="false">'Pricing Details'!AC270</f>
        <v/>
      </c>
      <c r="AA280" s="20"/>
      <c r="AB280" s="21" t="str">
        <f aca="false">IFERROR(_xlfn.xlookup(H280,Collection[Display],Collection[Line])&amp;_xlfn.xlookup(I280,Sleeve[Display],Sleeve[Sleeve]),"")</f>
        <v/>
      </c>
    </row>
    <row r="281" s="21" customFormat="true" ht="30" hidden="false" customHeight="true" outlineLevel="0" collapsed="false">
      <c r="A281" s="20"/>
      <c r="B281" s="90" t="n">
        <v>268</v>
      </c>
      <c r="C281" s="150"/>
      <c r="D281" s="160"/>
      <c r="E281" s="152"/>
      <c r="F281" s="152"/>
      <c r="G281" s="152"/>
      <c r="H281" s="152"/>
      <c r="I281" s="153"/>
      <c r="J281" s="152"/>
      <c r="K281" s="161"/>
      <c r="L281" s="152"/>
      <c r="M281" s="152"/>
      <c r="N281" s="152"/>
      <c r="O281" s="153"/>
      <c r="P281" s="153"/>
      <c r="Q281" s="153"/>
      <c r="R281" s="153"/>
      <c r="S281" s="153"/>
      <c r="T281" s="154"/>
      <c r="U281" s="159"/>
      <c r="V281" s="155" t="str">
        <f aca="false">IF(J281="","",'Pricing Details'!D271+'Pricing Details'!Q271)</f>
        <v/>
      </c>
      <c r="W281" s="155" t="str">
        <f aca="false">IF(J281="","",'Pricing Details'!V271)</f>
        <v/>
      </c>
      <c r="X281" s="156" t="str">
        <f aca="false">IF(J281="","",'Pricing Details'!X271)</f>
        <v/>
      </c>
      <c r="Y281" s="157" t="str">
        <f aca="false">'Pricing Details'!Z271</f>
        <v/>
      </c>
      <c r="Z281" s="158" t="str">
        <f aca="false">'Pricing Details'!AC271</f>
        <v/>
      </c>
      <c r="AA281" s="20"/>
      <c r="AB281" s="21" t="str">
        <f aca="false">IFERROR(_xlfn.xlookup(H281,Collection[Display],Collection[Line])&amp;_xlfn.xlookup(I281,Sleeve[Display],Sleeve[Sleeve]),"")</f>
        <v/>
      </c>
    </row>
    <row r="282" s="21" customFormat="true" ht="30" hidden="false" customHeight="true" outlineLevel="0" collapsed="false">
      <c r="A282" s="20"/>
      <c r="B282" s="90" t="n">
        <v>269</v>
      </c>
      <c r="C282" s="150"/>
      <c r="D282" s="160"/>
      <c r="E282" s="152"/>
      <c r="F282" s="152"/>
      <c r="G282" s="152"/>
      <c r="H282" s="152"/>
      <c r="I282" s="153"/>
      <c r="J282" s="152"/>
      <c r="K282" s="161"/>
      <c r="L282" s="152"/>
      <c r="M282" s="152"/>
      <c r="N282" s="152"/>
      <c r="O282" s="153"/>
      <c r="P282" s="153"/>
      <c r="Q282" s="153"/>
      <c r="R282" s="153"/>
      <c r="S282" s="153"/>
      <c r="T282" s="154"/>
      <c r="U282" s="159"/>
      <c r="V282" s="155" t="str">
        <f aca="false">IF(J282="","",'Pricing Details'!D272+'Pricing Details'!Q272)</f>
        <v/>
      </c>
      <c r="W282" s="155" t="str">
        <f aca="false">IF(J282="","",'Pricing Details'!V272)</f>
        <v/>
      </c>
      <c r="X282" s="156" t="str">
        <f aca="false">IF(J282="","",'Pricing Details'!X272)</f>
        <v/>
      </c>
      <c r="Y282" s="157" t="str">
        <f aca="false">'Pricing Details'!Z272</f>
        <v/>
      </c>
      <c r="Z282" s="158" t="str">
        <f aca="false">'Pricing Details'!AC272</f>
        <v/>
      </c>
      <c r="AA282" s="20"/>
      <c r="AB282" s="21" t="str">
        <f aca="false">IFERROR(_xlfn.xlookup(H282,Collection[Display],Collection[Line])&amp;_xlfn.xlookup(I282,Sleeve[Display],Sleeve[Sleeve]),"")</f>
        <v/>
      </c>
    </row>
    <row r="283" s="21" customFormat="true" ht="30" hidden="false" customHeight="true" outlineLevel="0" collapsed="false">
      <c r="A283" s="20"/>
      <c r="B283" s="90" t="n">
        <v>270</v>
      </c>
      <c r="C283" s="150"/>
      <c r="D283" s="160"/>
      <c r="E283" s="152"/>
      <c r="F283" s="152"/>
      <c r="G283" s="152"/>
      <c r="H283" s="152"/>
      <c r="I283" s="153"/>
      <c r="J283" s="152"/>
      <c r="K283" s="161"/>
      <c r="L283" s="152"/>
      <c r="M283" s="152"/>
      <c r="N283" s="152"/>
      <c r="O283" s="153"/>
      <c r="P283" s="153"/>
      <c r="Q283" s="153"/>
      <c r="R283" s="153"/>
      <c r="S283" s="153"/>
      <c r="T283" s="154"/>
      <c r="U283" s="159"/>
      <c r="V283" s="155" t="str">
        <f aca="false">IF(J283="","",'Pricing Details'!D273+'Pricing Details'!Q273)</f>
        <v/>
      </c>
      <c r="W283" s="155" t="str">
        <f aca="false">IF(J283="","",'Pricing Details'!V273)</f>
        <v/>
      </c>
      <c r="X283" s="156" t="str">
        <f aca="false">IF(J283="","",'Pricing Details'!X273)</f>
        <v/>
      </c>
      <c r="Y283" s="157" t="str">
        <f aca="false">'Pricing Details'!Z273</f>
        <v/>
      </c>
      <c r="Z283" s="158" t="str">
        <f aca="false">'Pricing Details'!AC273</f>
        <v/>
      </c>
      <c r="AA283" s="20"/>
      <c r="AB283" s="21" t="str">
        <f aca="false">IFERROR(_xlfn.xlookup(H283,Collection[Display],Collection[Line])&amp;_xlfn.xlookup(I283,Sleeve[Display],Sleeve[Sleeve]),"")</f>
        <v/>
      </c>
    </row>
    <row r="284" s="21" customFormat="true" ht="30" hidden="false" customHeight="true" outlineLevel="0" collapsed="false">
      <c r="A284" s="20"/>
      <c r="B284" s="90" t="n">
        <v>271</v>
      </c>
      <c r="C284" s="150"/>
      <c r="D284" s="160"/>
      <c r="E284" s="152"/>
      <c r="F284" s="152"/>
      <c r="G284" s="152"/>
      <c r="H284" s="152"/>
      <c r="I284" s="153"/>
      <c r="J284" s="152"/>
      <c r="K284" s="161"/>
      <c r="L284" s="152"/>
      <c r="M284" s="152"/>
      <c r="N284" s="152"/>
      <c r="O284" s="153"/>
      <c r="P284" s="153"/>
      <c r="Q284" s="153"/>
      <c r="R284" s="153"/>
      <c r="S284" s="153"/>
      <c r="T284" s="154"/>
      <c r="U284" s="159"/>
      <c r="V284" s="155" t="str">
        <f aca="false">IF(J284="","",'Pricing Details'!D274+'Pricing Details'!Q274)</f>
        <v/>
      </c>
      <c r="W284" s="155" t="str">
        <f aca="false">IF(J284="","",'Pricing Details'!V274)</f>
        <v/>
      </c>
      <c r="X284" s="156" t="str">
        <f aca="false">IF(J284="","",'Pricing Details'!X274)</f>
        <v/>
      </c>
      <c r="Y284" s="157" t="str">
        <f aca="false">'Pricing Details'!Z274</f>
        <v/>
      </c>
      <c r="Z284" s="158" t="str">
        <f aca="false">'Pricing Details'!AC274</f>
        <v/>
      </c>
      <c r="AA284" s="20"/>
      <c r="AB284" s="21" t="str">
        <f aca="false">IFERROR(_xlfn.xlookup(H284,Collection[Display],Collection[Line])&amp;_xlfn.xlookup(I284,Sleeve[Display],Sleeve[Sleeve]),"")</f>
        <v/>
      </c>
    </row>
    <row r="285" s="21" customFormat="true" ht="30" hidden="false" customHeight="true" outlineLevel="0" collapsed="false">
      <c r="A285" s="20"/>
      <c r="B285" s="90" t="n">
        <v>272</v>
      </c>
      <c r="C285" s="150"/>
      <c r="D285" s="160"/>
      <c r="E285" s="152"/>
      <c r="F285" s="152"/>
      <c r="G285" s="152"/>
      <c r="H285" s="152"/>
      <c r="I285" s="153"/>
      <c r="J285" s="152"/>
      <c r="K285" s="161"/>
      <c r="L285" s="152"/>
      <c r="M285" s="152"/>
      <c r="N285" s="152"/>
      <c r="O285" s="153"/>
      <c r="P285" s="153"/>
      <c r="Q285" s="153"/>
      <c r="R285" s="153"/>
      <c r="S285" s="153"/>
      <c r="T285" s="154"/>
      <c r="U285" s="159"/>
      <c r="V285" s="155" t="str">
        <f aca="false">IF(J285="","",'Pricing Details'!D275+'Pricing Details'!Q275)</f>
        <v/>
      </c>
      <c r="W285" s="155" t="str">
        <f aca="false">IF(J285="","",'Pricing Details'!V275)</f>
        <v/>
      </c>
      <c r="X285" s="156" t="str">
        <f aca="false">IF(J285="","",'Pricing Details'!X275)</f>
        <v/>
      </c>
      <c r="Y285" s="157" t="str">
        <f aca="false">'Pricing Details'!Z275</f>
        <v/>
      </c>
      <c r="Z285" s="158" t="str">
        <f aca="false">'Pricing Details'!AC275</f>
        <v/>
      </c>
      <c r="AA285" s="20"/>
      <c r="AB285" s="21" t="str">
        <f aca="false">IFERROR(_xlfn.xlookup(H285,Collection[Display],Collection[Line])&amp;_xlfn.xlookup(I285,Sleeve[Display],Sleeve[Sleeve]),"")</f>
        <v/>
      </c>
    </row>
    <row r="286" s="21" customFormat="true" ht="30" hidden="false" customHeight="true" outlineLevel="0" collapsed="false">
      <c r="A286" s="20"/>
      <c r="B286" s="90" t="n">
        <v>273</v>
      </c>
      <c r="C286" s="150"/>
      <c r="D286" s="160"/>
      <c r="E286" s="152"/>
      <c r="F286" s="152"/>
      <c r="G286" s="152"/>
      <c r="H286" s="152"/>
      <c r="I286" s="153"/>
      <c r="J286" s="152"/>
      <c r="K286" s="161"/>
      <c r="L286" s="152"/>
      <c r="M286" s="152"/>
      <c r="N286" s="152"/>
      <c r="O286" s="153"/>
      <c r="P286" s="153"/>
      <c r="Q286" s="153"/>
      <c r="R286" s="153"/>
      <c r="S286" s="153"/>
      <c r="T286" s="154"/>
      <c r="U286" s="159"/>
      <c r="V286" s="155" t="str">
        <f aca="false">IF(J286="","",'Pricing Details'!D276+'Pricing Details'!Q276)</f>
        <v/>
      </c>
      <c r="W286" s="155" t="str">
        <f aca="false">IF(J286="","",'Pricing Details'!V276)</f>
        <v/>
      </c>
      <c r="X286" s="156" t="str">
        <f aca="false">IF(J286="","",'Pricing Details'!X276)</f>
        <v/>
      </c>
      <c r="Y286" s="157" t="str">
        <f aca="false">'Pricing Details'!Z276</f>
        <v/>
      </c>
      <c r="Z286" s="158" t="str">
        <f aca="false">'Pricing Details'!AC276</f>
        <v/>
      </c>
      <c r="AA286" s="20"/>
      <c r="AB286" s="21" t="str">
        <f aca="false">IFERROR(_xlfn.xlookup(H286,Collection[Display],Collection[Line])&amp;_xlfn.xlookup(I286,Sleeve[Display],Sleeve[Sleeve]),"")</f>
        <v/>
      </c>
    </row>
    <row r="287" s="21" customFormat="true" ht="30" hidden="false" customHeight="true" outlineLevel="0" collapsed="false">
      <c r="A287" s="20"/>
      <c r="B287" s="90" t="n">
        <v>274</v>
      </c>
      <c r="C287" s="150"/>
      <c r="D287" s="160"/>
      <c r="E287" s="152"/>
      <c r="F287" s="152"/>
      <c r="G287" s="152"/>
      <c r="H287" s="152"/>
      <c r="I287" s="153"/>
      <c r="J287" s="152"/>
      <c r="K287" s="161"/>
      <c r="L287" s="152"/>
      <c r="M287" s="152"/>
      <c r="N287" s="152"/>
      <c r="O287" s="153"/>
      <c r="P287" s="153"/>
      <c r="Q287" s="153"/>
      <c r="R287" s="153"/>
      <c r="S287" s="153"/>
      <c r="T287" s="154"/>
      <c r="U287" s="159"/>
      <c r="V287" s="155" t="str">
        <f aca="false">IF(J287="","",'Pricing Details'!D277+'Pricing Details'!Q277)</f>
        <v/>
      </c>
      <c r="W287" s="155" t="str">
        <f aca="false">IF(J287="","",'Pricing Details'!V277)</f>
        <v/>
      </c>
      <c r="X287" s="156" t="str">
        <f aca="false">IF(J287="","",'Pricing Details'!X277)</f>
        <v/>
      </c>
      <c r="Y287" s="157" t="str">
        <f aca="false">'Pricing Details'!Z277</f>
        <v/>
      </c>
      <c r="Z287" s="158" t="str">
        <f aca="false">'Pricing Details'!AC277</f>
        <v/>
      </c>
      <c r="AA287" s="20"/>
      <c r="AB287" s="21" t="str">
        <f aca="false">IFERROR(_xlfn.xlookup(H287,Collection[Display],Collection[Line])&amp;_xlfn.xlookup(I287,Sleeve[Display],Sleeve[Sleeve]),"")</f>
        <v/>
      </c>
    </row>
    <row r="288" s="21" customFormat="true" ht="30" hidden="false" customHeight="true" outlineLevel="0" collapsed="false">
      <c r="A288" s="20"/>
      <c r="B288" s="90" t="n">
        <v>275</v>
      </c>
      <c r="C288" s="150"/>
      <c r="D288" s="160"/>
      <c r="E288" s="152"/>
      <c r="F288" s="152"/>
      <c r="G288" s="152"/>
      <c r="H288" s="152"/>
      <c r="I288" s="153"/>
      <c r="J288" s="152"/>
      <c r="K288" s="161"/>
      <c r="L288" s="152"/>
      <c r="M288" s="152"/>
      <c r="N288" s="152"/>
      <c r="O288" s="153"/>
      <c r="P288" s="153"/>
      <c r="Q288" s="153"/>
      <c r="R288" s="153"/>
      <c r="S288" s="153"/>
      <c r="T288" s="154"/>
      <c r="U288" s="159"/>
      <c r="V288" s="155" t="str">
        <f aca="false">IF(J288="","",'Pricing Details'!D278+'Pricing Details'!Q278)</f>
        <v/>
      </c>
      <c r="W288" s="155" t="str">
        <f aca="false">IF(J288="","",'Pricing Details'!V278)</f>
        <v/>
      </c>
      <c r="X288" s="156" t="str">
        <f aca="false">IF(J288="","",'Pricing Details'!X278)</f>
        <v/>
      </c>
      <c r="Y288" s="157" t="str">
        <f aca="false">'Pricing Details'!Z278</f>
        <v/>
      </c>
      <c r="Z288" s="158" t="str">
        <f aca="false">'Pricing Details'!AC278</f>
        <v/>
      </c>
      <c r="AA288" s="20"/>
      <c r="AB288" s="21" t="str">
        <f aca="false">IFERROR(_xlfn.xlookup(H288,Collection[Display],Collection[Line])&amp;_xlfn.xlookup(I288,Sleeve[Display],Sleeve[Sleeve]),"")</f>
        <v/>
      </c>
    </row>
    <row r="289" s="21" customFormat="true" ht="30" hidden="false" customHeight="true" outlineLevel="0" collapsed="false">
      <c r="A289" s="20"/>
      <c r="B289" s="90" t="n">
        <v>276</v>
      </c>
      <c r="C289" s="150"/>
      <c r="D289" s="160"/>
      <c r="E289" s="152"/>
      <c r="F289" s="152"/>
      <c r="G289" s="152"/>
      <c r="H289" s="152"/>
      <c r="I289" s="153"/>
      <c r="J289" s="152"/>
      <c r="K289" s="161"/>
      <c r="L289" s="152"/>
      <c r="M289" s="152"/>
      <c r="N289" s="152"/>
      <c r="O289" s="153"/>
      <c r="P289" s="153"/>
      <c r="Q289" s="153"/>
      <c r="R289" s="153"/>
      <c r="S289" s="153"/>
      <c r="T289" s="154"/>
      <c r="U289" s="159"/>
      <c r="V289" s="155" t="str">
        <f aca="false">IF(J289="","",'Pricing Details'!D279+'Pricing Details'!Q279)</f>
        <v/>
      </c>
      <c r="W289" s="155" t="str">
        <f aca="false">IF(J289="","",'Pricing Details'!V279)</f>
        <v/>
      </c>
      <c r="X289" s="156" t="str">
        <f aca="false">IF(J289="","",'Pricing Details'!X279)</f>
        <v/>
      </c>
      <c r="Y289" s="157" t="str">
        <f aca="false">'Pricing Details'!Z279</f>
        <v/>
      </c>
      <c r="Z289" s="158" t="str">
        <f aca="false">'Pricing Details'!AC279</f>
        <v/>
      </c>
      <c r="AA289" s="20"/>
      <c r="AB289" s="21" t="str">
        <f aca="false">IFERROR(_xlfn.xlookup(H289,Collection[Display],Collection[Line])&amp;_xlfn.xlookup(I289,Sleeve[Display],Sleeve[Sleeve]),"")</f>
        <v/>
      </c>
    </row>
    <row r="290" s="21" customFormat="true" ht="30" hidden="false" customHeight="true" outlineLevel="0" collapsed="false">
      <c r="A290" s="20"/>
      <c r="B290" s="90" t="n">
        <v>277</v>
      </c>
      <c r="C290" s="150"/>
      <c r="D290" s="160"/>
      <c r="E290" s="152"/>
      <c r="F290" s="152"/>
      <c r="G290" s="152"/>
      <c r="H290" s="152"/>
      <c r="I290" s="153"/>
      <c r="J290" s="152"/>
      <c r="K290" s="161"/>
      <c r="L290" s="152"/>
      <c r="M290" s="152"/>
      <c r="N290" s="152"/>
      <c r="O290" s="153"/>
      <c r="P290" s="153"/>
      <c r="Q290" s="153"/>
      <c r="R290" s="153"/>
      <c r="S290" s="153"/>
      <c r="T290" s="154"/>
      <c r="U290" s="159"/>
      <c r="V290" s="155" t="str">
        <f aca="false">IF(J290="","",'Pricing Details'!D280+'Pricing Details'!Q280)</f>
        <v/>
      </c>
      <c r="W290" s="155" t="str">
        <f aca="false">IF(J290="","",'Pricing Details'!V280)</f>
        <v/>
      </c>
      <c r="X290" s="156" t="str">
        <f aca="false">IF(J290="","",'Pricing Details'!X280)</f>
        <v/>
      </c>
      <c r="Y290" s="157" t="str">
        <f aca="false">'Pricing Details'!Z280</f>
        <v/>
      </c>
      <c r="Z290" s="158" t="str">
        <f aca="false">'Pricing Details'!AC280</f>
        <v/>
      </c>
      <c r="AA290" s="20"/>
      <c r="AB290" s="21" t="str">
        <f aca="false">IFERROR(_xlfn.xlookup(H290,Collection[Display],Collection[Line])&amp;_xlfn.xlookup(I290,Sleeve[Display],Sleeve[Sleeve]),"")</f>
        <v/>
      </c>
    </row>
    <row r="291" s="21" customFormat="true" ht="30" hidden="false" customHeight="true" outlineLevel="0" collapsed="false">
      <c r="A291" s="20"/>
      <c r="B291" s="90" t="n">
        <v>278</v>
      </c>
      <c r="C291" s="150"/>
      <c r="D291" s="160"/>
      <c r="E291" s="152"/>
      <c r="F291" s="152"/>
      <c r="G291" s="152"/>
      <c r="H291" s="152"/>
      <c r="I291" s="153"/>
      <c r="J291" s="152"/>
      <c r="K291" s="161"/>
      <c r="L291" s="152"/>
      <c r="M291" s="152"/>
      <c r="N291" s="152"/>
      <c r="O291" s="153"/>
      <c r="P291" s="153"/>
      <c r="Q291" s="153"/>
      <c r="R291" s="153"/>
      <c r="S291" s="153"/>
      <c r="T291" s="154"/>
      <c r="U291" s="159"/>
      <c r="V291" s="155" t="str">
        <f aca="false">IF(J291="","",'Pricing Details'!D281+'Pricing Details'!Q281)</f>
        <v/>
      </c>
      <c r="W291" s="155" t="str">
        <f aca="false">IF(J291="","",'Pricing Details'!V281)</f>
        <v/>
      </c>
      <c r="X291" s="156" t="str">
        <f aca="false">IF(J291="","",'Pricing Details'!X281)</f>
        <v/>
      </c>
      <c r="Y291" s="157" t="str">
        <f aca="false">'Pricing Details'!Z281</f>
        <v/>
      </c>
      <c r="Z291" s="158" t="str">
        <f aca="false">'Pricing Details'!AC281</f>
        <v/>
      </c>
      <c r="AA291" s="20"/>
      <c r="AB291" s="21" t="str">
        <f aca="false">IFERROR(_xlfn.xlookup(H291,Collection[Display],Collection[Line])&amp;_xlfn.xlookup(I291,Sleeve[Display],Sleeve[Sleeve]),"")</f>
        <v/>
      </c>
    </row>
    <row r="292" s="21" customFormat="true" ht="30" hidden="false" customHeight="true" outlineLevel="0" collapsed="false">
      <c r="A292" s="20"/>
      <c r="B292" s="90" t="n">
        <v>279</v>
      </c>
      <c r="C292" s="150"/>
      <c r="D292" s="160"/>
      <c r="E292" s="152"/>
      <c r="F292" s="152"/>
      <c r="G292" s="152"/>
      <c r="H292" s="152"/>
      <c r="I292" s="153"/>
      <c r="J292" s="152"/>
      <c r="K292" s="161"/>
      <c r="L292" s="152"/>
      <c r="M292" s="152"/>
      <c r="N292" s="152"/>
      <c r="O292" s="153"/>
      <c r="P292" s="153"/>
      <c r="Q292" s="153"/>
      <c r="R292" s="153"/>
      <c r="S292" s="153"/>
      <c r="T292" s="154"/>
      <c r="U292" s="159"/>
      <c r="V292" s="155" t="str">
        <f aca="false">IF(J292="","",'Pricing Details'!D282+'Pricing Details'!Q282)</f>
        <v/>
      </c>
      <c r="W292" s="155" t="str">
        <f aca="false">IF(J292="","",'Pricing Details'!V282)</f>
        <v/>
      </c>
      <c r="X292" s="156" t="str">
        <f aca="false">IF(J292="","",'Pricing Details'!X282)</f>
        <v/>
      </c>
      <c r="Y292" s="157" t="str">
        <f aca="false">'Pricing Details'!Z282</f>
        <v/>
      </c>
      <c r="Z292" s="158" t="str">
        <f aca="false">'Pricing Details'!AC282</f>
        <v/>
      </c>
      <c r="AA292" s="20"/>
      <c r="AB292" s="21" t="str">
        <f aca="false">IFERROR(_xlfn.xlookup(H292,Collection[Display],Collection[Line])&amp;_xlfn.xlookup(I292,Sleeve[Display],Sleeve[Sleeve]),"")</f>
        <v/>
      </c>
    </row>
    <row r="293" s="21" customFormat="true" ht="30" hidden="false" customHeight="true" outlineLevel="0" collapsed="false">
      <c r="A293" s="20"/>
      <c r="B293" s="90" t="n">
        <v>280</v>
      </c>
      <c r="C293" s="150"/>
      <c r="D293" s="160"/>
      <c r="E293" s="152"/>
      <c r="F293" s="152"/>
      <c r="G293" s="152"/>
      <c r="H293" s="152"/>
      <c r="I293" s="153"/>
      <c r="J293" s="152"/>
      <c r="K293" s="161"/>
      <c r="L293" s="152"/>
      <c r="M293" s="152"/>
      <c r="N293" s="152"/>
      <c r="O293" s="153"/>
      <c r="P293" s="153"/>
      <c r="Q293" s="153"/>
      <c r="R293" s="153"/>
      <c r="S293" s="153"/>
      <c r="T293" s="154"/>
      <c r="U293" s="159"/>
      <c r="V293" s="155" t="str">
        <f aca="false">IF(J293="","",'Pricing Details'!D283+'Pricing Details'!Q283)</f>
        <v/>
      </c>
      <c r="W293" s="155" t="str">
        <f aca="false">IF(J293="","",'Pricing Details'!V283)</f>
        <v/>
      </c>
      <c r="X293" s="156" t="str">
        <f aca="false">IF(J293="","",'Pricing Details'!X283)</f>
        <v/>
      </c>
      <c r="Y293" s="157" t="str">
        <f aca="false">'Pricing Details'!Z283</f>
        <v/>
      </c>
      <c r="Z293" s="158" t="str">
        <f aca="false">'Pricing Details'!AC283</f>
        <v/>
      </c>
      <c r="AA293" s="20"/>
      <c r="AB293" s="21" t="str">
        <f aca="false">IFERROR(_xlfn.xlookup(H293,Collection[Display],Collection[Line])&amp;_xlfn.xlookup(I293,Sleeve[Display],Sleeve[Sleeve]),"")</f>
        <v/>
      </c>
    </row>
    <row r="294" s="21" customFormat="true" ht="30" hidden="false" customHeight="true" outlineLevel="0" collapsed="false">
      <c r="A294" s="20"/>
      <c r="B294" s="90" t="n">
        <v>281</v>
      </c>
      <c r="C294" s="150"/>
      <c r="D294" s="160"/>
      <c r="E294" s="152"/>
      <c r="F294" s="152"/>
      <c r="G294" s="152"/>
      <c r="H294" s="152"/>
      <c r="I294" s="153"/>
      <c r="J294" s="152"/>
      <c r="K294" s="161"/>
      <c r="L294" s="152"/>
      <c r="M294" s="152"/>
      <c r="N294" s="152"/>
      <c r="O294" s="153"/>
      <c r="P294" s="153"/>
      <c r="Q294" s="153"/>
      <c r="R294" s="153"/>
      <c r="S294" s="153"/>
      <c r="T294" s="154"/>
      <c r="U294" s="159"/>
      <c r="V294" s="155" t="str">
        <f aca="false">IF(J294="","",'Pricing Details'!D284+'Pricing Details'!Q284)</f>
        <v/>
      </c>
      <c r="W294" s="155" t="str">
        <f aca="false">IF(J294="","",'Pricing Details'!V284)</f>
        <v/>
      </c>
      <c r="X294" s="156" t="str">
        <f aca="false">IF(J294="","",'Pricing Details'!X284)</f>
        <v/>
      </c>
      <c r="Y294" s="157" t="str">
        <f aca="false">'Pricing Details'!Z284</f>
        <v/>
      </c>
      <c r="Z294" s="158" t="str">
        <f aca="false">'Pricing Details'!AC284</f>
        <v/>
      </c>
      <c r="AA294" s="20"/>
      <c r="AB294" s="21" t="str">
        <f aca="false">IFERROR(_xlfn.xlookup(H294,Collection[Display],Collection[Line])&amp;_xlfn.xlookup(I294,Sleeve[Display],Sleeve[Sleeve]),"")</f>
        <v/>
      </c>
    </row>
    <row r="295" s="21" customFormat="true" ht="30" hidden="false" customHeight="true" outlineLevel="0" collapsed="false">
      <c r="A295" s="20"/>
      <c r="B295" s="90" t="n">
        <v>282</v>
      </c>
      <c r="C295" s="150"/>
      <c r="D295" s="160"/>
      <c r="E295" s="152"/>
      <c r="F295" s="152"/>
      <c r="G295" s="152"/>
      <c r="H295" s="152"/>
      <c r="I295" s="153"/>
      <c r="J295" s="152"/>
      <c r="K295" s="161"/>
      <c r="L295" s="152"/>
      <c r="M295" s="152"/>
      <c r="N295" s="152"/>
      <c r="O295" s="153"/>
      <c r="P295" s="153"/>
      <c r="Q295" s="153"/>
      <c r="R295" s="153"/>
      <c r="S295" s="153"/>
      <c r="T295" s="154"/>
      <c r="U295" s="159"/>
      <c r="V295" s="155" t="str">
        <f aca="false">IF(J295="","",'Pricing Details'!D285+'Pricing Details'!Q285)</f>
        <v/>
      </c>
      <c r="W295" s="155" t="str">
        <f aca="false">IF(J295="","",'Pricing Details'!V285)</f>
        <v/>
      </c>
      <c r="X295" s="156" t="str">
        <f aca="false">IF(J295="","",'Pricing Details'!X285)</f>
        <v/>
      </c>
      <c r="Y295" s="157" t="str">
        <f aca="false">'Pricing Details'!Z285</f>
        <v/>
      </c>
      <c r="Z295" s="158" t="str">
        <f aca="false">'Pricing Details'!AC285</f>
        <v/>
      </c>
      <c r="AA295" s="20"/>
      <c r="AB295" s="21" t="str">
        <f aca="false">IFERROR(_xlfn.xlookup(H295,Collection[Display],Collection[Line])&amp;_xlfn.xlookup(I295,Sleeve[Display],Sleeve[Sleeve]),"")</f>
        <v/>
      </c>
    </row>
    <row r="296" s="21" customFormat="true" ht="30" hidden="false" customHeight="true" outlineLevel="0" collapsed="false">
      <c r="A296" s="20"/>
      <c r="B296" s="90" t="n">
        <v>283</v>
      </c>
      <c r="C296" s="150"/>
      <c r="D296" s="160"/>
      <c r="E296" s="152"/>
      <c r="F296" s="152"/>
      <c r="G296" s="152"/>
      <c r="H296" s="152"/>
      <c r="I296" s="153"/>
      <c r="J296" s="152"/>
      <c r="K296" s="161"/>
      <c r="L296" s="152"/>
      <c r="M296" s="152"/>
      <c r="N296" s="152"/>
      <c r="O296" s="153"/>
      <c r="P296" s="153"/>
      <c r="Q296" s="153"/>
      <c r="R296" s="153"/>
      <c r="S296" s="153"/>
      <c r="T296" s="154"/>
      <c r="U296" s="159"/>
      <c r="V296" s="155" t="str">
        <f aca="false">IF(J296="","",'Pricing Details'!D286+'Pricing Details'!Q286)</f>
        <v/>
      </c>
      <c r="W296" s="155" t="str">
        <f aca="false">IF(J296="","",'Pricing Details'!V286)</f>
        <v/>
      </c>
      <c r="X296" s="156" t="str">
        <f aca="false">IF(J296="","",'Pricing Details'!X286)</f>
        <v/>
      </c>
      <c r="Y296" s="157" t="str">
        <f aca="false">'Pricing Details'!Z286</f>
        <v/>
      </c>
      <c r="Z296" s="158" t="str">
        <f aca="false">'Pricing Details'!AC286</f>
        <v/>
      </c>
      <c r="AA296" s="20"/>
      <c r="AB296" s="21" t="str">
        <f aca="false">IFERROR(_xlfn.xlookup(H296,Collection[Display],Collection[Line])&amp;_xlfn.xlookup(I296,Sleeve[Display],Sleeve[Sleeve]),"")</f>
        <v/>
      </c>
    </row>
    <row r="297" s="21" customFormat="true" ht="30" hidden="false" customHeight="true" outlineLevel="0" collapsed="false">
      <c r="A297" s="20"/>
      <c r="B297" s="90" t="n">
        <v>284</v>
      </c>
      <c r="C297" s="150"/>
      <c r="D297" s="160"/>
      <c r="E297" s="152"/>
      <c r="F297" s="152"/>
      <c r="G297" s="152"/>
      <c r="H297" s="152"/>
      <c r="I297" s="153"/>
      <c r="J297" s="152"/>
      <c r="K297" s="161"/>
      <c r="L297" s="152"/>
      <c r="M297" s="152"/>
      <c r="N297" s="152"/>
      <c r="O297" s="153"/>
      <c r="P297" s="153"/>
      <c r="Q297" s="153"/>
      <c r="R297" s="153"/>
      <c r="S297" s="153"/>
      <c r="T297" s="154"/>
      <c r="U297" s="159"/>
      <c r="V297" s="155" t="str">
        <f aca="false">IF(J297="","",'Pricing Details'!D287+'Pricing Details'!Q287)</f>
        <v/>
      </c>
      <c r="W297" s="155" t="str">
        <f aca="false">IF(J297="","",'Pricing Details'!V287)</f>
        <v/>
      </c>
      <c r="X297" s="156" t="str">
        <f aca="false">IF(J297="","",'Pricing Details'!X287)</f>
        <v/>
      </c>
      <c r="Y297" s="157" t="str">
        <f aca="false">'Pricing Details'!Z287</f>
        <v/>
      </c>
      <c r="Z297" s="158" t="str">
        <f aca="false">'Pricing Details'!AC287</f>
        <v/>
      </c>
      <c r="AA297" s="20"/>
      <c r="AB297" s="21" t="str">
        <f aca="false">IFERROR(_xlfn.xlookup(H297,Collection[Display],Collection[Line])&amp;_xlfn.xlookup(I297,Sleeve[Display],Sleeve[Sleeve]),"")</f>
        <v/>
      </c>
    </row>
    <row r="298" s="21" customFormat="true" ht="30" hidden="false" customHeight="true" outlineLevel="0" collapsed="false">
      <c r="A298" s="20"/>
      <c r="B298" s="90" t="n">
        <v>285</v>
      </c>
      <c r="C298" s="150"/>
      <c r="D298" s="160"/>
      <c r="E298" s="152"/>
      <c r="F298" s="152"/>
      <c r="G298" s="152"/>
      <c r="H298" s="152"/>
      <c r="I298" s="153"/>
      <c r="J298" s="152"/>
      <c r="K298" s="161"/>
      <c r="L298" s="152"/>
      <c r="M298" s="152"/>
      <c r="N298" s="152"/>
      <c r="O298" s="153"/>
      <c r="P298" s="153"/>
      <c r="Q298" s="153"/>
      <c r="R298" s="153"/>
      <c r="S298" s="153"/>
      <c r="T298" s="154"/>
      <c r="U298" s="159"/>
      <c r="V298" s="155" t="str">
        <f aca="false">IF(J298="","",'Pricing Details'!D288+'Pricing Details'!Q288)</f>
        <v/>
      </c>
      <c r="W298" s="155" t="str">
        <f aca="false">IF(J298="","",'Pricing Details'!V288)</f>
        <v/>
      </c>
      <c r="X298" s="156" t="str">
        <f aca="false">IF(J298="","",'Pricing Details'!X288)</f>
        <v/>
      </c>
      <c r="Y298" s="157" t="str">
        <f aca="false">'Pricing Details'!Z288</f>
        <v/>
      </c>
      <c r="Z298" s="158" t="str">
        <f aca="false">'Pricing Details'!AC288</f>
        <v/>
      </c>
      <c r="AA298" s="20"/>
      <c r="AB298" s="21" t="str">
        <f aca="false">IFERROR(_xlfn.xlookup(H298,Collection[Display],Collection[Line])&amp;_xlfn.xlookup(I298,Sleeve[Display],Sleeve[Sleeve]),"")</f>
        <v/>
      </c>
    </row>
    <row r="299" s="21" customFormat="true" ht="30" hidden="false" customHeight="true" outlineLevel="0" collapsed="false">
      <c r="A299" s="20"/>
      <c r="B299" s="90" t="n">
        <v>286</v>
      </c>
      <c r="C299" s="150"/>
      <c r="D299" s="160"/>
      <c r="E299" s="152"/>
      <c r="F299" s="152"/>
      <c r="G299" s="152"/>
      <c r="H299" s="152"/>
      <c r="I299" s="153"/>
      <c r="J299" s="152"/>
      <c r="K299" s="161"/>
      <c r="L299" s="152"/>
      <c r="M299" s="152"/>
      <c r="N299" s="152"/>
      <c r="O299" s="153"/>
      <c r="P299" s="153"/>
      <c r="Q299" s="153"/>
      <c r="R299" s="153"/>
      <c r="S299" s="153"/>
      <c r="T299" s="154"/>
      <c r="U299" s="159"/>
      <c r="V299" s="155" t="str">
        <f aca="false">IF(J299="","",'Pricing Details'!D289+'Pricing Details'!Q289)</f>
        <v/>
      </c>
      <c r="W299" s="155" t="str">
        <f aca="false">IF(J299="","",'Pricing Details'!V289)</f>
        <v/>
      </c>
      <c r="X299" s="156" t="str">
        <f aca="false">IF(J299="","",'Pricing Details'!X289)</f>
        <v/>
      </c>
      <c r="Y299" s="157" t="str">
        <f aca="false">'Pricing Details'!Z289</f>
        <v/>
      </c>
      <c r="Z299" s="158" t="str">
        <f aca="false">'Pricing Details'!AC289</f>
        <v/>
      </c>
      <c r="AA299" s="20"/>
      <c r="AB299" s="21" t="str">
        <f aca="false">IFERROR(_xlfn.xlookup(H299,Collection[Display],Collection[Line])&amp;_xlfn.xlookup(I299,Sleeve[Display],Sleeve[Sleeve]),"")</f>
        <v/>
      </c>
    </row>
    <row r="300" s="21" customFormat="true" ht="30" hidden="false" customHeight="true" outlineLevel="0" collapsed="false">
      <c r="A300" s="20"/>
      <c r="B300" s="90" t="n">
        <v>287</v>
      </c>
      <c r="C300" s="150"/>
      <c r="D300" s="160"/>
      <c r="E300" s="152"/>
      <c r="F300" s="152"/>
      <c r="G300" s="152"/>
      <c r="H300" s="152"/>
      <c r="I300" s="153"/>
      <c r="J300" s="152"/>
      <c r="K300" s="161"/>
      <c r="L300" s="152"/>
      <c r="M300" s="152"/>
      <c r="N300" s="152"/>
      <c r="O300" s="153"/>
      <c r="P300" s="153"/>
      <c r="Q300" s="153"/>
      <c r="R300" s="153"/>
      <c r="S300" s="153"/>
      <c r="T300" s="154"/>
      <c r="U300" s="159"/>
      <c r="V300" s="155" t="str">
        <f aca="false">IF(J300="","",'Pricing Details'!D290+'Pricing Details'!Q290)</f>
        <v/>
      </c>
      <c r="W300" s="155" t="str">
        <f aca="false">IF(J300="","",'Pricing Details'!V290)</f>
        <v/>
      </c>
      <c r="X300" s="156" t="str">
        <f aca="false">IF(J300="","",'Pricing Details'!X290)</f>
        <v/>
      </c>
      <c r="Y300" s="157" t="str">
        <f aca="false">'Pricing Details'!Z290</f>
        <v/>
      </c>
      <c r="Z300" s="158" t="str">
        <f aca="false">'Pricing Details'!AC290</f>
        <v/>
      </c>
      <c r="AA300" s="20"/>
      <c r="AB300" s="21" t="str">
        <f aca="false">IFERROR(_xlfn.xlookup(H300,Collection[Display],Collection[Line])&amp;_xlfn.xlookup(I300,Sleeve[Display],Sleeve[Sleeve]),"")</f>
        <v/>
      </c>
    </row>
    <row r="301" s="21" customFormat="true" ht="30" hidden="false" customHeight="true" outlineLevel="0" collapsed="false">
      <c r="A301" s="20"/>
      <c r="B301" s="90" t="n">
        <v>288</v>
      </c>
      <c r="C301" s="150"/>
      <c r="D301" s="160"/>
      <c r="E301" s="152"/>
      <c r="F301" s="152"/>
      <c r="G301" s="152"/>
      <c r="H301" s="152"/>
      <c r="I301" s="153"/>
      <c r="J301" s="152"/>
      <c r="K301" s="161"/>
      <c r="L301" s="152"/>
      <c r="M301" s="152"/>
      <c r="N301" s="152"/>
      <c r="O301" s="153"/>
      <c r="P301" s="153"/>
      <c r="Q301" s="153"/>
      <c r="R301" s="153"/>
      <c r="S301" s="153"/>
      <c r="T301" s="154"/>
      <c r="U301" s="159"/>
      <c r="V301" s="155" t="str">
        <f aca="false">IF(J301="","",'Pricing Details'!D291+'Pricing Details'!Q291)</f>
        <v/>
      </c>
      <c r="W301" s="155" t="str">
        <f aca="false">IF(J301="","",'Pricing Details'!V291)</f>
        <v/>
      </c>
      <c r="X301" s="156" t="str">
        <f aca="false">IF(J301="","",'Pricing Details'!X291)</f>
        <v/>
      </c>
      <c r="Y301" s="157" t="str">
        <f aca="false">'Pricing Details'!Z291</f>
        <v/>
      </c>
      <c r="Z301" s="158" t="str">
        <f aca="false">'Pricing Details'!AC291</f>
        <v/>
      </c>
      <c r="AA301" s="20"/>
      <c r="AB301" s="21" t="str">
        <f aca="false">IFERROR(_xlfn.xlookup(H301,Collection[Display],Collection[Line])&amp;_xlfn.xlookup(I301,Sleeve[Display],Sleeve[Sleeve]),"")</f>
        <v/>
      </c>
    </row>
    <row r="302" s="21" customFormat="true" ht="30" hidden="false" customHeight="true" outlineLevel="0" collapsed="false">
      <c r="A302" s="20"/>
      <c r="B302" s="90" t="n">
        <v>289</v>
      </c>
      <c r="C302" s="150"/>
      <c r="D302" s="160"/>
      <c r="E302" s="152"/>
      <c r="F302" s="152"/>
      <c r="G302" s="152"/>
      <c r="H302" s="152"/>
      <c r="I302" s="153"/>
      <c r="J302" s="152"/>
      <c r="K302" s="161"/>
      <c r="L302" s="152"/>
      <c r="M302" s="152"/>
      <c r="N302" s="152"/>
      <c r="O302" s="153"/>
      <c r="P302" s="153"/>
      <c r="Q302" s="153"/>
      <c r="R302" s="153"/>
      <c r="S302" s="153"/>
      <c r="T302" s="154"/>
      <c r="U302" s="159"/>
      <c r="V302" s="155" t="str">
        <f aca="false">IF(J302="","",'Pricing Details'!D292+'Pricing Details'!Q292)</f>
        <v/>
      </c>
      <c r="W302" s="155" t="str">
        <f aca="false">IF(J302="","",'Pricing Details'!V292)</f>
        <v/>
      </c>
      <c r="X302" s="156" t="str">
        <f aca="false">IF(J302="","",'Pricing Details'!X292)</f>
        <v/>
      </c>
      <c r="Y302" s="157" t="str">
        <f aca="false">'Pricing Details'!Z292</f>
        <v/>
      </c>
      <c r="Z302" s="158" t="str">
        <f aca="false">'Pricing Details'!AC292</f>
        <v/>
      </c>
      <c r="AA302" s="20"/>
      <c r="AB302" s="21" t="str">
        <f aca="false">IFERROR(_xlfn.xlookup(H302,Collection[Display],Collection[Line])&amp;_xlfn.xlookup(I302,Sleeve[Display],Sleeve[Sleeve]),"")</f>
        <v/>
      </c>
    </row>
    <row r="303" s="21" customFormat="true" ht="30" hidden="false" customHeight="true" outlineLevel="0" collapsed="false">
      <c r="A303" s="20"/>
      <c r="B303" s="90" t="n">
        <v>290</v>
      </c>
      <c r="C303" s="150"/>
      <c r="D303" s="160"/>
      <c r="E303" s="152"/>
      <c r="F303" s="152"/>
      <c r="G303" s="152"/>
      <c r="H303" s="152"/>
      <c r="I303" s="153"/>
      <c r="J303" s="152"/>
      <c r="K303" s="161"/>
      <c r="L303" s="152"/>
      <c r="M303" s="152"/>
      <c r="N303" s="152"/>
      <c r="O303" s="153"/>
      <c r="P303" s="153"/>
      <c r="Q303" s="153"/>
      <c r="R303" s="153"/>
      <c r="S303" s="153"/>
      <c r="T303" s="154"/>
      <c r="U303" s="159"/>
      <c r="V303" s="155" t="str">
        <f aca="false">IF(J303="","",'Pricing Details'!D293+'Pricing Details'!Q293)</f>
        <v/>
      </c>
      <c r="W303" s="155" t="str">
        <f aca="false">IF(J303="","",'Pricing Details'!V293)</f>
        <v/>
      </c>
      <c r="X303" s="156" t="str">
        <f aca="false">IF(J303="","",'Pricing Details'!X293)</f>
        <v/>
      </c>
      <c r="Y303" s="157" t="str">
        <f aca="false">'Pricing Details'!Z293</f>
        <v/>
      </c>
      <c r="Z303" s="158" t="str">
        <f aca="false">'Pricing Details'!AC293</f>
        <v/>
      </c>
      <c r="AA303" s="20"/>
      <c r="AB303" s="21" t="str">
        <f aca="false">IFERROR(_xlfn.xlookup(H303,Collection[Display],Collection[Line])&amp;_xlfn.xlookup(I303,Sleeve[Display],Sleeve[Sleeve]),"")</f>
        <v/>
      </c>
    </row>
    <row r="304" s="21" customFormat="true" ht="30" hidden="false" customHeight="true" outlineLevel="0" collapsed="false">
      <c r="A304" s="20"/>
      <c r="B304" s="90" t="n">
        <v>291</v>
      </c>
      <c r="C304" s="150"/>
      <c r="D304" s="160"/>
      <c r="E304" s="152"/>
      <c r="F304" s="152"/>
      <c r="G304" s="152"/>
      <c r="H304" s="152"/>
      <c r="I304" s="153"/>
      <c r="J304" s="152"/>
      <c r="K304" s="161"/>
      <c r="L304" s="152"/>
      <c r="M304" s="152"/>
      <c r="N304" s="152"/>
      <c r="O304" s="153"/>
      <c r="P304" s="153"/>
      <c r="Q304" s="153"/>
      <c r="R304" s="153"/>
      <c r="S304" s="153"/>
      <c r="T304" s="154"/>
      <c r="U304" s="159"/>
      <c r="V304" s="155" t="str">
        <f aca="false">IF(J304="","",'Pricing Details'!D294+'Pricing Details'!Q294)</f>
        <v/>
      </c>
      <c r="W304" s="155" t="str">
        <f aca="false">IF(J304="","",'Pricing Details'!V294)</f>
        <v/>
      </c>
      <c r="X304" s="156" t="str">
        <f aca="false">IF(J304="","",'Pricing Details'!X294)</f>
        <v/>
      </c>
      <c r="Y304" s="157" t="str">
        <f aca="false">'Pricing Details'!Z294</f>
        <v/>
      </c>
      <c r="Z304" s="158" t="str">
        <f aca="false">'Pricing Details'!AC294</f>
        <v/>
      </c>
      <c r="AA304" s="20"/>
      <c r="AB304" s="21" t="str">
        <f aca="false">IFERROR(_xlfn.xlookup(H304,Collection[Display],Collection[Line])&amp;_xlfn.xlookup(I304,Sleeve[Display],Sleeve[Sleeve]),"")</f>
        <v/>
      </c>
    </row>
    <row r="305" s="21" customFormat="true" ht="30" hidden="false" customHeight="true" outlineLevel="0" collapsed="false">
      <c r="A305" s="20"/>
      <c r="B305" s="90" t="n">
        <v>292</v>
      </c>
      <c r="C305" s="150"/>
      <c r="D305" s="160"/>
      <c r="E305" s="152"/>
      <c r="F305" s="152"/>
      <c r="G305" s="152"/>
      <c r="H305" s="152"/>
      <c r="I305" s="153"/>
      <c r="J305" s="152"/>
      <c r="K305" s="161"/>
      <c r="L305" s="152"/>
      <c r="M305" s="152"/>
      <c r="N305" s="152"/>
      <c r="O305" s="153"/>
      <c r="P305" s="153"/>
      <c r="Q305" s="153"/>
      <c r="R305" s="153"/>
      <c r="S305" s="153"/>
      <c r="T305" s="154"/>
      <c r="U305" s="159"/>
      <c r="V305" s="155" t="str">
        <f aca="false">IF(J305="","",'Pricing Details'!D295+'Pricing Details'!Q295)</f>
        <v/>
      </c>
      <c r="W305" s="155" t="str">
        <f aca="false">IF(J305="","",'Pricing Details'!V295)</f>
        <v/>
      </c>
      <c r="X305" s="156" t="str">
        <f aca="false">IF(J305="","",'Pricing Details'!X295)</f>
        <v/>
      </c>
      <c r="Y305" s="157" t="str">
        <f aca="false">'Pricing Details'!Z295</f>
        <v/>
      </c>
      <c r="Z305" s="158" t="str">
        <f aca="false">'Pricing Details'!AC295</f>
        <v/>
      </c>
      <c r="AA305" s="20"/>
      <c r="AB305" s="21" t="str">
        <f aca="false">IFERROR(_xlfn.xlookup(H305,Collection[Display],Collection[Line])&amp;_xlfn.xlookup(I305,Sleeve[Display],Sleeve[Sleeve]),"")</f>
        <v/>
      </c>
    </row>
    <row r="306" s="21" customFormat="true" ht="30" hidden="false" customHeight="true" outlineLevel="0" collapsed="false">
      <c r="A306" s="20"/>
      <c r="B306" s="90" t="n">
        <v>293</v>
      </c>
      <c r="C306" s="150"/>
      <c r="D306" s="160"/>
      <c r="E306" s="152"/>
      <c r="F306" s="152"/>
      <c r="G306" s="152"/>
      <c r="H306" s="152"/>
      <c r="I306" s="153"/>
      <c r="J306" s="152"/>
      <c r="K306" s="161"/>
      <c r="L306" s="152"/>
      <c r="M306" s="152"/>
      <c r="N306" s="152"/>
      <c r="O306" s="153"/>
      <c r="P306" s="153"/>
      <c r="Q306" s="153"/>
      <c r="R306" s="153"/>
      <c r="S306" s="153"/>
      <c r="T306" s="154"/>
      <c r="U306" s="159"/>
      <c r="V306" s="155" t="str">
        <f aca="false">IF(J306="","",'Pricing Details'!D296+'Pricing Details'!Q296)</f>
        <v/>
      </c>
      <c r="W306" s="155" t="str">
        <f aca="false">IF(J306="","",'Pricing Details'!V296)</f>
        <v/>
      </c>
      <c r="X306" s="156" t="str">
        <f aca="false">IF(J306="","",'Pricing Details'!X296)</f>
        <v/>
      </c>
      <c r="Y306" s="157" t="str">
        <f aca="false">'Pricing Details'!Z296</f>
        <v/>
      </c>
      <c r="Z306" s="158" t="str">
        <f aca="false">'Pricing Details'!AC296</f>
        <v/>
      </c>
      <c r="AA306" s="20"/>
      <c r="AB306" s="21" t="str">
        <f aca="false">IFERROR(_xlfn.xlookup(H306,Collection[Display],Collection[Line])&amp;_xlfn.xlookup(I306,Sleeve[Display],Sleeve[Sleeve]),"")</f>
        <v/>
      </c>
    </row>
    <row r="307" s="21" customFormat="true" ht="30" hidden="false" customHeight="true" outlineLevel="0" collapsed="false">
      <c r="A307" s="20"/>
      <c r="B307" s="90" t="n">
        <v>294</v>
      </c>
      <c r="C307" s="150"/>
      <c r="D307" s="160"/>
      <c r="E307" s="152"/>
      <c r="F307" s="152"/>
      <c r="G307" s="152"/>
      <c r="H307" s="152"/>
      <c r="I307" s="153"/>
      <c r="J307" s="152"/>
      <c r="K307" s="161"/>
      <c r="L307" s="152"/>
      <c r="M307" s="152"/>
      <c r="N307" s="152"/>
      <c r="O307" s="153"/>
      <c r="P307" s="153"/>
      <c r="Q307" s="153"/>
      <c r="R307" s="153"/>
      <c r="S307" s="153"/>
      <c r="T307" s="154"/>
      <c r="U307" s="159"/>
      <c r="V307" s="155" t="str">
        <f aca="false">IF(J307="","",'Pricing Details'!D297+'Pricing Details'!Q297)</f>
        <v/>
      </c>
      <c r="W307" s="155" t="str">
        <f aca="false">IF(J307="","",'Pricing Details'!V297)</f>
        <v/>
      </c>
      <c r="X307" s="156" t="str">
        <f aca="false">IF(J307="","",'Pricing Details'!X297)</f>
        <v/>
      </c>
      <c r="Y307" s="157" t="str">
        <f aca="false">'Pricing Details'!Z297</f>
        <v/>
      </c>
      <c r="Z307" s="158" t="str">
        <f aca="false">'Pricing Details'!AC297</f>
        <v/>
      </c>
      <c r="AA307" s="20"/>
      <c r="AB307" s="21" t="str">
        <f aca="false">IFERROR(_xlfn.xlookup(H307,Collection[Display],Collection[Line])&amp;_xlfn.xlookup(I307,Sleeve[Display],Sleeve[Sleeve]),"")</f>
        <v/>
      </c>
    </row>
    <row r="308" s="21" customFormat="true" ht="30" hidden="false" customHeight="true" outlineLevel="0" collapsed="false">
      <c r="A308" s="20"/>
      <c r="B308" s="90" t="n">
        <v>295</v>
      </c>
      <c r="C308" s="150"/>
      <c r="D308" s="160"/>
      <c r="E308" s="152"/>
      <c r="F308" s="152"/>
      <c r="G308" s="152"/>
      <c r="H308" s="152"/>
      <c r="I308" s="153"/>
      <c r="J308" s="152"/>
      <c r="K308" s="161"/>
      <c r="L308" s="152"/>
      <c r="M308" s="152"/>
      <c r="N308" s="152"/>
      <c r="O308" s="153"/>
      <c r="P308" s="153"/>
      <c r="Q308" s="153"/>
      <c r="R308" s="153"/>
      <c r="S308" s="153"/>
      <c r="T308" s="154"/>
      <c r="U308" s="159"/>
      <c r="V308" s="155" t="str">
        <f aca="false">IF(J308="","",'Pricing Details'!D298+'Pricing Details'!Q298)</f>
        <v/>
      </c>
      <c r="W308" s="155" t="str">
        <f aca="false">IF(J308="","",'Pricing Details'!V298)</f>
        <v/>
      </c>
      <c r="X308" s="156" t="str">
        <f aca="false">IF(J308="","",'Pricing Details'!X298)</f>
        <v/>
      </c>
      <c r="Y308" s="157" t="str">
        <f aca="false">'Pricing Details'!Z298</f>
        <v/>
      </c>
      <c r="Z308" s="158" t="str">
        <f aca="false">'Pricing Details'!AC298</f>
        <v/>
      </c>
      <c r="AA308" s="20"/>
      <c r="AB308" s="21" t="str">
        <f aca="false">IFERROR(_xlfn.xlookup(H308,Collection[Display],Collection[Line])&amp;_xlfn.xlookup(I308,Sleeve[Display],Sleeve[Sleeve]),"")</f>
        <v/>
      </c>
    </row>
    <row r="309" s="21" customFormat="true" ht="30" hidden="false" customHeight="true" outlineLevel="0" collapsed="false">
      <c r="A309" s="20"/>
      <c r="B309" s="90" t="n">
        <v>296</v>
      </c>
      <c r="C309" s="150"/>
      <c r="D309" s="160"/>
      <c r="E309" s="152"/>
      <c r="F309" s="152"/>
      <c r="G309" s="152"/>
      <c r="H309" s="152"/>
      <c r="I309" s="153"/>
      <c r="J309" s="152"/>
      <c r="K309" s="161"/>
      <c r="L309" s="152"/>
      <c r="M309" s="152"/>
      <c r="N309" s="152"/>
      <c r="O309" s="153"/>
      <c r="P309" s="153"/>
      <c r="Q309" s="153"/>
      <c r="R309" s="153"/>
      <c r="S309" s="153"/>
      <c r="T309" s="154"/>
      <c r="U309" s="159"/>
      <c r="V309" s="155" t="str">
        <f aca="false">IF(J309="","",'Pricing Details'!D299+'Pricing Details'!Q299)</f>
        <v/>
      </c>
      <c r="W309" s="155" t="str">
        <f aca="false">IF(J309="","",'Pricing Details'!V299)</f>
        <v/>
      </c>
      <c r="X309" s="156" t="str">
        <f aca="false">IF(J309="","",'Pricing Details'!X299)</f>
        <v/>
      </c>
      <c r="Y309" s="157" t="str">
        <f aca="false">'Pricing Details'!Z299</f>
        <v/>
      </c>
      <c r="Z309" s="158" t="str">
        <f aca="false">'Pricing Details'!AC299</f>
        <v/>
      </c>
      <c r="AA309" s="20"/>
      <c r="AB309" s="21" t="str">
        <f aca="false">IFERROR(_xlfn.xlookup(H309,Collection[Display],Collection[Line])&amp;_xlfn.xlookup(I309,Sleeve[Display],Sleeve[Sleeve]),"")</f>
        <v/>
      </c>
    </row>
    <row r="310" s="21" customFormat="true" ht="30" hidden="false" customHeight="true" outlineLevel="0" collapsed="false">
      <c r="A310" s="20"/>
      <c r="B310" s="90" t="n">
        <v>297</v>
      </c>
      <c r="C310" s="150"/>
      <c r="D310" s="160"/>
      <c r="E310" s="152"/>
      <c r="F310" s="152"/>
      <c r="G310" s="152"/>
      <c r="H310" s="152"/>
      <c r="I310" s="153"/>
      <c r="J310" s="152"/>
      <c r="K310" s="161"/>
      <c r="L310" s="152"/>
      <c r="M310" s="152"/>
      <c r="N310" s="152"/>
      <c r="O310" s="153"/>
      <c r="P310" s="153"/>
      <c r="Q310" s="153"/>
      <c r="R310" s="153"/>
      <c r="S310" s="153"/>
      <c r="T310" s="154"/>
      <c r="U310" s="159"/>
      <c r="V310" s="155" t="str">
        <f aca="false">IF(J310="","",'Pricing Details'!D300+'Pricing Details'!Q300)</f>
        <v/>
      </c>
      <c r="W310" s="155" t="str">
        <f aca="false">IF(J310="","",'Pricing Details'!V300)</f>
        <v/>
      </c>
      <c r="X310" s="156" t="str">
        <f aca="false">IF(J310="","",'Pricing Details'!X300)</f>
        <v/>
      </c>
      <c r="Y310" s="157" t="str">
        <f aca="false">'Pricing Details'!Z300</f>
        <v/>
      </c>
      <c r="Z310" s="158" t="str">
        <f aca="false">'Pricing Details'!AC300</f>
        <v/>
      </c>
      <c r="AA310" s="20"/>
      <c r="AB310" s="21" t="str">
        <f aca="false">IFERROR(_xlfn.xlookup(H310,Collection[Display],Collection[Line])&amp;_xlfn.xlookup(I310,Sleeve[Display],Sleeve[Sleeve]),"")</f>
        <v/>
      </c>
    </row>
    <row r="311" s="21" customFormat="true" ht="30" hidden="false" customHeight="true" outlineLevel="0" collapsed="false">
      <c r="A311" s="20"/>
      <c r="B311" s="90" t="n">
        <v>298</v>
      </c>
      <c r="C311" s="150"/>
      <c r="D311" s="160"/>
      <c r="E311" s="152"/>
      <c r="F311" s="152"/>
      <c r="G311" s="152"/>
      <c r="H311" s="152"/>
      <c r="I311" s="153"/>
      <c r="J311" s="152"/>
      <c r="K311" s="161"/>
      <c r="L311" s="152"/>
      <c r="M311" s="152"/>
      <c r="N311" s="152"/>
      <c r="O311" s="153"/>
      <c r="P311" s="153"/>
      <c r="Q311" s="153"/>
      <c r="R311" s="153"/>
      <c r="S311" s="153"/>
      <c r="T311" s="154"/>
      <c r="U311" s="159"/>
      <c r="V311" s="155" t="str">
        <f aca="false">IF(J311="","",'Pricing Details'!D301+'Pricing Details'!Q301)</f>
        <v/>
      </c>
      <c r="W311" s="155" t="str">
        <f aca="false">IF(J311="","",'Pricing Details'!V301)</f>
        <v/>
      </c>
      <c r="X311" s="156" t="str">
        <f aca="false">IF(J311="","",'Pricing Details'!X301)</f>
        <v/>
      </c>
      <c r="Y311" s="157" t="str">
        <f aca="false">'Pricing Details'!Z301</f>
        <v/>
      </c>
      <c r="Z311" s="158" t="str">
        <f aca="false">'Pricing Details'!AC301</f>
        <v/>
      </c>
      <c r="AA311" s="20"/>
      <c r="AB311" s="21" t="str">
        <f aca="false">IFERROR(_xlfn.xlookup(H311,Collection[Display],Collection[Line])&amp;_xlfn.xlookup(I311,Sleeve[Display],Sleeve[Sleeve]),"")</f>
        <v/>
      </c>
    </row>
    <row r="312" s="21" customFormat="true" ht="30" hidden="false" customHeight="true" outlineLevel="0" collapsed="false">
      <c r="A312" s="20"/>
      <c r="B312" s="90" t="n">
        <v>299</v>
      </c>
      <c r="C312" s="150"/>
      <c r="D312" s="160"/>
      <c r="E312" s="152"/>
      <c r="F312" s="152"/>
      <c r="G312" s="152"/>
      <c r="H312" s="152"/>
      <c r="I312" s="153"/>
      <c r="J312" s="152"/>
      <c r="K312" s="161"/>
      <c r="L312" s="152"/>
      <c r="M312" s="152"/>
      <c r="N312" s="152"/>
      <c r="O312" s="153"/>
      <c r="P312" s="153"/>
      <c r="Q312" s="153"/>
      <c r="R312" s="153"/>
      <c r="S312" s="153"/>
      <c r="T312" s="154"/>
      <c r="U312" s="159"/>
      <c r="V312" s="155" t="str">
        <f aca="false">IF(J312="","",'Pricing Details'!D302+'Pricing Details'!Q302)</f>
        <v/>
      </c>
      <c r="W312" s="155" t="str">
        <f aca="false">IF(J312="","",'Pricing Details'!V302)</f>
        <v/>
      </c>
      <c r="X312" s="156" t="str">
        <f aca="false">IF(J312="","",'Pricing Details'!X302)</f>
        <v/>
      </c>
      <c r="Y312" s="157" t="str">
        <f aca="false">'Pricing Details'!Z302</f>
        <v/>
      </c>
      <c r="Z312" s="158" t="str">
        <f aca="false">'Pricing Details'!AC302</f>
        <v/>
      </c>
      <c r="AA312" s="20"/>
      <c r="AB312" s="21" t="str">
        <f aca="false">IFERROR(_xlfn.xlookup(H312,Collection[Display],Collection[Line])&amp;_xlfn.xlookup(I312,Sleeve[Display],Sleeve[Sleeve]),"")</f>
        <v/>
      </c>
    </row>
    <row r="313" s="21" customFormat="true" ht="30" hidden="false" customHeight="true" outlineLevel="0" collapsed="false">
      <c r="A313" s="20"/>
      <c r="B313" s="90" t="n">
        <v>300</v>
      </c>
      <c r="C313" s="150"/>
      <c r="D313" s="160"/>
      <c r="E313" s="152"/>
      <c r="F313" s="152"/>
      <c r="G313" s="152"/>
      <c r="H313" s="152"/>
      <c r="I313" s="153"/>
      <c r="J313" s="152"/>
      <c r="K313" s="161"/>
      <c r="L313" s="152"/>
      <c r="M313" s="152"/>
      <c r="N313" s="152"/>
      <c r="O313" s="153"/>
      <c r="P313" s="153"/>
      <c r="Q313" s="153"/>
      <c r="R313" s="153"/>
      <c r="S313" s="153"/>
      <c r="T313" s="154"/>
      <c r="U313" s="159"/>
      <c r="V313" s="155" t="str">
        <f aca="false">IF(J313="","",'Pricing Details'!D303+'Pricing Details'!Q303)</f>
        <v/>
      </c>
      <c r="W313" s="155" t="str">
        <f aca="false">IF(J313="","",'Pricing Details'!V303)</f>
        <v/>
      </c>
      <c r="X313" s="156" t="str">
        <f aca="false">IF(J313="","",'Pricing Details'!X303)</f>
        <v/>
      </c>
      <c r="Y313" s="157" t="str">
        <f aca="false">'Pricing Details'!Z303</f>
        <v/>
      </c>
      <c r="Z313" s="158" t="str">
        <f aca="false">'Pricing Details'!AC303</f>
        <v/>
      </c>
      <c r="AA313" s="20"/>
      <c r="AB313" s="21" t="str">
        <f aca="false">IFERROR(_xlfn.xlookup(H313,Collection[Display],Collection[Line])&amp;_xlfn.xlookup(I313,Sleeve[Display],Sleeve[Sleeve]),"")</f>
        <v/>
      </c>
    </row>
    <row r="314" s="20" customFormat="true" ht="13.8" hidden="false" customHeight="false" outlineLevel="0" collapsed="false">
      <c r="B314" s="162"/>
      <c r="C314" s="162"/>
      <c r="D314" s="163"/>
      <c r="E314" s="162"/>
      <c r="F314" s="162"/>
      <c r="G314" s="162"/>
      <c r="H314" s="162"/>
      <c r="I314" s="162"/>
      <c r="J314" s="162"/>
      <c r="K314" s="162"/>
      <c r="L314" s="162"/>
      <c r="M314" s="162"/>
      <c r="N314" s="162"/>
      <c r="O314" s="162"/>
      <c r="P314" s="162"/>
      <c r="Q314" s="162"/>
      <c r="R314" s="162"/>
      <c r="S314" s="162"/>
      <c r="T314" s="162"/>
      <c r="U314" s="164"/>
      <c r="V314" s="165"/>
      <c r="W314" s="165"/>
      <c r="X314" s="165"/>
      <c r="Y314" s="166"/>
      <c r="Z314" s="165"/>
    </row>
    <row r="315" customFormat="false" ht="15" hidden="true" customHeight="true" outlineLevel="0" collapsed="false">
      <c r="U315" s="167"/>
      <c r="V315" s="78"/>
      <c r="AA315" s="4"/>
    </row>
    <row r="316" customFormat="false" ht="15" hidden="true" customHeight="true" outlineLevel="0" collapsed="false">
      <c r="U316" s="167"/>
      <c r="V316" s="78"/>
      <c r="AA316" s="4"/>
    </row>
  </sheetData>
  <sheetProtection algorithmName="SHA-512" hashValue="xGIjCvequkFB/1+7/DX0NDcqrelVbvN437nnLcJx2KjHIFM3OrmmKXws4pJ3dkHodzeBIQXwtCqdRlWSsXwVNw==" saltValue="xllTl+2mDxj3QEkl55sm6g==" spinCount="100000" sheet="true" objects="true" scenarios="true"/>
  <protectedRanges>
    <protectedRange name="Order Details" sqref="C14:U313"/>
    <protectedRange name="In Hand Date" sqref="F8"/>
    <protectedRange name="Priority Production" sqref="D4:E4"/>
  </protectedRanges>
  <mergeCells count="18">
    <mergeCell ref="B2:E2"/>
    <mergeCell ref="H2:M2"/>
    <mergeCell ref="B3:E3"/>
    <mergeCell ref="H3:M3"/>
    <mergeCell ref="D4:E4"/>
    <mergeCell ref="H4:M4"/>
    <mergeCell ref="H5:M5"/>
    <mergeCell ref="R5:X5"/>
    <mergeCell ref="B6:E6"/>
    <mergeCell ref="H6:M6"/>
    <mergeCell ref="H7:M7"/>
    <mergeCell ref="B8:D8"/>
    <mergeCell ref="H8:L10"/>
    <mergeCell ref="B9:F9"/>
    <mergeCell ref="R9:X9"/>
    <mergeCell ref="B10:F11"/>
    <mergeCell ref="R10:X10"/>
    <mergeCell ref="H11:L11"/>
  </mergeCells>
  <conditionalFormatting sqref="B7:E7">
    <cfRule type="expression" priority="2" aboveAverage="0" equalAverage="0" bottom="0" percent="0" rank="0" text="" dxfId="0">
      <formula>$F$7</formula>
    </cfRule>
  </conditionalFormatting>
  <conditionalFormatting sqref="N3:Q4 N8:Q8">
    <cfRule type="expression" priority="3" aboveAverage="0" equalAverage="0" bottom="0" percent="0" rank="0" text="" dxfId="1">
      <formula>$R$2</formula>
    </cfRule>
  </conditionalFormatting>
  <conditionalFormatting sqref="B9:F9">
    <cfRule type="expression" priority="4" aboveAverage="0" equalAverage="0" bottom="0" percent="0" rank="0" text="" dxfId="2">
      <formula>$G$8</formula>
    </cfRule>
  </conditionalFormatting>
  <dataValidations count="17">
    <dataValidation allowBlank="false" errorStyle="stop" operator="between" showDropDown="false" showErrorMessage="true" showInputMessage="true" sqref="J14:J313" type="list">
      <formula1>INDIRECT(AB14)</formula1>
      <formula2>0</formula2>
    </dataValidation>
    <dataValidation allowBlank="true" errorStyle="stop" operator="between" showDropDown="false" showErrorMessage="true" showInputMessage="true" sqref="O15:O313" type="list">
      <formula1>Prices!$BN$3:$BN$22</formula1>
      <formula2>0</formula2>
    </dataValidation>
    <dataValidation allowBlank="true" errorStyle="stop" operator="between" showDropDown="false" showErrorMessage="true" showInputMessage="true" sqref="D4" type="list">
      <formula1>Prices!$DD$3:$DD$5</formula1>
      <formula2>0</formula2>
    </dataValidation>
    <dataValidation allowBlank="false" errorStyle="stop" operator="between" showDropDown="false" showErrorMessage="true" showInputMessage="true" sqref="I14:I313" type="list">
      <formula1>INDIRECT(_xlfn.xlookup($H$14,Prices!$Q$3:$Q$4,Prices!$T$3:$T$4))</formula1>
      <formula2>0</formula2>
    </dataValidation>
    <dataValidation allowBlank="true" errorStyle="stop" operator="between" showDropDown="false" showErrorMessage="true" showInputMessage="true" sqref="F14:F313" type="list">
      <formula1>INDIRECT(_xlfn.xlookup(E14,Prices!$E$3:$E$6,Prices!$H$3:$H$6))</formula1>
      <formula2>0</formula2>
    </dataValidation>
    <dataValidation allowBlank="true" errorStyle="stop" operator="between" showDropDown="false" showErrorMessage="true" showInputMessage="true" sqref="H14:H313" type="list">
      <formula1>INDIRECT(_xlfn.xlookup(E14,Prices!$E$3:$E$6,Prices!$I$3:$I$6))</formula1>
      <formula2>0</formula2>
    </dataValidation>
    <dataValidation allowBlank="true" errorStyle="stop" operator="between" showDropDown="false" showErrorMessage="true" showInputMessage="true" sqref="E14:E313" type="list">
      <formula1>Prices!$E$3:$E$16</formula1>
      <formula2>0</formula2>
    </dataValidation>
    <dataValidation allowBlank="true" errorStyle="stop" operator="between" showDropDown="false" showErrorMessage="true" showInputMessage="true" sqref="G14:G313" type="list">
      <formula1>Prices!$BH$3:$BH$15</formula1>
      <formula2>0</formula2>
    </dataValidation>
    <dataValidation allowBlank="true" errorStyle="stop" operator="between" showDropDown="false" showErrorMessage="true" showInputMessage="true" sqref="O14" type="list">
      <formula1>Prices!$BN$3:$BN$32</formula1>
      <formula2>0</formula2>
    </dataValidation>
    <dataValidation allowBlank="true" errorStyle="stop" operator="between" showDropDown="false" showErrorMessage="true" showInputMessage="true" sqref="S14" type="list">
      <formula1>Prices!$CL$3:$CL$18</formula1>
      <formula2>0</formula2>
    </dataValidation>
    <dataValidation allowBlank="true" errorStyle="stop" operator="between" showDropDown="false" showErrorMessage="true" showInputMessage="true" sqref="P15:R313" type="list">
      <formula1>prices!#ref!</formula1>
      <formula2>0</formula2>
    </dataValidation>
    <dataValidation allowBlank="true" errorStyle="stop" operator="between" showDropDown="false" showErrorMessage="true" showInputMessage="true" sqref="P14:Q14" type="list">
      <formula1>Prices!$BV$3:$BV$12</formula1>
      <formula2>0</formula2>
    </dataValidation>
    <dataValidation allowBlank="true" errorStyle="stop" operator="between" showDropDown="false" showErrorMessage="true" showInputMessage="true" sqref="S15:S313" type="list">
      <formula1>Prices!$CD$3:$CD$12</formula1>
      <formula2>0</formula2>
    </dataValidation>
    <dataValidation allowBlank="true" errorStyle="stop" operator="between" showDropDown="false" showErrorMessage="true" showInputMessage="true" sqref="R14" type="list">
      <formula1>Prices!$CD$3:$CD$16</formula1>
      <formula2>0</formula2>
    </dataValidation>
    <dataValidation allowBlank="true" errorStyle="stop" operator="between" showDropDown="false" showErrorMessage="true" showInputMessage="true" sqref="L14:L313" type="list">
      <formula1>Prices!$CW$3:$CW$4</formula1>
      <formula2>0</formula2>
    </dataValidation>
    <dataValidation allowBlank="true" errorStyle="stop" operator="between" showDropDown="false" showErrorMessage="true" showInputMessage="true" sqref="M14:M313" type="list">
      <formula1>Prices!$CU$3:$CU$4</formula1>
      <formula2>0</formula2>
    </dataValidation>
    <dataValidation allowBlank="true" errorStyle="stop" operator="between" showDropDown="false" showErrorMessage="true" showInputMessage="true" sqref="N14:N313" type="list">
      <formula1>Prices!$CY$3:$CY$8</formula1>
      <formula2>0</formula2>
    </dataValidation>
  </dataValidations>
  <printOptions headings="false" gridLines="false" gridLinesSet="true" horizontalCentered="true" verticalCentered="false"/>
  <pageMargins left="0.25" right="0.25" top="0.25" bottom="0.25" header="0.511811023622047" footer="0"/>
  <pageSetup paperSize="1" scale="100" fitToWidth="1" fitToHeight="0" pageOrder="downThenOver" orientation="landscape" blackAndWhite="false" draft="false" cellComments="none" horizontalDpi="300" verticalDpi="300" copies="1"/>
  <headerFooter differentFirst="false" differentOddEven="false">
    <oddHeader/>
    <oddFooter>&amp;C&amp;"Helvetica Neue,Regular"&amp;12&amp;K000000&amp;P</oddFooter>
  </headerFooter>
  <extLst>
    <ext xmlns:x14="http://schemas.microsoft.com/office/spreadsheetml/2009/9/main" uri="{78C0D931-6437-407d-A8EE-F0AAD7539E65}">
      <x14:conditionalFormattings>
        <x14:conditionalFormatting xmlns:xm="http://schemas.microsoft.com/office/excel/2006/main">
          <x14:cfRule type="expression" priority="5" id="{23596050-E245-4F49-BAA6-B99D8348F9C7}">
            <xm:f>$F$6&lt;&gt;Summary!$D$27</xm:f>
            <x14:dxf>
              <font>
                <color rgb="FFC00000"/>
              </font>
            </x14:dxf>
          </x14:cfRule>
          <xm:sqref>F6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30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B1" activeCellId="0" sqref="B1"/>
    </sheetView>
  </sheetViews>
  <sheetFormatPr defaultColWidth="8.73046875" defaultRowHeight="15" zeroHeight="false" outlineLevelRow="0" outlineLevelCol="0"/>
  <cols>
    <col collapsed="false" customWidth="true" hidden="false" outlineLevel="0" max="1" min="1" style="4" width="2.27"/>
    <col collapsed="false" customWidth="true" hidden="true" outlineLevel="0" max="2" min="2" style="168" width="6.27"/>
    <col collapsed="false" customWidth="true" hidden="true" outlineLevel="0" max="3" min="3" style="168" width="10.27"/>
    <col collapsed="false" customWidth="true" hidden="true" outlineLevel="0" max="4" min="4" style="169" width="13.73"/>
    <col collapsed="false" customWidth="true" hidden="true" outlineLevel="0" max="5" min="5" style="170" width="12.45"/>
    <col collapsed="false" customWidth="true" hidden="true" outlineLevel="0" max="6" min="6" style="171" width="8.54"/>
    <col collapsed="false" customWidth="true" hidden="true" outlineLevel="0" max="7" min="7" style="171" width="11"/>
    <col collapsed="false" customWidth="true" hidden="true" outlineLevel="0" max="8" min="8" style="171" width="13.73"/>
    <col collapsed="false" customWidth="true" hidden="true" outlineLevel="0" max="9" min="9" style="171" width="10.73"/>
    <col collapsed="false" customWidth="true" hidden="true" outlineLevel="0" max="10" min="10" style="171" width="10.27"/>
    <col collapsed="false" customWidth="false" hidden="true" outlineLevel="0" max="11" min="11" style="171" width="8.73"/>
    <col collapsed="false" customWidth="false" hidden="true" outlineLevel="0" max="16" min="12" style="172" width="8.73"/>
    <col collapsed="false" customWidth="false" hidden="true" outlineLevel="0" max="17" min="17" style="173" width="8.73"/>
    <col collapsed="false" customWidth="true" hidden="true" outlineLevel="0" max="18" min="18" style="172" width="11.73"/>
    <col collapsed="false" customWidth="true" hidden="true" outlineLevel="0" max="19" min="19" style="172" width="11.18"/>
    <col collapsed="false" customWidth="true" hidden="true" outlineLevel="0" max="20" min="20" style="172" width="12.54"/>
    <col collapsed="false" customWidth="true" hidden="true" outlineLevel="0" max="21" min="21" style="172" width="13.73"/>
    <col collapsed="false" customWidth="true" hidden="true" outlineLevel="0" max="22" min="22" style="174" width="9.73"/>
    <col collapsed="false" customWidth="true" hidden="true" outlineLevel="0" max="23" min="23" style="175" width="14.73"/>
    <col collapsed="false" customWidth="true" hidden="true" outlineLevel="0" max="24" min="24" style="176" width="15.27"/>
    <col collapsed="false" customWidth="true" hidden="true" outlineLevel="0" max="25" min="25" style="177" width="14.54"/>
    <col collapsed="false" customWidth="true" hidden="true" outlineLevel="0" max="28" min="26" style="178" width="14.54"/>
    <col collapsed="false" customWidth="true" hidden="true" outlineLevel="0" max="29" min="29" style="175" width="14.54"/>
    <col collapsed="false" customWidth="true" hidden="true" outlineLevel="0" max="30" min="30" style="4" width="2.73"/>
    <col collapsed="false" customWidth="false" hidden="true" outlineLevel="0" max="32" min="31" style="179" width="8.73"/>
    <col collapsed="false" customWidth="true" hidden="true" outlineLevel="0" max="33" min="33" style="179" width="20.18"/>
    <col collapsed="false" customWidth="true" hidden="true" outlineLevel="0" max="38" min="34" style="179" width="11"/>
    <col collapsed="false" customWidth="true" hidden="true" outlineLevel="0" max="41" min="39" style="179" width="20.27"/>
    <col collapsed="false" customWidth="true" hidden="true" outlineLevel="0" max="42" min="42" style="179" width="43.45"/>
    <col collapsed="false" customWidth="true" hidden="true" outlineLevel="0" max="43" min="43" style="1" width="10.16"/>
    <col collapsed="false" customWidth="false" hidden="true" outlineLevel="0" max="16384" min="44" style="1" width="8.73"/>
  </cols>
  <sheetData>
    <row r="1" s="4" customFormat="true" ht="15" hidden="false" customHeight="true" outlineLevel="0" collapsed="false">
      <c r="B1" s="180"/>
      <c r="C1" s="180"/>
      <c r="D1" s="181"/>
      <c r="E1" s="182"/>
      <c r="F1" s="82"/>
      <c r="G1" s="82"/>
      <c r="H1" s="82"/>
      <c r="I1" s="82"/>
      <c r="J1" s="82"/>
      <c r="K1" s="82"/>
      <c r="L1" s="183"/>
      <c r="M1" s="183"/>
      <c r="N1" s="183"/>
      <c r="O1" s="183"/>
      <c r="P1" s="183"/>
      <c r="Q1" s="184"/>
      <c r="R1" s="183"/>
      <c r="S1" s="183"/>
      <c r="T1" s="183"/>
      <c r="U1" s="183"/>
      <c r="V1" s="184"/>
      <c r="W1" s="184"/>
      <c r="X1" s="182"/>
      <c r="Y1" s="185"/>
      <c r="Z1" s="186"/>
      <c r="AA1" s="186"/>
      <c r="AB1" s="186"/>
      <c r="AC1" s="184"/>
      <c r="AE1" s="187"/>
      <c r="AF1" s="187"/>
      <c r="AG1" s="187"/>
      <c r="AH1" s="187"/>
      <c r="AI1" s="187"/>
      <c r="AJ1" s="187"/>
      <c r="AK1" s="187"/>
      <c r="AL1" s="187"/>
      <c r="AM1" s="187"/>
      <c r="AN1" s="187"/>
      <c r="AO1" s="187"/>
      <c r="AP1" s="187"/>
    </row>
    <row r="2" customFormat="false" ht="15" hidden="false" customHeight="true" outlineLevel="0" collapsed="false">
      <c r="D2" s="188" t="s">
        <v>86</v>
      </c>
      <c r="E2" s="188"/>
      <c r="F2" s="189" t="s">
        <v>87</v>
      </c>
      <c r="G2" s="189"/>
      <c r="H2" s="189"/>
      <c r="I2" s="189"/>
      <c r="J2" s="189"/>
      <c r="K2" s="189"/>
      <c r="L2" s="189"/>
      <c r="M2" s="189"/>
      <c r="N2" s="189"/>
      <c r="O2" s="189"/>
      <c r="P2" s="189"/>
      <c r="Q2" s="189"/>
      <c r="R2" s="190" t="s">
        <v>88</v>
      </c>
      <c r="S2" s="190"/>
      <c r="T2" s="190"/>
      <c r="U2" s="190"/>
      <c r="V2" s="190"/>
      <c r="W2" s="191" t="s">
        <v>73</v>
      </c>
      <c r="X2" s="191"/>
      <c r="Y2" s="191"/>
      <c r="Z2" s="192"/>
      <c r="AA2" s="192"/>
      <c r="AB2" s="192"/>
      <c r="AC2" s="193"/>
    </row>
    <row r="3" s="208" customFormat="true" ht="46.25" hidden="false" customHeight="false" outlineLevel="0" collapsed="false">
      <c r="A3" s="194"/>
      <c r="B3" s="195" t="s">
        <v>89</v>
      </c>
      <c r="C3" s="195" t="s">
        <v>90</v>
      </c>
      <c r="D3" s="196" t="s">
        <v>91</v>
      </c>
      <c r="E3" s="196" t="s">
        <v>92</v>
      </c>
      <c r="F3" s="197" t="s">
        <v>93</v>
      </c>
      <c r="G3" s="197" t="s">
        <v>94</v>
      </c>
      <c r="H3" s="197" t="s">
        <v>58</v>
      </c>
      <c r="I3" s="197" t="s">
        <v>95</v>
      </c>
      <c r="J3" s="197" t="s">
        <v>96</v>
      </c>
      <c r="K3" s="197" t="s">
        <v>97</v>
      </c>
      <c r="L3" s="198" t="s">
        <v>98</v>
      </c>
      <c r="M3" s="198" t="s">
        <v>99</v>
      </c>
      <c r="N3" s="198" t="s">
        <v>100</v>
      </c>
      <c r="O3" s="198" t="s">
        <v>101</v>
      </c>
      <c r="P3" s="198" t="s">
        <v>102</v>
      </c>
      <c r="Q3" s="198" t="s">
        <v>103</v>
      </c>
      <c r="R3" s="199" t="s">
        <v>104</v>
      </c>
      <c r="S3" s="199" t="s">
        <v>105</v>
      </c>
      <c r="T3" s="199" t="s">
        <v>106</v>
      </c>
      <c r="U3" s="199" t="s">
        <v>107</v>
      </c>
      <c r="V3" s="199" t="s">
        <v>108</v>
      </c>
      <c r="W3" s="200" t="s">
        <v>109</v>
      </c>
      <c r="X3" s="201" t="s">
        <v>110</v>
      </c>
      <c r="Y3" s="202" t="s">
        <v>111</v>
      </c>
      <c r="Z3" s="203" t="s">
        <v>112</v>
      </c>
      <c r="AA3" s="203" t="s">
        <v>113</v>
      </c>
      <c r="AB3" s="203" t="s">
        <v>114</v>
      </c>
      <c r="AC3" s="204" t="s">
        <v>115</v>
      </c>
      <c r="AD3" s="205" t="s">
        <v>116</v>
      </c>
      <c r="AE3" s="206" t="s">
        <v>117</v>
      </c>
      <c r="AF3" s="206" t="s">
        <v>118</v>
      </c>
      <c r="AG3" s="206" t="s">
        <v>119</v>
      </c>
      <c r="AH3" s="206" t="s">
        <v>120</v>
      </c>
      <c r="AI3" s="206" t="s">
        <v>121</v>
      </c>
      <c r="AJ3" s="206" t="s">
        <v>122</v>
      </c>
      <c r="AK3" s="206" t="s">
        <v>123</v>
      </c>
      <c r="AL3" s="206" t="s">
        <v>124</v>
      </c>
      <c r="AM3" s="206" t="s">
        <v>125</v>
      </c>
      <c r="AN3" s="206" t="s">
        <v>126</v>
      </c>
      <c r="AO3" s="206" t="s">
        <v>63</v>
      </c>
      <c r="AP3" s="206" t="s">
        <v>127</v>
      </c>
      <c r="AQ3" s="207" t="s">
        <v>128</v>
      </c>
    </row>
    <row r="4" customFormat="false" ht="13.5" hidden="false" customHeight="true" outlineLevel="0" collapsed="false">
      <c r="B4" s="209" t="n">
        <f aca="false">'Bulk Order Details'!B14</f>
        <v>1</v>
      </c>
      <c r="C4" s="209" t="e">
        <f aca="false">IF('bulk order details'!#ref!="","",'bulk order details'!#ref!&amp;" "&amp;'bulk order details'!#ref!)</f>
        <v>#VALUE!</v>
      </c>
      <c r="D4" s="210" t="n">
        <f aca="false">IF('Bulk Order Details'!J14="","",VLOOKUP(1,Price[],3))</f>
        <v>49</v>
      </c>
      <c r="E4" s="211" t="n">
        <f aca="false">IF('Bulk Order Details'!J14="","",Summary!$D$9)</f>
        <v>44.1</v>
      </c>
      <c r="F4" s="212" t="n">
        <f aca="false">IF('Bulk Order Details'!F14="","",_xlfn.xlookup('Bulk Order Details'!F14,Size[Display],Size[Price]))</f>
        <v>0</v>
      </c>
      <c r="G4" s="212" t="n">
        <f aca="false">IF('Bulk Order Details'!G14="","",_xlfn.xlookup('Bulk Order Details'!G14,Length[Display],Length[Price]))</f>
        <v>3</v>
      </c>
      <c r="H4" s="212" t="n">
        <f aca="false">IF('Bulk Order Details'!H14="","",_xlfn.xlookup('Bulk Order Details'!H14,Collection[Display],Collection[Price]))</f>
        <v>0</v>
      </c>
      <c r="I4" s="212" t="n">
        <f aca="false">IF('Bulk Order Details'!I14="","",_xlfn.xlookup('Bulk Order Details'!I14,Sleeve[Display],Sleeve[Price]))</f>
        <v>0</v>
      </c>
      <c r="J4" s="212" t="n">
        <f aca="false">IF('Bulk Order Details'!J14="","",_xlfn.xlookup('Bulk Order Details'!J14,Collar[Display],Collar[Price]))</f>
        <v>10</v>
      </c>
      <c r="K4" s="212" t="n">
        <f aca="false">IF('Bulk Order Details'!K14="","",_xlfn.xlookup("Name",Name[Name],Name[Price]))</f>
        <v>8</v>
      </c>
      <c r="L4" s="213" t="str">
        <f aca="false">IFERROR(IF('Bulk Order Details'!O14="","",IF(_xlfn.xlookup('Bulk Order Details'!O14,Logos[Display],Logos[Use])="Flat",_xlfn.xlookup('Bulk Order Details'!O14,Logos[Display],Logos[Flat]),ROUND(_xlfn.xlookup('Bulk Order Details'!O14,Logos[Display],Logos[Pct])*$E4,2))),"")</f>
        <v/>
      </c>
      <c r="M4" s="213" t="str">
        <f aca="false">IFERROR(IF('Bulk Order Details'!P14="","",IF(_xlfn.xlookup('Bulk Order Details'!P14,Chest[Display],Chest[Use])="Flat",_xlfn.xlookup('Bulk Order Details'!P14,Chest[Display],Chest[Flat]),ROUND(_xlfn.xlookup('Bulk Order Details'!P14,Chest[Display],Chest[Pct])*$E4,2))),"")</f>
        <v/>
      </c>
      <c r="N4" s="213" t="str">
        <f aca="false">IFERROR(IF('Bulk Order Details'!Q14="","",IF(_xlfn.xlookup('Bulk Order Details'!Q14,Chest[Display],Chest[Use])="Flat",_xlfn.xlookup('Bulk Order Details'!Q14,Chest[Display],Chest[Flat]),ROUND(_xlfn.xlookup('Bulk Order Details'!Q14,Chest[Display],Chest[Pct])*$E4,2))),"")</f>
        <v/>
      </c>
      <c r="O4" s="213" t="str">
        <f aca="false">IFERROR(IF('Bulk Order Details'!R14="","",IF(_xlfn.xlookup('Bulk Order Details'!R14,LeftSleeve[Display],LeftSleeve[Use])="Flat",_xlfn.xlookup('Bulk Order Details'!R14,LeftSleeve[Display],LeftSleeve[Flat]),ROUND(_xlfn.xlookup('Bulk Order Details'!R14,LeftSleeve[Display],LeftSleeve[Pct])*$E4,2))),"")</f>
        <v/>
      </c>
      <c r="P4" s="213" t="str">
        <f aca="false">IFERROR(IF('Bulk Order Details'!S14="","",IF(_xlfn.xlookup('Bulk Order Details'!S14,RightSleeve[Display],RightSleeve[Use])="Flat",_xlfn.xlookup('Bulk Order Details'!S14,RightSleeve[Display],RightSleeve[Flat]),ROUND(_xlfn.xlookup('Bulk Order Details'!S14,RightSleeve[Display],RightSleeve[Pct])*$E4,2))),"")</f>
        <v/>
      </c>
      <c r="Q4" s="214" t="n">
        <f aca="false">IF('Bulk Order Details'!J14="","",SUM(F4:P4))</f>
        <v>21</v>
      </c>
      <c r="R4" s="213" t="n">
        <f aca="false">IFERROR(E4-D4,"")</f>
        <v>-4.9</v>
      </c>
      <c r="S4" s="215" t="n">
        <f aca="false">IFERROR(MIN(IF(Summary!$D$11="Yes",-J4,0),IF(H4&gt;0,-J4,0)),"")</f>
        <v>0</v>
      </c>
      <c r="T4" s="212" t="str">
        <f aca="false">IFERROR(IF(Summary!$D$10="Yes",-K4,""),"")</f>
        <v/>
      </c>
      <c r="U4" s="213" t="str">
        <f aca="false">IFERROR(IF(Summary!$D$12="Yes",-L4,""),"")</f>
        <v/>
      </c>
      <c r="V4" s="216" t="n">
        <f aca="false">IF('Bulk Order Details'!J14="","",SUM(R4:U4))</f>
        <v>-4.9</v>
      </c>
      <c r="W4" s="217" t="n">
        <f aca="false">IF('Bulk Order Details'!J14="","",D4+Q4)</f>
        <v>70</v>
      </c>
      <c r="X4" s="218" t="n">
        <f aca="false">IF('Bulk Order Details'!J14="","",D4+Q4+V4)</f>
        <v>65.1</v>
      </c>
      <c r="Y4" s="219" t="n">
        <f aca="false">IFERROR((W4-X4)/W4,"")</f>
        <v>0.0700000000000001</v>
      </c>
      <c r="Z4" s="220" t="n">
        <f aca="false">IF('Bulk Order Details'!J14="","",MAX(1,'Bulk Order Details'!D14))</f>
        <v>5</v>
      </c>
      <c r="AA4" s="217" t="n">
        <f aca="false">IF(Pricing_Details[[#This Row],[Quantity]]="","",Pricing_Details[[#This Row],[Retail Price]]*Pricing_Details[[#This Row],[Quantity]])</f>
        <v>350</v>
      </c>
      <c r="AB4" s="217" t="n">
        <f aca="false">IF(Pricing_Details[[#This Row],[Quantity]]="","",Pricing_Details[[#This Row],[Total Discount]]*Pricing_Details[[#This Row],[Quantity]])</f>
        <v>-24.5</v>
      </c>
      <c r="AC4" s="221" t="n">
        <f aca="false">IFERROR(ROUND(Pricing_Details[[#This Row],[Actual Price]]*Pricing_Details[[#This Row],[Quantity]],2),"")</f>
        <v>325.5</v>
      </c>
      <c r="AE4" s="179" t="str">
        <f aca="false">IF('Bulk Order Details'!J14="","",VLOOKUP('Bulk Order Details'!H14,Collection[],3)&amp;VLOOKUP('Bulk Order Details'!J14,Collar[],4)&amp;VLOOKUP('Bulk Order Details'!I14,Sleeve[],4))</f>
        <v>AABSS</v>
      </c>
      <c r="AF4" s="179" t="e">
        <f aca="false">IF('Bulk Order Details'!J14="","",LOOKUP('Bulk Order Details'!E14,Cut[Display],Cut[Code])&amp;LOOKUP('Bulk Order Details'!F14,#REF!,#REF!)&amp;IF('Bulk Order Details'!G14="","",LOOKUP('Bulk Order Details'!G14,Length[Display],Length[Code])))</f>
        <v>#VALUE!</v>
      </c>
      <c r="AG4" s="179" t="str">
        <f aca="false">IF('Bulk Order Details'!J14="","",IF('Bulk Order Details'!C14="","",'Bulk Order Details'!C14))</f>
        <v/>
      </c>
      <c r="AH4" s="179" t="str">
        <f aca="false">IF('Bulk Order Details'!O14="","","-"&amp;LOOKUP('Bulk Order Details'!O14,#REF!,#REF!))</f>
        <v/>
      </c>
      <c r="AI4" s="179" t="str">
        <f aca="false">IF('Bulk Order Details'!P14="","","-"&amp;LOOKUP('Bulk Order Details'!P14,#REF!,#REF!))</f>
        <v/>
      </c>
      <c r="AJ4" s="179" t="str">
        <f aca="false">IF('Bulk Order Details'!Q14="","","-"&amp;LOOKUP('Bulk Order Details'!Q14,#REF!,#REF!))</f>
        <v/>
      </c>
      <c r="AK4" s="179" t="str">
        <f aca="false">IF('Bulk Order Details'!R14="","","-"&amp;LOOKUP('Bulk Order Details'!R14,#REF!,#REF!))</f>
        <v/>
      </c>
      <c r="AL4" s="179" t="str">
        <f aca="false">IF('Bulk Order Details'!S14="","","-"&amp;LOOKUP('Bulk Order Details'!S14,#REF!,#REF!))</f>
        <v/>
      </c>
      <c r="AM4" s="179" t="str">
        <f aca="false">IF(_xlfn.CONCAT(AH4:AL4)="","","Lo"&amp;_xlfn.CONCAT(AH4:AL4))</f>
        <v/>
      </c>
      <c r="AN4" s="179" t="str">
        <f aca="false">IF('Bulk Order Details'!K14="","","Na-"&amp;'Bulk Order Details'!K14)</f>
        <v>Na-Firstname Lastname</v>
      </c>
      <c r="AO4" s="179" t="str">
        <f aca="false">IF('Bulk Order Details'!N14="","","Fo-"&amp;'Bulk Order Details'!N14)</f>
        <v>Fo-Freestyle</v>
      </c>
      <c r="AP4" s="179" t="e">
        <f aca="false">IF(AE4="","",AE4&amp;"_"&amp;AF4&amp;"_"&amp;AG4&amp;IF(AM4="","","_"&amp;AM4)&amp;IF(AN4="","","_"&amp;AN4)&amp;IF(AO4="","","_"&amp;AO4))</f>
        <v>#VALUE!</v>
      </c>
      <c r="AQ4" s="218" t="n">
        <f aca="false">IF(X4="","",X4)</f>
        <v>65.1</v>
      </c>
    </row>
    <row r="5" customFormat="false" ht="13.5" hidden="false" customHeight="true" outlineLevel="0" collapsed="false">
      <c r="B5" s="209" t="n">
        <f aca="false">'Bulk Order Details'!B15</f>
        <v>2</v>
      </c>
      <c r="C5" s="209" t="e">
        <f aca="false">IF('bulk order details'!#ref!="","",'bulk order details'!#ref!&amp;" "&amp;'bulk order details'!#ref!)</f>
        <v>#VALUE!</v>
      </c>
      <c r="D5" s="210" t="str">
        <f aca="false">IF('Bulk Order Details'!J15="","",VLOOKUP(1,Price[],3))</f>
        <v/>
      </c>
      <c r="E5" s="211" t="str">
        <f aca="false">IF('Bulk Order Details'!J15="","",Summary!$D$9)</f>
        <v/>
      </c>
      <c r="F5" s="212" t="str">
        <f aca="false">IF('Bulk Order Details'!F15="","",_xlfn.xlookup('Bulk Order Details'!F15,Size[Display],Size[Price]))</f>
        <v/>
      </c>
      <c r="G5" s="212" t="str">
        <f aca="false">IF('Bulk Order Details'!G15="","",_xlfn.xlookup('Bulk Order Details'!G15,Length[Display],Length[Price]))</f>
        <v/>
      </c>
      <c r="H5" s="212" t="str">
        <f aca="false">IF('Bulk Order Details'!H15="","",_xlfn.xlookup('Bulk Order Details'!H15,Collection[Display],Collection[Price]))</f>
        <v/>
      </c>
      <c r="I5" s="212" t="str">
        <f aca="false">IF('Bulk Order Details'!I15="","",_xlfn.xlookup('Bulk Order Details'!I15,Sleeve[Display],Sleeve[Price]))</f>
        <v/>
      </c>
      <c r="J5" s="212" t="str">
        <f aca="false">IF('Bulk Order Details'!J15="","",_xlfn.xlookup('Bulk Order Details'!J15,Collar[Display],Collar[Price]))</f>
        <v/>
      </c>
      <c r="K5" s="212" t="str">
        <f aca="false">IF('Bulk Order Details'!K15="","",_xlfn.xlookup("Name",Name[Name],Name[Price]))</f>
        <v/>
      </c>
      <c r="L5" s="213" t="str">
        <f aca="false">IFERROR(IF('Bulk Order Details'!O15="","",IF(_xlfn.xlookup('Bulk Order Details'!O15,Logos[Display],Logos[Use])="Flat",_xlfn.xlookup('Bulk Order Details'!O15,Logos[Display],Logos[Flat]),ROUND(_xlfn.xlookup('Bulk Order Details'!O15,Logos[Display],Logos[Pct])*$E5,2))),"")</f>
        <v/>
      </c>
      <c r="M5" s="222" t="str">
        <f aca="false">IFERROR(IF('Bulk Order Details'!P15="","",IF(_xlfn.xlookup('Bulk Order Details'!P15,Chest[Display],Chest[Use])="Flat",_xlfn.xlookup('Bulk Order Details'!P15,Chest[Display],Chest[Flat]),ROUND(_xlfn.xlookup('Bulk Order Details'!P15,Chest[Display],Chest[Pct])*$E5,2))),"")</f>
        <v/>
      </c>
      <c r="N5" s="222" t="str">
        <f aca="false">IFERROR(IF('Bulk Order Details'!Q15="","",IF(_xlfn.xlookup('Bulk Order Details'!Q15,Chest[Display],Chest[Use])="Flat",_xlfn.xlookup('Bulk Order Details'!Q15,Chest[Display],Chest[Flat]),ROUND(_xlfn.xlookup('Bulk Order Details'!Q15,Chest[Display],Chest[Pct])*$E5,2))),"")</f>
        <v/>
      </c>
      <c r="O5" s="222" t="str">
        <f aca="false">IFERROR(IF('Bulk Order Details'!R15="","",IF(_xlfn.xlookup('Bulk Order Details'!R15,LeftSleeve[Display],LeftSleeve[Use])="Flat",_xlfn.xlookup('Bulk Order Details'!R15,LeftSleeve[Display],LeftSleeve[Flat]),ROUND(_xlfn.xlookup('Bulk Order Details'!R15,LeftSleeve[Display],LeftSleeve[Pct])*$E5,2))),"")</f>
        <v/>
      </c>
      <c r="P5" s="222" t="str">
        <f aca="false">IFERROR(IF('Bulk Order Details'!S15="","",IF(_xlfn.xlookup('Bulk Order Details'!S15,RightSleeve[Display],RightSleeve[Use])="Flat",_xlfn.xlookup('Bulk Order Details'!S15,RightSleeve[Display],RightSleeve[Flat]),ROUND(_xlfn.xlookup('Bulk Order Details'!S15,RightSleeve[Display],RightSleeve[Pct])*$E5,2))),"")</f>
        <v/>
      </c>
      <c r="Q5" s="214" t="str">
        <f aca="false">IF('Bulk Order Details'!J15="","",SUM(F5:P5))</f>
        <v/>
      </c>
      <c r="R5" s="213" t="str">
        <f aca="false">IFERROR(E5-D5,"")</f>
        <v/>
      </c>
      <c r="S5" s="215" t="str">
        <f aca="false">IFERROR(MIN(IF(Summary!$D$11="Yes",-J5,0),IF(H5&gt;0,-J5,0)),"")</f>
        <v/>
      </c>
      <c r="T5" s="212" t="str">
        <f aca="false">IFERROR(IF(Summary!$D$10="Yes",-K5,""),"")</f>
        <v/>
      </c>
      <c r="U5" s="213" t="str">
        <f aca="false">IFERROR(IF(Summary!$D$12="Yes",-L5,""),"")</f>
        <v/>
      </c>
      <c r="V5" s="216" t="str">
        <f aca="false">IF('Bulk Order Details'!J15="","",SUM(R5:U5))</f>
        <v/>
      </c>
      <c r="W5" s="217" t="str">
        <f aca="false">IF('Bulk Order Details'!J15="","",D5+Q5)</f>
        <v/>
      </c>
      <c r="X5" s="218" t="str">
        <f aca="false">IF('Bulk Order Details'!J15="","",D5+Q5+V5)</f>
        <v/>
      </c>
      <c r="Y5" s="219" t="str">
        <f aca="false">IFERROR((W5-X5)/W5,"")</f>
        <v/>
      </c>
      <c r="Z5" s="220" t="str">
        <f aca="false">IF('Bulk Order Details'!J15="","",MAX(1,'Bulk Order Details'!D15))</f>
        <v/>
      </c>
      <c r="AA5" s="217" t="str">
        <f aca="false">IF(Pricing_Details[[#This Row],[Quantity]]="","",Pricing_Details[[#This Row],[Retail Price]]*Pricing_Details[[#This Row],[Quantity]])</f>
        <v/>
      </c>
      <c r="AB5" s="217" t="str">
        <f aca="false">IF(Pricing_Details[[#This Row],[Quantity]]="","",Pricing_Details[[#This Row],[Total Discount]]*Pricing_Details[[#This Row],[Quantity]])</f>
        <v/>
      </c>
      <c r="AC5" s="221" t="str">
        <f aca="false">IFERROR(ROUND(Pricing_Details[[#This Row],[Actual Price]]*Pricing_Details[[#This Row],[Quantity]],2),"")</f>
        <v/>
      </c>
      <c r="AE5" s="179" t="str">
        <f aca="false">IF('Bulk Order Details'!J15="","",VLOOKUP('Bulk Order Details'!H15,Collection[],3)&amp;VLOOKUP('Bulk Order Details'!J15,Collar[],4)&amp;VLOOKUP('Bulk Order Details'!I15,Sleeve[],4))</f>
        <v/>
      </c>
      <c r="AF5" s="179" t="str">
        <f aca="false">IF('Bulk Order Details'!J15="","",LOOKUP('Bulk Order Details'!E15,Cut[Display],Cut[Code])&amp;LOOKUP('Bulk Order Details'!F15,#REF!,#REF!)&amp;IF('Bulk Order Details'!G15="","",LOOKUP('Bulk Order Details'!G15,Length[Display],Length[Code])))</f>
        <v/>
      </c>
      <c r="AG5" s="179" t="str">
        <f aca="false">IF('Bulk Order Details'!J15="","",IF('Bulk Order Details'!C15="","",'Bulk Order Details'!C15))</f>
        <v/>
      </c>
      <c r="AH5" s="179" t="str">
        <f aca="false">IF('Bulk Order Details'!O15="","","-"&amp;LOOKUP('Bulk Order Details'!O15,#REF!,#REF!))</f>
        <v/>
      </c>
      <c r="AI5" s="179" t="str">
        <f aca="false">IF('Bulk Order Details'!P15="","","-"&amp;LOOKUP('Bulk Order Details'!P15,#REF!,#REF!))</f>
        <v/>
      </c>
      <c r="AJ5" s="179" t="str">
        <f aca="false">IF('Bulk Order Details'!Q15="","","-"&amp;LOOKUP('Bulk Order Details'!Q15,#REF!,#REF!))</f>
        <v/>
      </c>
      <c r="AK5" s="179" t="str">
        <f aca="false">IF('Bulk Order Details'!R15="","","-"&amp;LOOKUP('Bulk Order Details'!R15,#REF!,#REF!))</f>
        <v/>
      </c>
      <c r="AL5" s="179" t="str">
        <f aca="false">IF('Bulk Order Details'!S15="","","-"&amp;LOOKUP('Bulk Order Details'!S15,#REF!,#REF!))</f>
        <v/>
      </c>
      <c r="AM5" s="179" t="str">
        <f aca="false">IF(_xlfn.CONCAT(AH5:AL5)="","","Lo"&amp;_xlfn.CONCAT(AH5:AL5))</f>
        <v/>
      </c>
      <c r="AN5" s="179" t="str">
        <f aca="false">IF('Bulk Order Details'!K15="","","Na-"&amp;'Bulk Order Details'!K15)</f>
        <v/>
      </c>
      <c r="AO5" s="179" t="str">
        <f aca="false">IF('Bulk Order Details'!N15="","","Fo-"&amp;'Bulk Order Details'!N15)</f>
        <v/>
      </c>
      <c r="AP5" s="179" t="str">
        <f aca="false">IF(AE5="","",AE5&amp;"_"&amp;AF5&amp;"_"&amp;AG5&amp;IF(AM5="","","_"&amp;AM5)&amp;IF(AN5="","","_"&amp;AN5)&amp;IF(AO5="","","_"&amp;AO5))</f>
        <v/>
      </c>
      <c r="AQ5" s="218" t="str">
        <f aca="false">IF(X5="","",X5)</f>
        <v/>
      </c>
    </row>
    <row r="6" customFormat="false" ht="13.5" hidden="false" customHeight="true" outlineLevel="0" collapsed="false">
      <c r="B6" s="209" t="n">
        <f aca="false">'Bulk Order Details'!B16</f>
        <v>3</v>
      </c>
      <c r="C6" s="209" t="e">
        <f aca="false">IF('bulk order details'!#ref!="","",'bulk order details'!#ref!&amp;" "&amp;'bulk order details'!#ref!)</f>
        <v>#VALUE!</v>
      </c>
      <c r="D6" s="210" t="str">
        <f aca="false">IF('Bulk Order Details'!J16="","",VLOOKUP(1,Price[],3))</f>
        <v/>
      </c>
      <c r="E6" s="211" t="str">
        <f aca="false">IF('Bulk Order Details'!J16="","",Summary!$D$9)</f>
        <v/>
      </c>
      <c r="F6" s="212" t="str">
        <f aca="false">IF('Bulk Order Details'!F16="","",_xlfn.xlookup('Bulk Order Details'!F16,Size[Display],Size[Price]))</f>
        <v/>
      </c>
      <c r="G6" s="212" t="str">
        <f aca="false">IF('Bulk Order Details'!G16="","",_xlfn.xlookup('Bulk Order Details'!G16,Length[Display],Length[Price]))</f>
        <v/>
      </c>
      <c r="H6" s="212" t="str">
        <f aca="false">IF('Bulk Order Details'!H16="","",_xlfn.xlookup('Bulk Order Details'!H16,Collection[Display],Collection[Price]))</f>
        <v/>
      </c>
      <c r="I6" s="212" t="str">
        <f aca="false">IF('Bulk Order Details'!I16="","",_xlfn.xlookup('Bulk Order Details'!I16,Sleeve[Display],Sleeve[Price]))</f>
        <v/>
      </c>
      <c r="J6" s="212" t="str">
        <f aca="false">IF('Bulk Order Details'!J16="","",_xlfn.xlookup('Bulk Order Details'!J16,Collar[Display],Collar[Price]))</f>
        <v/>
      </c>
      <c r="K6" s="212" t="str">
        <f aca="false">IF('Bulk Order Details'!K16="","",_xlfn.xlookup("Name",Name[Name],Name[Price]))</f>
        <v/>
      </c>
      <c r="L6" s="213" t="str">
        <f aca="false">IFERROR(IF('Bulk Order Details'!O16="","",IF(_xlfn.xlookup('Bulk Order Details'!O16,Logos[Display],Logos[Use])="Flat",_xlfn.xlookup('Bulk Order Details'!O16,Logos[Display],Logos[Flat]),ROUND(_xlfn.xlookup('Bulk Order Details'!O16,Logos[Display],Logos[Pct])*$E6,2))),"")</f>
        <v/>
      </c>
      <c r="M6" s="222" t="str">
        <f aca="false">IFERROR(IF('Bulk Order Details'!P16="","",IF(_xlfn.xlookup('Bulk Order Details'!P16,Chest[Display],Chest[Use])="Flat",_xlfn.xlookup('Bulk Order Details'!P16,Chest[Display],Chest[Flat]),ROUND(_xlfn.xlookup('Bulk Order Details'!P16,Chest[Display],Chest[Pct])*$E6,2))),"")</f>
        <v/>
      </c>
      <c r="N6" s="222" t="str">
        <f aca="false">IFERROR(IF('Bulk Order Details'!Q16="","",IF(_xlfn.xlookup('Bulk Order Details'!Q16,Chest[Display],Chest[Use])="Flat",_xlfn.xlookup('Bulk Order Details'!Q16,Chest[Display],Chest[Flat]),ROUND(_xlfn.xlookup('Bulk Order Details'!Q16,Chest[Display],Chest[Pct])*$E6,2))),"")</f>
        <v/>
      </c>
      <c r="O6" s="222" t="str">
        <f aca="false">IFERROR(IF('Bulk Order Details'!R16="","",IF(_xlfn.xlookup('Bulk Order Details'!R16,LeftSleeve[Display],LeftSleeve[Use])="Flat",_xlfn.xlookup('Bulk Order Details'!R16,LeftSleeve[Display],LeftSleeve[Flat]),ROUND(_xlfn.xlookup('Bulk Order Details'!R16,LeftSleeve[Display],LeftSleeve[Pct])*$E6,2))),"")</f>
        <v/>
      </c>
      <c r="P6" s="222" t="str">
        <f aca="false">IFERROR(IF('Bulk Order Details'!S16="","",IF(_xlfn.xlookup('Bulk Order Details'!S16,RightSleeve[Display],RightSleeve[Use])="Flat",_xlfn.xlookup('Bulk Order Details'!S16,RightSleeve[Display],RightSleeve[Flat]),ROUND(_xlfn.xlookup('Bulk Order Details'!S16,RightSleeve[Display],RightSleeve[Pct])*$E6,2))),"")</f>
        <v/>
      </c>
      <c r="Q6" s="214" t="str">
        <f aca="false">IF('Bulk Order Details'!J16="","",SUM(F6:P6))</f>
        <v/>
      </c>
      <c r="R6" s="213" t="str">
        <f aca="false">IFERROR(E6-D6,"")</f>
        <v/>
      </c>
      <c r="S6" s="215" t="str">
        <f aca="false">IFERROR(MIN(IF(Summary!$D$11="Yes",-J6,0),IF(H6&gt;0,-J6,0)),"")</f>
        <v/>
      </c>
      <c r="T6" s="212" t="str">
        <f aca="false">IFERROR(IF(Summary!$D$10="Yes",-K6,""),"")</f>
        <v/>
      </c>
      <c r="U6" s="213" t="str">
        <f aca="false">IFERROR(IF(Summary!$D$12="Yes",-L6,""),"")</f>
        <v/>
      </c>
      <c r="V6" s="216" t="str">
        <f aca="false">IF('Bulk Order Details'!J16="","",SUM(R6:U6))</f>
        <v/>
      </c>
      <c r="W6" s="217" t="str">
        <f aca="false">IF('Bulk Order Details'!J16="","",D6+Q6)</f>
        <v/>
      </c>
      <c r="X6" s="218" t="str">
        <f aca="false">IF('Bulk Order Details'!J16="","",D6+Q6+V6)</f>
        <v/>
      </c>
      <c r="Y6" s="219" t="str">
        <f aca="false">IFERROR((W6-X6)/W6,"")</f>
        <v/>
      </c>
      <c r="Z6" s="220" t="str">
        <f aca="false">IF('Bulk Order Details'!J16="","",MAX(1,'Bulk Order Details'!D16))</f>
        <v/>
      </c>
      <c r="AA6" s="217" t="str">
        <f aca="false">IF(Pricing_Details[[#This Row],[Quantity]]="","",Pricing_Details[[#This Row],[Retail Price]]*Pricing_Details[[#This Row],[Quantity]])</f>
        <v/>
      </c>
      <c r="AB6" s="217" t="str">
        <f aca="false">IF(Pricing_Details[[#This Row],[Quantity]]="","",Pricing_Details[[#This Row],[Total Discount]]*Pricing_Details[[#This Row],[Quantity]])</f>
        <v/>
      </c>
      <c r="AC6" s="221" t="str">
        <f aca="false">IFERROR(ROUND(Pricing_Details[[#This Row],[Actual Price]]*Pricing_Details[[#This Row],[Quantity]],2),"")</f>
        <v/>
      </c>
      <c r="AE6" s="179" t="str">
        <f aca="false">IF('Bulk Order Details'!J16="","",VLOOKUP('Bulk Order Details'!H16,Collection[],3)&amp;VLOOKUP('Bulk Order Details'!J16,Collar[],4)&amp;VLOOKUP('Bulk Order Details'!I16,Sleeve[],4))</f>
        <v/>
      </c>
      <c r="AF6" s="179" t="str">
        <f aca="false">IF('Bulk Order Details'!J16="","",LOOKUP('Bulk Order Details'!E16,Cut[Display],Cut[Code])&amp;LOOKUP('Bulk Order Details'!F16,#REF!,#REF!)&amp;IF('Bulk Order Details'!G16="","",LOOKUP('Bulk Order Details'!G16,Length[Display],Length[Code])))</f>
        <v/>
      </c>
      <c r="AG6" s="179" t="str">
        <f aca="false">IF('Bulk Order Details'!J16="","",IF('Bulk Order Details'!C16="","",'Bulk Order Details'!C16))</f>
        <v/>
      </c>
      <c r="AH6" s="179" t="str">
        <f aca="false">IF('Bulk Order Details'!O16="","","-"&amp;LOOKUP('Bulk Order Details'!O16,#REF!,#REF!))</f>
        <v/>
      </c>
      <c r="AI6" s="179" t="str">
        <f aca="false">IF('Bulk Order Details'!P16="","","-"&amp;LOOKUP('Bulk Order Details'!P16,#REF!,#REF!))</f>
        <v/>
      </c>
      <c r="AJ6" s="179" t="str">
        <f aca="false">IF('Bulk Order Details'!Q16="","","-"&amp;LOOKUP('Bulk Order Details'!Q16,#REF!,#REF!))</f>
        <v/>
      </c>
      <c r="AK6" s="179" t="str">
        <f aca="false">IF('Bulk Order Details'!R16="","","-"&amp;LOOKUP('Bulk Order Details'!R16,#REF!,#REF!))</f>
        <v/>
      </c>
      <c r="AL6" s="179" t="str">
        <f aca="false">IF('Bulk Order Details'!S16="","","-"&amp;LOOKUP('Bulk Order Details'!S16,#REF!,#REF!))</f>
        <v/>
      </c>
      <c r="AM6" s="179" t="str">
        <f aca="false">IF(_xlfn.CONCAT(AH6:AL6)="","","Lo"&amp;_xlfn.CONCAT(AH6:AL6))</f>
        <v/>
      </c>
      <c r="AN6" s="179" t="str">
        <f aca="false">IF('Bulk Order Details'!K16="","","Na-"&amp;'Bulk Order Details'!K16)</f>
        <v/>
      </c>
      <c r="AO6" s="179" t="str">
        <f aca="false">IF('Bulk Order Details'!N16="","","Fo-"&amp;'Bulk Order Details'!N16)</f>
        <v/>
      </c>
      <c r="AP6" s="179" t="str">
        <f aca="false">IF(AE6="","",AE6&amp;"_"&amp;AF6&amp;"_"&amp;AG6&amp;IF(AM6="","","_"&amp;AM6)&amp;IF(AN6="","","_"&amp;AN6)&amp;IF(AO6="","","_"&amp;AO6))</f>
        <v/>
      </c>
      <c r="AQ6" s="218" t="str">
        <f aca="false">IF(X6="","",X6)</f>
        <v/>
      </c>
    </row>
    <row r="7" customFormat="false" ht="13.5" hidden="false" customHeight="true" outlineLevel="0" collapsed="false">
      <c r="B7" s="209" t="n">
        <f aca="false">'Bulk Order Details'!B17</f>
        <v>4</v>
      </c>
      <c r="C7" s="209" t="e">
        <f aca="false">IF('bulk order details'!#ref!="","",'bulk order details'!#ref!&amp;" "&amp;'bulk order details'!#ref!)</f>
        <v>#VALUE!</v>
      </c>
      <c r="D7" s="210" t="str">
        <f aca="false">IF('Bulk Order Details'!J17="","",VLOOKUP(1,Price[],3))</f>
        <v/>
      </c>
      <c r="E7" s="211" t="str">
        <f aca="false">IF('Bulk Order Details'!J17="","",Summary!$D$9)</f>
        <v/>
      </c>
      <c r="F7" s="212" t="str">
        <f aca="false">IF('Bulk Order Details'!F17="","",_xlfn.xlookup('Bulk Order Details'!F17,Size[Display],Size[Price]))</f>
        <v/>
      </c>
      <c r="G7" s="212" t="str">
        <f aca="false">IF('Bulk Order Details'!G17="","",_xlfn.xlookup('Bulk Order Details'!G17,Length[Display],Length[Price]))</f>
        <v/>
      </c>
      <c r="H7" s="212" t="str">
        <f aca="false">IF('Bulk Order Details'!H17="","",_xlfn.xlookup('Bulk Order Details'!H17,Collection[Display],Collection[Price]))</f>
        <v/>
      </c>
      <c r="I7" s="212" t="str">
        <f aca="false">IF('Bulk Order Details'!I17="","",_xlfn.xlookup('Bulk Order Details'!I17,Sleeve[Display],Sleeve[Price]))</f>
        <v/>
      </c>
      <c r="J7" s="212" t="str">
        <f aca="false">IF('Bulk Order Details'!J17="","",_xlfn.xlookup('Bulk Order Details'!J17,Collar[Display],Collar[Price]))</f>
        <v/>
      </c>
      <c r="K7" s="212" t="str">
        <f aca="false">IF('Bulk Order Details'!K17="","",_xlfn.xlookup("Name",Name[Name],Name[Price]))</f>
        <v/>
      </c>
      <c r="L7" s="213" t="str">
        <f aca="false">IFERROR(IF('Bulk Order Details'!O17="","",IF(_xlfn.xlookup('Bulk Order Details'!O17,Logos[Display],Logos[Use])="Flat",_xlfn.xlookup('Bulk Order Details'!O17,Logos[Display],Logos[Flat]),ROUND(_xlfn.xlookup('Bulk Order Details'!O17,Logos[Display],Logos[Pct])*$E7,2))),"")</f>
        <v/>
      </c>
      <c r="M7" s="222" t="str">
        <f aca="false">IFERROR(IF('Bulk Order Details'!P17="","",IF(_xlfn.xlookup('Bulk Order Details'!P17,Chest[Display],Chest[Use])="Flat",_xlfn.xlookup('Bulk Order Details'!P17,Chest[Display],Chest[Flat]),ROUND(_xlfn.xlookup('Bulk Order Details'!P17,Chest[Display],Chest[Pct])*$E7,2))),"")</f>
        <v/>
      </c>
      <c r="N7" s="222" t="str">
        <f aca="false">IFERROR(IF('Bulk Order Details'!Q17="","",IF(_xlfn.xlookup('Bulk Order Details'!Q17,Chest[Display],Chest[Use])="Flat",_xlfn.xlookup('Bulk Order Details'!Q17,Chest[Display],Chest[Flat]),ROUND(_xlfn.xlookup('Bulk Order Details'!Q17,Chest[Display],Chest[Pct])*$E7,2))),"")</f>
        <v/>
      </c>
      <c r="O7" s="222" t="str">
        <f aca="false">IFERROR(IF('Bulk Order Details'!R17="","",IF(_xlfn.xlookup('Bulk Order Details'!R17,LeftSleeve[Display],LeftSleeve[Use])="Flat",_xlfn.xlookup('Bulk Order Details'!R17,LeftSleeve[Display],LeftSleeve[Flat]),ROUND(_xlfn.xlookup('Bulk Order Details'!R17,LeftSleeve[Display],LeftSleeve[Pct])*$E7,2))),"")</f>
        <v/>
      </c>
      <c r="P7" s="222" t="str">
        <f aca="false">IFERROR(IF('Bulk Order Details'!S17="","",IF(_xlfn.xlookup('Bulk Order Details'!S17,RightSleeve[Display],RightSleeve[Use])="Flat",_xlfn.xlookup('Bulk Order Details'!S17,RightSleeve[Display],RightSleeve[Flat]),ROUND(_xlfn.xlookup('Bulk Order Details'!S17,RightSleeve[Display],RightSleeve[Pct])*$E7,2))),"")</f>
        <v/>
      </c>
      <c r="Q7" s="214" t="str">
        <f aca="false">IF('Bulk Order Details'!J17="","",SUM(F7:P7))</f>
        <v/>
      </c>
      <c r="R7" s="213" t="str">
        <f aca="false">IFERROR(E7-D7,"")</f>
        <v/>
      </c>
      <c r="S7" s="215" t="str">
        <f aca="false">IFERROR(MIN(IF(Summary!$D$11="Yes",-J7,0),IF(H7&gt;0,-J7,0)),"")</f>
        <v/>
      </c>
      <c r="T7" s="212" t="str">
        <f aca="false">IFERROR(IF(Summary!$D$10="Yes",-K7,""),"")</f>
        <v/>
      </c>
      <c r="U7" s="213" t="str">
        <f aca="false">IFERROR(IF(Summary!$D$12="Yes",-L7,""),"")</f>
        <v/>
      </c>
      <c r="V7" s="216" t="str">
        <f aca="false">IF('Bulk Order Details'!J17="","",SUM(R7:U7))</f>
        <v/>
      </c>
      <c r="W7" s="217" t="str">
        <f aca="false">IF('Bulk Order Details'!J17="","",D7+Q7)</f>
        <v/>
      </c>
      <c r="X7" s="218" t="str">
        <f aca="false">IF('Bulk Order Details'!J17="","",D7+Q7+V7)</f>
        <v/>
      </c>
      <c r="Y7" s="219" t="str">
        <f aca="false">IFERROR((W7-X7)/W7,"")</f>
        <v/>
      </c>
      <c r="Z7" s="220" t="str">
        <f aca="false">IF('Bulk Order Details'!J17="","",MAX(1,'Bulk Order Details'!D17))</f>
        <v/>
      </c>
      <c r="AA7" s="217" t="str">
        <f aca="false">IF(Pricing_Details[[#This Row],[Quantity]]="","",Pricing_Details[[#This Row],[Retail Price]]*Pricing_Details[[#This Row],[Quantity]])</f>
        <v/>
      </c>
      <c r="AB7" s="217" t="str">
        <f aca="false">IF(Pricing_Details[[#This Row],[Quantity]]="","",Pricing_Details[[#This Row],[Total Discount]]*Pricing_Details[[#This Row],[Quantity]])</f>
        <v/>
      </c>
      <c r="AC7" s="221" t="str">
        <f aca="false">IFERROR(ROUND(Pricing_Details[[#This Row],[Actual Price]]*Pricing_Details[[#This Row],[Quantity]],2),"")</f>
        <v/>
      </c>
      <c r="AE7" s="179" t="str">
        <f aca="false">IF('Bulk Order Details'!J17="","",VLOOKUP('Bulk Order Details'!H17,Collection[],3)&amp;VLOOKUP('Bulk Order Details'!J17,Collar[],4)&amp;VLOOKUP('Bulk Order Details'!I17,Sleeve[],4))</f>
        <v/>
      </c>
      <c r="AF7" s="179" t="str">
        <f aca="false">IF('Bulk Order Details'!J17="","",LOOKUP('Bulk Order Details'!E17,Cut[Display],Cut[Code])&amp;LOOKUP('Bulk Order Details'!F17,#REF!,#REF!)&amp;IF('Bulk Order Details'!G17="","",LOOKUP('Bulk Order Details'!G17,Length[Display],Length[Code])))</f>
        <v/>
      </c>
      <c r="AG7" s="179" t="str">
        <f aca="false">IF('Bulk Order Details'!J17="","",IF('Bulk Order Details'!C17="","",'Bulk Order Details'!C17))</f>
        <v/>
      </c>
      <c r="AH7" s="179" t="str">
        <f aca="false">IF('Bulk Order Details'!O17="","","-"&amp;LOOKUP('Bulk Order Details'!O17,#REF!,#REF!))</f>
        <v/>
      </c>
      <c r="AI7" s="179" t="str">
        <f aca="false">IF('Bulk Order Details'!P17="","","-"&amp;LOOKUP('Bulk Order Details'!P17,#REF!,#REF!))</f>
        <v/>
      </c>
      <c r="AJ7" s="179" t="str">
        <f aca="false">IF('Bulk Order Details'!Q17="","","-"&amp;LOOKUP('Bulk Order Details'!Q17,#REF!,#REF!))</f>
        <v/>
      </c>
      <c r="AK7" s="179" t="str">
        <f aca="false">IF('Bulk Order Details'!R17="","","-"&amp;LOOKUP('Bulk Order Details'!R17,#REF!,#REF!))</f>
        <v/>
      </c>
      <c r="AL7" s="179" t="str">
        <f aca="false">IF('Bulk Order Details'!S17="","","-"&amp;LOOKUP('Bulk Order Details'!S17,#REF!,#REF!))</f>
        <v/>
      </c>
      <c r="AM7" s="179" t="str">
        <f aca="false">IF(_xlfn.CONCAT(AH7:AL7)="","","Lo"&amp;_xlfn.CONCAT(AH7:AL7))</f>
        <v/>
      </c>
      <c r="AN7" s="179" t="str">
        <f aca="false">IF('Bulk Order Details'!K17="","","Na-"&amp;'Bulk Order Details'!K17)</f>
        <v/>
      </c>
      <c r="AO7" s="179" t="str">
        <f aca="false">IF('Bulk Order Details'!N17="","","Fo-"&amp;'Bulk Order Details'!N17)</f>
        <v/>
      </c>
      <c r="AP7" s="179" t="str">
        <f aca="false">IF(AE7="","",AE7&amp;"_"&amp;AF7&amp;"_"&amp;AG7&amp;IF(AM7="","","_"&amp;AM7)&amp;IF(AN7="","","_"&amp;AN7)&amp;IF(AO7="","","_"&amp;AO7))</f>
        <v/>
      </c>
      <c r="AQ7" s="218" t="str">
        <f aca="false">IF(X7="","",X7)</f>
        <v/>
      </c>
    </row>
    <row r="8" customFormat="false" ht="13.5" hidden="false" customHeight="true" outlineLevel="0" collapsed="false">
      <c r="B8" s="209" t="n">
        <f aca="false">'Bulk Order Details'!B18</f>
        <v>5</v>
      </c>
      <c r="C8" s="209" t="e">
        <f aca="false">IF('bulk order details'!#ref!="","",'bulk order details'!#ref!&amp;" "&amp;'bulk order details'!#ref!)</f>
        <v>#VALUE!</v>
      </c>
      <c r="D8" s="210" t="str">
        <f aca="false">IF('Bulk Order Details'!J18="","",VLOOKUP(1,Price[],3))</f>
        <v/>
      </c>
      <c r="E8" s="211" t="str">
        <f aca="false">IF('Bulk Order Details'!J18="","",Summary!$D$9)</f>
        <v/>
      </c>
      <c r="F8" s="212" t="str">
        <f aca="false">IF('Bulk Order Details'!F18="","",_xlfn.xlookup('Bulk Order Details'!F18,Size[Display],Size[Price]))</f>
        <v/>
      </c>
      <c r="G8" s="212" t="str">
        <f aca="false">IF('Bulk Order Details'!G18="","",_xlfn.xlookup('Bulk Order Details'!G18,Length[Display],Length[Price]))</f>
        <v/>
      </c>
      <c r="H8" s="212" t="str">
        <f aca="false">IF('Bulk Order Details'!H18="","",_xlfn.xlookup('Bulk Order Details'!H18,Collection[Display],Collection[Price]))</f>
        <v/>
      </c>
      <c r="I8" s="212" t="str">
        <f aca="false">IF('Bulk Order Details'!I18="","",_xlfn.xlookup('Bulk Order Details'!I18,Sleeve[Display],Sleeve[Price]))</f>
        <v/>
      </c>
      <c r="J8" s="212" t="str">
        <f aca="false">IF('Bulk Order Details'!J18="","",_xlfn.xlookup('Bulk Order Details'!J18,Collar[Display],Collar[Price]))</f>
        <v/>
      </c>
      <c r="K8" s="212" t="str">
        <f aca="false">IF('Bulk Order Details'!K18="","",_xlfn.xlookup("Name",Name[Name],Name[Price]))</f>
        <v/>
      </c>
      <c r="L8" s="213" t="str">
        <f aca="false">IFERROR(IF('Bulk Order Details'!O18="","",IF(_xlfn.xlookup('Bulk Order Details'!O18,Logos[Display],Logos[Use])="Flat",_xlfn.xlookup('Bulk Order Details'!O18,Logos[Display],Logos[Flat]),ROUND(_xlfn.xlookup('Bulk Order Details'!O18,Logos[Display],Logos[Pct])*$E8,2))),"")</f>
        <v/>
      </c>
      <c r="M8" s="222" t="str">
        <f aca="false">IFERROR(IF('Bulk Order Details'!P18="","",IF(_xlfn.xlookup('Bulk Order Details'!P18,Chest[Display],Chest[Use])="Flat",_xlfn.xlookup('Bulk Order Details'!P18,Chest[Display],Chest[Flat]),ROUND(_xlfn.xlookup('Bulk Order Details'!P18,Chest[Display],Chest[Pct])*$E8,2))),"")</f>
        <v/>
      </c>
      <c r="N8" s="222" t="str">
        <f aca="false">IFERROR(IF('Bulk Order Details'!Q18="","",IF(_xlfn.xlookup('Bulk Order Details'!Q18,Chest[Display],Chest[Use])="Flat",_xlfn.xlookup('Bulk Order Details'!Q18,Chest[Display],Chest[Flat]),ROUND(_xlfn.xlookup('Bulk Order Details'!Q18,Chest[Display],Chest[Pct])*$E8,2))),"")</f>
        <v/>
      </c>
      <c r="O8" s="222" t="str">
        <f aca="false">IFERROR(IF('Bulk Order Details'!R18="","",IF(_xlfn.xlookup('Bulk Order Details'!R18,LeftSleeve[Display],LeftSleeve[Use])="Flat",_xlfn.xlookup('Bulk Order Details'!R18,LeftSleeve[Display],LeftSleeve[Flat]),ROUND(_xlfn.xlookup('Bulk Order Details'!R18,LeftSleeve[Display],LeftSleeve[Pct])*$E8,2))),"")</f>
        <v/>
      </c>
      <c r="P8" s="222" t="str">
        <f aca="false">IFERROR(IF('Bulk Order Details'!S18="","",IF(_xlfn.xlookup('Bulk Order Details'!S18,RightSleeve[Display],RightSleeve[Use])="Flat",_xlfn.xlookup('Bulk Order Details'!S18,RightSleeve[Display],RightSleeve[Flat]),ROUND(_xlfn.xlookup('Bulk Order Details'!S18,RightSleeve[Display],RightSleeve[Pct])*$E8,2))),"")</f>
        <v/>
      </c>
      <c r="Q8" s="214" t="str">
        <f aca="false">IF('Bulk Order Details'!J18="","",SUM(F8:P8))</f>
        <v/>
      </c>
      <c r="R8" s="213" t="str">
        <f aca="false">IFERROR(E8-D8,"")</f>
        <v/>
      </c>
      <c r="S8" s="215" t="str">
        <f aca="false">IFERROR(MIN(IF(Summary!$D$11="Yes",-J8,0),IF(H8&gt;0,-J8,0)),"")</f>
        <v/>
      </c>
      <c r="T8" s="212" t="str">
        <f aca="false">IFERROR(IF(Summary!$D$10="Yes",-K8,""),"")</f>
        <v/>
      </c>
      <c r="U8" s="213" t="str">
        <f aca="false">IFERROR(IF(Summary!$D$12="Yes",-L8,""),"")</f>
        <v/>
      </c>
      <c r="V8" s="216" t="str">
        <f aca="false">IF('Bulk Order Details'!J18="","",SUM(R8:U8))</f>
        <v/>
      </c>
      <c r="W8" s="217" t="str">
        <f aca="false">IF('Bulk Order Details'!J18="","",D8+Q8)</f>
        <v/>
      </c>
      <c r="X8" s="218" t="str">
        <f aca="false">IF('Bulk Order Details'!J18="","",D8+Q8+V8)</f>
        <v/>
      </c>
      <c r="Y8" s="219" t="str">
        <f aca="false">IFERROR((W8-X8)/W8,"")</f>
        <v/>
      </c>
      <c r="Z8" s="220" t="str">
        <f aca="false">IF('Bulk Order Details'!J18="","",MAX(1,'Bulk Order Details'!D18))</f>
        <v/>
      </c>
      <c r="AA8" s="217" t="str">
        <f aca="false">IF(Pricing_Details[[#This Row],[Quantity]]="","",Pricing_Details[[#This Row],[Retail Price]]*Pricing_Details[[#This Row],[Quantity]])</f>
        <v/>
      </c>
      <c r="AB8" s="217" t="str">
        <f aca="false">IF(Pricing_Details[[#This Row],[Quantity]]="","",Pricing_Details[[#This Row],[Total Discount]]*Pricing_Details[[#This Row],[Quantity]])</f>
        <v/>
      </c>
      <c r="AC8" s="221" t="str">
        <f aca="false">IFERROR(ROUND(Pricing_Details[[#This Row],[Actual Price]]*Pricing_Details[[#This Row],[Quantity]],2),"")</f>
        <v/>
      </c>
      <c r="AE8" s="179" t="str">
        <f aca="false">IF('Bulk Order Details'!J18="","",VLOOKUP('Bulk Order Details'!H18,Collection[],3)&amp;VLOOKUP('Bulk Order Details'!J18,Collar[],4)&amp;VLOOKUP('Bulk Order Details'!I18,Sleeve[],4))</f>
        <v/>
      </c>
      <c r="AF8" s="179" t="str">
        <f aca="false">IF('Bulk Order Details'!J18="","",LOOKUP('Bulk Order Details'!E18,Cut[Display],Cut[Code])&amp;LOOKUP('Bulk Order Details'!F18,#REF!,#REF!)&amp;IF('Bulk Order Details'!G18="","",LOOKUP('Bulk Order Details'!G18,Length[Display],Length[Code])))</f>
        <v/>
      </c>
      <c r="AG8" s="179" t="str">
        <f aca="false">IF('Bulk Order Details'!J18="","",IF('Bulk Order Details'!C18="","",'Bulk Order Details'!C18))</f>
        <v/>
      </c>
      <c r="AH8" s="179" t="str">
        <f aca="false">IF('Bulk Order Details'!O18="","","-"&amp;LOOKUP('Bulk Order Details'!O18,#REF!,#REF!))</f>
        <v/>
      </c>
      <c r="AI8" s="179" t="str">
        <f aca="false">IF('Bulk Order Details'!P18="","","-"&amp;LOOKUP('Bulk Order Details'!P18,#REF!,#REF!))</f>
        <v/>
      </c>
      <c r="AJ8" s="179" t="str">
        <f aca="false">IF('Bulk Order Details'!Q18="","","-"&amp;LOOKUP('Bulk Order Details'!Q18,#REF!,#REF!))</f>
        <v/>
      </c>
      <c r="AK8" s="179" t="str">
        <f aca="false">IF('Bulk Order Details'!R18="","","-"&amp;LOOKUP('Bulk Order Details'!R18,#REF!,#REF!))</f>
        <v/>
      </c>
      <c r="AL8" s="179" t="str">
        <f aca="false">IF('Bulk Order Details'!S18="","","-"&amp;LOOKUP('Bulk Order Details'!S18,#REF!,#REF!))</f>
        <v/>
      </c>
      <c r="AM8" s="179" t="str">
        <f aca="false">IF(_xlfn.CONCAT(AH8:AL8)="","","Lo"&amp;_xlfn.CONCAT(AH8:AL8))</f>
        <v/>
      </c>
      <c r="AN8" s="179" t="str">
        <f aca="false">IF('Bulk Order Details'!K18="","","Na-"&amp;'Bulk Order Details'!K18)</f>
        <v/>
      </c>
      <c r="AO8" s="179" t="str">
        <f aca="false">IF('Bulk Order Details'!N18="","","Fo-"&amp;'Bulk Order Details'!N18)</f>
        <v/>
      </c>
      <c r="AP8" s="179" t="str">
        <f aca="false">IF(AE8="","",AE8&amp;"_"&amp;AF8&amp;"_"&amp;AG8&amp;IF(AM8="","","_"&amp;AM8)&amp;IF(AN8="","","_"&amp;AN8)&amp;IF(AO8="","","_"&amp;AO8))</f>
        <v/>
      </c>
      <c r="AQ8" s="218" t="str">
        <f aca="false">IF(X8="","",X8)</f>
        <v/>
      </c>
    </row>
    <row r="9" customFormat="false" ht="13.5" hidden="false" customHeight="true" outlineLevel="0" collapsed="false">
      <c r="B9" s="209" t="n">
        <f aca="false">'Bulk Order Details'!B19</f>
        <v>6</v>
      </c>
      <c r="C9" s="209" t="e">
        <f aca="false">IF('bulk order details'!#ref!="","",'bulk order details'!#ref!&amp;" "&amp;'bulk order details'!#ref!)</f>
        <v>#VALUE!</v>
      </c>
      <c r="D9" s="210" t="str">
        <f aca="false">IF('Bulk Order Details'!J19="","",VLOOKUP(1,Price[],3))</f>
        <v/>
      </c>
      <c r="E9" s="211" t="str">
        <f aca="false">IF('Bulk Order Details'!J19="","",Summary!$D$9)</f>
        <v/>
      </c>
      <c r="F9" s="212" t="str">
        <f aca="false">IF('Bulk Order Details'!F19="","",_xlfn.xlookup('Bulk Order Details'!F19,Size[Display],Size[Price]))</f>
        <v/>
      </c>
      <c r="G9" s="212" t="str">
        <f aca="false">IF('Bulk Order Details'!G19="","",_xlfn.xlookup('Bulk Order Details'!G19,Length[Display],Length[Price]))</f>
        <v/>
      </c>
      <c r="H9" s="212" t="str">
        <f aca="false">IF('Bulk Order Details'!H19="","",_xlfn.xlookup('Bulk Order Details'!H19,Collection[Display],Collection[Price]))</f>
        <v/>
      </c>
      <c r="I9" s="212" t="str">
        <f aca="false">IF('Bulk Order Details'!I19="","",_xlfn.xlookup('Bulk Order Details'!I19,Sleeve[Display],Sleeve[Price]))</f>
        <v/>
      </c>
      <c r="J9" s="212" t="str">
        <f aca="false">IF('Bulk Order Details'!J19="","",_xlfn.xlookup('Bulk Order Details'!J19,Collar[Display],Collar[Price]))</f>
        <v/>
      </c>
      <c r="K9" s="212" t="str">
        <f aca="false">IF('Bulk Order Details'!K19="","",_xlfn.xlookup("Name",Name[Name],Name[Price]))</f>
        <v/>
      </c>
      <c r="L9" s="213" t="str">
        <f aca="false">IFERROR(IF('Bulk Order Details'!O19="","",IF(_xlfn.xlookup('Bulk Order Details'!O19,Logos[Display],Logos[Use])="Flat",_xlfn.xlookup('Bulk Order Details'!O19,Logos[Display],Logos[Flat]),ROUND(_xlfn.xlookup('Bulk Order Details'!O19,Logos[Display],Logos[Pct])*$E9,2))),"")</f>
        <v/>
      </c>
      <c r="M9" s="222" t="str">
        <f aca="false">IFERROR(IF('Bulk Order Details'!P19="","",IF(_xlfn.xlookup('Bulk Order Details'!P19,Chest[Display],Chest[Use])="Flat",_xlfn.xlookup('Bulk Order Details'!P19,Chest[Display],Chest[Flat]),ROUND(_xlfn.xlookup('Bulk Order Details'!P19,Chest[Display],Chest[Pct])*$E9,2))),"")</f>
        <v/>
      </c>
      <c r="N9" s="222" t="str">
        <f aca="false">IFERROR(IF('Bulk Order Details'!Q19="","",IF(_xlfn.xlookup('Bulk Order Details'!Q19,Chest[Display],Chest[Use])="Flat",_xlfn.xlookup('Bulk Order Details'!Q19,Chest[Display],Chest[Flat]),ROUND(_xlfn.xlookup('Bulk Order Details'!Q19,Chest[Display],Chest[Pct])*$E9,2))),"")</f>
        <v/>
      </c>
      <c r="O9" s="222" t="str">
        <f aca="false">IFERROR(IF('Bulk Order Details'!R19="","",IF(_xlfn.xlookup('Bulk Order Details'!R19,LeftSleeve[Display],LeftSleeve[Use])="Flat",_xlfn.xlookup('Bulk Order Details'!R19,LeftSleeve[Display],LeftSleeve[Flat]),ROUND(_xlfn.xlookup('Bulk Order Details'!R19,LeftSleeve[Display],LeftSleeve[Pct])*$E9,2))),"")</f>
        <v/>
      </c>
      <c r="P9" s="222" t="str">
        <f aca="false">IFERROR(IF('Bulk Order Details'!S19="","",IF(_xlfn.xlookup('Bulk Order Details'!S19,RightSleeve[Display],RightSleeve[Use])="Flat",_xlfn.xlookup('Bulk Order Details'!S19,RightSleeve[Display],RightSleeve[Flat]),ROUND(_xlfn.xlookup('Bulk Order Details'!S19,RightSleeve[Display],RightSleeve[Pct])*$E9,2))),"")</f>
        <v/>
      </c>
      <c r="Q9" s="214" t="str">
        <f aca="false">IF('Bulk Order Details'!J19="","",SUM(F9:P9))</f>
        <v/>
      </c>
      <c r="R9" s="213" t="str">
        <f aca="false">IFERROR(E9-D9,"")</f>
        <v/>
      </c>
      <c r="S9" s="215" t="str">
        <f aca="false">IFERROR(MIN(IF(Summary!$D$11="Yes",-J9,0),IF(H9&gt;0,-J9,0)),"")</f>
        <v/>
      </c>
      <c r="T9" s="212" t="str">
        <f aca="false">IFERROR(IF(Summary!$D$10="Yes",-K9,""),"")</f>
        <v/>
      </c>
      <c r="U9" s="213" t="str">
        <f aca="false">IFERROR(IF(Summary!$D$12="Yes",-L9,""),"")</f>
        <v/>
      </c>
      <c r="V9" s="216" t="str">
        <f aca="false">IF('Bulk Order Details'!J19="","",SUM(R9:U9))</f>
        <v/>
      </c>
      <c r="W9" s="217" t="str">
        <f aca="false">IF('Bulk Order Details'!J19="","",D9+Q9)</f>
        <v/>
      </c>
      <c r="X9" s="218" t="str">
        <f aca="false">IF('Bulk Order Details'!J19="","",D9+Q9+V9)</f>
        <v/>
      </c>
      <c r="Y9" s="219" t="str">
        <f aca="false">IFERROR((W9-X9)/W9,"")</f>
        <v/>
      </c>
      <c r="Z9" s="220" t="str">
        <f aca="false">IF('Bulk Order Details'!J19="","",MAX(1,'Bulk Order Details'!D19))</f>
        <v/>
      </c>
      <c r="AA9" s="217" t="str">
        <f aca="false">IF(Pricing_Details[[#This Row],[Quantity]]="","",Pricing_Details[[#This Row],[Retail Price]]*Pricing_Details[[#This Row],[Quantity]])</f>
        <v/>
      </c>
      <c r="AB9" s="217" t="str">
        <f aca="false">IF(Pricing_Details[[#This Row],[Quantity]]="","",Pricing_Details[[#This Row],[Total Discount]]*Pricing_Details[[#This Row],[Quantity]])</f>
        <v/>
      </c>
      <c r="AC9" s="221" t="str">
        <f aca="false">IFERROR(ROUND(Pricing_Details[[#This Row],[Actual Price]]*Pricing_Details[[#This Row],[Quantity]],2),"")</f>
        <v/>
      </c>
      <c r="AE9" s="179" t="str">
        <f aca="false">IF('Bulk Order Details'!J19="","",VLOOKUP('Bulk Order Details'!H19,Collection[],3)&amp;VLOOKUP('Bulk Order Details'!J19,Collar[],4)&amp;VLOOKUP('Bulk Order Details'!I19,Sleeve[],4))</f>
        <v/>
      </c>
      <c r="AF9" s="179" t="str">
        <f aca="false">IF('Bulk Order Details'!J19="","",LOOKUP('Bulk Order Details'!E19,Cut[Display],Cut[Code])&amp;LOOKUP('Bulk Order Details'!F19,#REF!,#REF!)&amp;IF('Bulk Order Details'!G19="","",LOOKUP('Bulk Order Details'!G19,Length[Display],Length[Code])))</f>
        <v/>
      </c>
      <c r="AG9" s="179" t="str">
        <f aca="false">IF('Bulk Order Details'!J19="","",IF('Bulk Order Details'!C19="","",'Bulk Order Details'!C19))</f>
        <v/>
      </c>
      <c r="AH9" s="179" t="str">
        <f aca="false">IF('Bulk Order Details'!O19="","","-"&amp;LOOKUP('Bulk Order Details'!O19,#REF!,#REF!))</f>
        <v/>
      </c>
      <c r="AI9" s="179" t="str">
        <f aca="false">IF('Bulk Order Details'!P19="","","-"&amp;LOOKUP('Bulk Order Details'!P19,#REF!,#REF!))</f>
        <v/>
      </c>
      <c r="AJ9" s="179" t="str">
        <f aca="false">IF('Bulk Order Details'!Q19="","","-"&amp;LOOKUP('Bulk Order Details'!Q19,#REF!,#REF!))</f>
        <v/>
      </c>
      <c r="AK9" s="179" t="str">
        <f aca="false">IF('Bulk Order Details'!R19="","","-"&amp;LOOKUP('Bulk Order Details'!R19,#REF!,#REF!))</f>
        <v/>
      </c>
      <c r="AL9" s="179" t="str">
        <f aca="false">IF('Bulk Order Details'!S19="","","-"&amp;LOOKUP('Bulk Order Details'!S19,#REF!,#REF!))</f>
        <v/>
      </c>
      <c r="AM9" s="179" t="str">
        <f aca="false">IF(_xlfn.CONCAT(AH9:AL9)="","","Lo"&amp;_xlfn.CONCAT(AH9:AL9))</f>
        <v/>
      </c>
      <c r="AN9" s="179" t="str">
        <f aca="false">IF('Bulk Order Details'!K19="","","Na-"&amp;'Bulk Order Details'!K19)</f>
        <v/>
      </c>
      <c r="AO9" s="179" t="str">
        <f aca="false">IF('Bulk Order Details'!N19="","","Fo-"&amp;'Bulk Order Details'!N19)</f>
        <v/>
      </c>
      <c r="AP9" s="179" t="str">
        <f aca="false">IF(AE9="","",AE9&amp;"_"&amp;AF9&amp;"_"&amp;AG9&amp;IF(AM9="","","_"&amp;AM9)&amp;IF(AN9="","","_"&amp;AN9)&amp;IF(AO9="","","_"&amp;AO9))</f>
        <v/>
      </c>
      <c r="AQ9" s="218" t="str">
        <f aca="false">IF(X9="","",X9)</f>
        <v/>
      </c>
    </row>
    <row r="10" customFormat="false" ht="13.5" hidden="false" customHeight="true" outlineLevel="0" collapsed="false">
      <c r="B10" s="209" t="n">
        <f aca="false">'Bulk Order Details'!B20</f>
        <v>7</v>
      </c>
      <c r="C10" s="209" t="e">
        <f aca="false">IF('bulk order details'!#ref!="","",'bulk order details'!#ref!&amp;" "&amp;'bulk order details'!#ref!)</f>
        <v>#VALUE!</v>
      </c>
      <c r="D10" s="210" t="str">
        <f aca="false">IF('Bulk Order Details'!J20="","",VLOOKUP(1,Price[],3))</f>
        <v/>
      </c>
      <c r="E10" s="211" t="str">
        <f aca="false">IF('Bulk Order Details'!J20="","",Summary!$D$9)</f>
        <v/>
      </c>
      <c r="F10" s="212" t="str">
        <f aca="false">IF('Bulk Order Details'!F20="","",_xlfn.xlookup('Bulk Order Details'!F20,Size[Display],Size[Price]))</f>
        <v/>
      </c>
      <c r="G10" s="212" t="str">
        <f aca="false">IF('Bulk Order Details'!G20="","",_xlfn.xlookup('Bulk Order Details'!G20,Length[Display],Length[Price]))</f>
        <v/>
      </c>
      <c r="H10" s="212" t="str">
        <f aca="false">IF('Bulk Order Details'!H20="","",_xlfn.xlookup('Bulk Order Details'!H20,Collection[Display],Collection[Price]))</f>
        <v/>
      </c>
      <c r="I10" s="212" t="str">
        <f aca="false">IF('Bulk Order Details'!I20="","",_xlfn.xlookup('Bulk Order Details'!I20,Sleeve[Display],Sleeve[Price]))</f>
        <v/>
      </c>
      <c r="J10" s="212" t="str">
        <f aca="false">IF('Bulk Order Details'!J20="","",_xlfn.xlookup('Bulk Order Details'!J20,Collar[Display],Collar[Price]))</f>
        <v/>
      </c>
      <c r="K10" s="212" t="str">
        <f aca="false">IF('Bulk Order Details'!K20="","",_xlfn.xlookup("Name",Name[Name],Name[Price]))</f>
        <v/>
      </c>
      <c r="L10" s="213" t="str">
        <f aca="false">IFERROR(IF('Bulk Order Details'!O20="","",IF(_xlfn.xlookup('Bulk Order Details'!O20,Logos[Display],Logos[Use])="Flat",_xlfn.xlookup('Bulk Order Details'!O20,Logos[Display],Logos[Flat]),ROUND(_xlfn.xlookup('Bulk Order Details'!O20,Logos[Display],Logos[Pct])*$E10,2))),"")</f>
        <v/>
      </c>
      <c r="M10" s="222" t="str">
        <f aca="false">IFERROR(IF('Bulk Order Details'!P20="","",IF(_xlfn.xlookup('Bulk Order Details'!P20,Chest[Display],Chest[Use])="Flat",_xlfn.xlookup('Bulk Order Details'!P20,Chest[Display],Chest[Flat]),ROUND(_xlfn.xlookup('Bulk Order Details'!P20,Chest[Display],Chest[Pct])*$E10,2))),"")</f>
        <v/>
      </c>
      <c r="N10" s="222" t="str">
        <f aca="false">IFERROR(IF('Bulk Order Details'!Q20="","",IF(_xlfn.xlookup('Bulk Order Details'!Q20,Chest[Display],Chest[Use])="Flat",_xlfn.xlookup('Bulk Order Details'!Q20,Chest[Display],Chest[Flat]),ROUND(_xlfn.xlookup('Bulk Order Details'!Q20,Chest[Display],Chest[Pct])*$E10,2))),"")</f>
        <v/>
      </c>
      <c r="O10" s="222" t="str">
        <f aca="false">IFERROR(IF('Bulk Order Details'!R20="","",IF(_xlfn.xlookup('Bulk Order Details'!R20,LeftSleeve[Display],LeftSleeve[Use])="Flat",_xlfn.xlookup('Bulk Order Details'!R20,LeftSleeve[Display],LeftSleeve[Flat]),ROUND(_xlfn.xlookup('Bulk Order Details'!R20,LeftSleeve[Display],LeftSleeve[Pct])*$E10,2))),"")</f>
        <v/>
      </c>
      <c r="P10" s="222" t="str">
        <f aca="false">IFERROR(IF('Bulk Order Details'!S20="","",IF(_xlfn.xlookup('Bulk Order Details'!S20,RightSleeve[Display],RightSleeve[Use])="Flat",_xlfn.xlookup('Bulk Order Details'!S20,RightSleeve[Display],RightSleeve[Flat]),ROUND(_xlfn.xlookup('Bulk Order Details'!S20,RightSleeve[Display],RightSleeve[Pct])*$E10,2))),"")</f>
        <v/>
      </c>
      <c r="Q10" s="214" t="str">
        <f aca="false">IF('Bulk Order Details'!J20="","",SUM(F10:P10))</f>
        <v/>
      </c>
      <c r="R10" s="213" t="str">
        <f aca="false">IFERROR(E10-D10,"")</f>
        <v/>
      </c>
      <c r="S10" s="215" t="str">
        <f aca="false">IFERROR(MIN(IF(Summary!$D$11="Yes",-J10,0),IF(H10&gt;0,-J10,0)),"")</f>
        <v/>
      </c>
      <c r="T10" s="212" t="str">
        <f aca="false">IFERROR(IF(Summary!$D$10="Yes",-K10,""),"")</f>
        <v/>
      </c>
      <c r="U10" s="213" t="str">
        <f aca="false">IFERROR(IF(Summary!$D$12="Yes",-L10,""),"")</f>
        <v/>
      </c>
      <c r="V10" s="216" t="str">
        <f aca="false">IF('Bulk Order Details'!J20="","",SUM(R10:U10))</f>
        <v/>
      </c>
      <c r="W10" s="217" t="str">
        <f aca="false">IF('Bulk Order Details'!J20="","",D10+Q10)</f>
        <v/>
      </c>
      <c r="X10" s="218" t="str">
        <f aca="false">IF('Bulk Order Details'!J20="","",D10+Q10+V10)</f>
        <v/>
      </c>
      <c r="Y10" s="219" t="str">
        <f aca="false">IFERROR((W10-X10)/W10,"")</f>
        <v/>
      </c>
      <c r="Z10" s="220" t="str">
        <f aca="false">IF('Bulk Order Details'!J20="","",MAX(1,'Bulk Order Details'!D20))</f>
        <v/>
      </c>
      <c r="AA10" s="217" t="str">
        <f aca="false">IF(Pricing_Details[[#This Row],[Quantity]]="","",Pricing_Details[[#This Row],[Retail Price]]*Pricing_Details[[#This Row],[Quantity]])</f>
        <v/>
      </c>
      <c r="AB10" s="217" t="str">
        <f aca="false">IF(Pricing_Details[[#This Row],[Quantity]]="","",Pricing_Details[[#This Row],[Total Discount]]*Pricing_Details[[#This Row],[Quantity]])</f>
        <v/>
      </c>
      <c r="AC10" s="221" t="str">
        <f aca="false">IFERROR(ROUND(Pricing_Details[[#This Row],[Actual Price]]*Pricing_Details[[#This Row],[Quantity]],2),"")</f>
        <v/>
      </c>
      <c r="AE10" s="179" t="str">
        <f aca="false">IF('Bulk Order Details'!J20="","",VLOOKUP('Bulk Order Details'!H20,Collection[],3)&amp;VLOOKUP('Bulk Order Details'!J20,Collar[],4)&amp;VLOOKUP('Bulk Order Details'!I20,Sleeve[],4))</f>
        <v/>
      </c>
      <c r="AF10" s="179" t="str">
        <f aca="false">IF('Bulk Order Details'!J20="","",LOOKUP('Bulk Order Details'!E20,Cut[Display],Cut[Code])&amp;LOOKUP('Bulk Order Details'!F20,#REF!,#REF!)&amp;IF('Bulk Order Details'!G20="","",LOOKUP('Bulk Order Details'!G20,Length[Display],Length[Code])))</f>
        <v/>
      </c>
      <c r="AG10" s="179" t="str">
        <f aca="false">IF('Bulk Order Details'!J20="","",IF('Bulk Order Details'!C20="","",'Bulk Order Details'!C20))</f>
        <v/>
      </c>
      <c r="AH10" s="179" t="str">
        <f aca="false">IF('Bulk Order Details'!O20="","","-"&amp;LOOKUP('Bulk Order Details'!O20,#REF!,#REF!))</f>
        <v/>
      </c>
      <c r="AI10" s="179" t="str">
        <f aca="false">IF('Bulk Order Details'!P20="","","-"&amp;LOOKUP('Bulk Order Details'!P20,#REF!,#REF!))</f>
        <v/>
      </c>
      <c r="AJ10" s="179" t="str">
        <f aca="false">IF('Bulk Order Details'!Q20="","","-"&amp;LOOKUP('Bulk Order Details'!Q20,#REF!,#REF!))</f>
        <v/>
      </c>
      <c r="AK10" s="179" t="str">
        <f aca="false">IF('Bulk Order Details'!R20="","","-"&amp;LOOKUP('Bulk Order Details'!R20,#REF!,#REF!))</f>
        <v/>
      </c>
      <c r="AL10" s="179" t="str">
        <f aca="false">IF('Bulk Order Details'!S20="","","-"&amp;LOOKUP('Bulk Order Details'!S20,#REF!,#REF!))</f>
        <v/>
      </c>
      <c r="AM10" s="179" t="str">
        <f aca="false">IF(_xlfn.CONCAT(AH10:AL10)="","","Lo"&amp;_xlfn.CONCAT(AH10:AL10))</f>
        <v/>
      </c>
      <c r="AN10" s="179" t="str">
        <f aca="false">IF('Bulk Order Details'!K20="","","Na-"&amp;'Bulk Order Details'!K20)</f>
        <v/>
      </c>
      <c r="AO10" s="179" t="str">
        <f aca="false">IF('Bulk Order Details'!N20="","","Fo-"&amp;'Bulk Order Details'!N20)</f>
        <v/>
      </c>
      <c r="AP10" s="179" t="str">
        <f aca="false">IF(AE10="","",AE10&amp;"_"&amp;AF10&amp;"_"&amp;AG10&amp;IF(AM10="","","_"&amp;AM10)&amp;IF(AN10="","","_"&amp;AN10)&amp;IF(AO10="","","_"&amp;AO10))</f>
        <v/>
      </c>
      <c r="AQ10" s="218" t="str">
        <f aca="false">IF(X10="","",X10)</f>
        <v/>
      </c>
    </row>
    <row r="11" customFormat="false" ht="13.5" hidden="false" customHeight="true" outlineLevel="0" collapsed="false">
      <c r="B11" s="209" t="n">
        <f aca="false">'Bulk Order Details'!B21</f>
        <v>8</v>
      </c>
      <c r="C11" s="209" t="e">
        <f aca="false">IF('bulk order details'!#ref!="","",'bulk order details'!#ref!&amp;" "&amp;'bulk order details'!#ref!)</f>
        <v>#VALUE!</v>
      </c>
      <c r="D11" s="210" t="str">
        <f aca="false">IF('Bulk Order Details'!J21="","",VLOOKUP(1,Price[],3))</f>
        <v/>
      </c>
      <c r="E11" s="211" t="str">
        <f aca="false">IF('Bulk Order Details'!J21="","",Summary!$D$9)</f>
        <v/>
      </c>
      <c r="F11" s="212" t="str">
        <f aca="false">IF('Bulk Order Details'!F21="","",_xlfn.xlookup('Bulk Order Details'!F21,Size[Display],Size[Price]))</f>
        <v/>
      </c>
      <c r="G11" s="212" t="str">
        <f aca="false">IF('Bulk Order Details'!G21="","",_xlfn.xlookup('Bulk Order Details'!G21,Length[Display],Length[Price]))</f>
        <v/>
      </c>
      <c r="H11" s="212" t="str">
        <f aca="false">IF('Bulk Order Details'!H21="","",_xlfn.xlookup('Bulk Order Details'!H21,Collection[Display],Collection[Price]))</f>
        <v/>
      </c>
      <c r="I11" s="212" t="str">
        <f aca="false">IF('Bulk Order Details'!I21="","",_xlfn.xlookup('Bulk Order Details'!I21,Sleeve[Display],Sleeve[Price]))</f>
        <v/>
      </c>
      <c r="J11" s="212" t="str">
        <f aca="false">IF('Bulk Order Details'!J21="","",_xlfn.xlookup('Bulk Order Details'!J21,Collar[Display],Collar[Price]))</f>
        <v/>
      </c>
      <c r="K11" s="212" t="str">
        <f aca="false">IF('Bulk Order Details'!K21="","",_xlfn.xlookup("Name",Name[Name],Name[Price]))</f>
        <v/>
      </c>
      <c r="L11" s="213" t="str">
        <f aca="false">IFERROR(IF('Bulk Order Details'!O21="","",IF(_xlfn.xlookup('Bulk Order Details'!O21,Logos[Display],Logos[Use])="Flat",_xlfn.xlookup('Bulk Order Details'!O21,Logos[Display],Logos[Flat]),ROUND(_xlfn.xlookup('Bulk Order Details'!O21,Logos[Display],Logos[Pct])*$E11,2))),"")</f>
        <v/>
      </c>
      <c r="M11" s="222" t="str">
        <f aca="false">IFERROR(IF('Bulk Order Details'!P21="","",IF(_xlfn.xlookup('Bulk Order Details'!P21,Chest[Display],Chest[Use])="Flat",_xlfn.xlookup('Bulk Order Details'!P21,Chest[Display],Chest[Flat]),ROUND(_xlfn.xlookup('Bulk Order Details'!P21,Chest[Display],Chest[Pct])*$E11,2))),"")</f>
        <v/>
      </c>
      <c r="N11" s="222" t="str">
        <f aca="false">IFERROR(IF('Bulk Order Details'!Q21="","",IF(_xlfn.xlookup('Bulk Order Details'!Q21,Chest[Display],Chest[Use])="Flat",_xlfn.xlookup('Bulk Order Details'!Q21,Chest[Display],Chest[Flat]),ROUND(_xlfn.xlookup('Bulk Order Details'!Q21,Chest[Display],Chest[Pct])*$E11,2))),"")</f>
        <v/>
      </c>
      <c r="O11" s="222" t="str">
        <f aca="false">IFERROR(IF('Bulk Order Details'!R21="","",IF(_xlfn.xlookup('Bulk Order Details'!R21,LeftSleeve[Display],LeftSleeve[Use])="Flat",_xlfn.xlookup('Bulk Order Details'!R21,LeftSleeve[Display],LeftSleeve[Flat]),ROUND(_xlfn.xlookup('Bulk Order Details'!R21,LeftSleeve[Display],LeftSleeve[Pct])*$E11,2))),"")</f>
        <v/>
      </c>
      <c r="P11" s="222" t="str">
        <f aca="false">IFERROR(IF('Bulk Order Details'!S21="","",IF(_xlfn.xlookup('Bulk Order Details'!S21,RightSleeve[Display],RightSleeve[Use])="Flat",_xlfn.xlookup('Bulk Order Details'!S21,RightSleeve[Display],RightSleeve[Flat]),ROUND(_xlfn.xlookup('Bulk Order Details'!S21,RightSleeve[Display],RightSleeve[Pct])*$E11,2))),"")</f>
        <v/>
      </c>
      <c r="Q11" s="214" t="str">
        <f aca="false">IF('Bulk Order Details'!J21="","",SUM(F11:P11))</f>
        <v/>
      </c>
      <c r="R11" s="213" t="str">
        <f aca="false">IFERROR(E11-D11,"")</f>
        <v/>
      </c>
      <c r="S11" s="215" t="str">
        <f aca="false">IFERROR(MIN(IF(Summary!$D$11="Yes",-J11,0),IF(H11&gt;0,-J11,0)),"")</f>
        <v/>
      </c>
      <c r="T11" s="212" t="str">
        <f aca="false">IFERROR(IF(Summary!$D$10="Yes",-K11,""),"")</f>
        <v/>
      </c>
      <c r="U11" s="213" t="str">
        <f aca="false">IFERROR(IF(Summary!$D$12="Yes",-L11,""),"")</f>
        <v/>
      </c>
      <c r="V11" s="216" t="str">
        <f aca="false">IF('Bulk Order Details'!J21="","",SUM(R11:U11))</f>
        <v/>
      </c>
      <c r="W11" s="217" t="str">
        <f aca="false">IF('Bulk Order Details'!J21="","",D11+Q11)</f>
        <v/>
      </c>
      <c r="X11" s="218" t="str">
        <f aca="false">IF('Bulk Order Details'!J21="","",D11+Q11+V11)</f>
        <v/>
      </c>
      <c r="Y11" s="219" t="str">
        <f aca="false">IFERROR((W11-X11)/W11,"")</f>
        <v/>
      </c>
      <c r="Z11" s="220" t="str">
        <f aca="false">IF('Bulk Order Details'!J21="","",MAX(1,'Bulk Order Details'!D21))</f>
        <v/>
      </c>
      <c r="AA11" s="217" t="str">
        <f aca="false">IF(Pricing_Details[[#This Row],[Quantity]]="","",Pricing_Details[[#This Row],[Retail Price]]*Pricing_Details[[#This Row],[Quantity]])</f>
        <v/>
      </c>
      <c r="AB11" s="217" t="str">
        <f aca="false">IF(Pricing_Details[[#This Row],[Quantity]]="","",Pricing_Details[[#This Row],[Total Discount]]*Pricing_Details[[#This Row],[Quantity]])</f>
        <v/>
      </c>
      <c r="AC11" s="221" t="str">
        <f aca="false">IFERROR(ROUND(Pricing_Details[[#This Row],[Actual Price]]*Pricing_Details[[#This Row],[Quantity]],2),"")</f>
        <v/>
      </c>
      <c r="AE11" s="179" t="str">
        <f aca="false">IF('Bulk Order Details'!J21="","",VLOOKUP('Bulk Order Details'!H21,Collection[],3)&amp;VLOOKUP('Bulk Order Details'!J21,Collar[],4)&amp;VLOOKUP('Bulk Order Details'!I21,Sleeve[],4))</f>
        <v/>
      </c>
      <c r="AF11" s="179" t="str">
        <f aca="false">IF('Bulk Order Details'!J21="","",LOOKUP('Bulk Order Details'!E21,Cut[Display],Cut[Code])&amp;LOOKUP('Bulk Order Details'!F21,#REF!,#REF!)&amp;IF('Bulk Order Details'!G21="","",LOOKUP('Bulk Order Details'!G21,Length[Display],Length[Code])))</f>
        <v/>
      </c>
      <c r="AG11" s="179" t="str">
        <f aca="false">IF('Bulk Order Details'!J21="","",IF('Bulk Order Details'!C21="","",'Bulk Order Details'!C21))</f>
        <v/>
      </c>
      <c r="AH11" s="179" t="str">
        <f aca="false">IF('Bulk Order Details'!O21="","","-"&amp;LOOKUP('Bulk Order Details'!O21,#REF!,#REF!))</f>
        <v/>
      </c>
      <c r="AI11" s="179" t="str">
        <f aca="false">IF('Bulk Order Details'!P21="","","-"&amp;LOOKUP('Bulk Order Details'!P21,#REF!,#REF!))</f>
        <v/>
      </c>
      <c r="AJ11" s="179" t="str">
        <f aca="false">IF('Bulk Order Details'!Q21="","","-"&amp;LOOKUP('Bulk Order Details'!Q21,#REF!,#REF!))</f>
        <v/>
      </c>
      <c r="AK11" s="179" t="str">
        <f aca="false">IF('Bulk Order Details'!R21="","","-"&amp;LOOKUP('Bulk Order Details'!R21,#REF!,#REF!))</f>
        <v/>
      </c>
      <c r="AL11" s="179" t="str">
        <f aca="false">IF('Bulk Order Details'!S21="","","-"&amp;LOOKUP('Bulk Order Details'!S21,#REF!,#REF!))</f>
        <v/>
      </c>
      <c r="AM11" s="179" t="str">
        <f aca="false">IF(_xlfn.CONCAT(AH11:AL11)="","","Lo"&amp;_xlfn.CONCAT(AH11:AL11))</f>
        <v/>
      </c>
      <c r="AN11" s="179" t="str">
        <f aca="false">IF('Bulk Order Details'!K21="","","Na-"&amp;'Bulk Order Details'!K21)</f>
        <v/>
      </c>
      <c r="AO11" s="179" t="str">
        <f aca="false">IF('Bulk Order Details'!N21="","","Fo-"&amp;'Bulk Order Details'!N21)</f>
        <v/>
      </c>
      <c r="AP11" s="179" t="str">
        <f aca="false">IF(AE11="","",AE11&amp;"_"&amp;AF11&amp;"_"&amp;AG11&amp;IF(AM11="","","_"&amp;AM11)&amp;IF(AN11="","","_"&amp;AN11)&amp;IF(AO11="","","_"&amp;AO11))</f>
        <v/>
      </c>
      <c r="AQ11" s="218" t="str">
        <f aca="false">IF(X11="","",X11)</f>
        <v/>
      </c>
    </row>
    <row r="12" customFormat="false" ht="13.5" hidden="false" customHeight="true" outlineLevel="0" collapsed="false">
      <c r="B12" s="209" t="n">
        <f aca="false">'Bulk Order Details'!B22</f>
        <v>9</v>
      </c>
      <c r="C12" s="209" t="e">
        <f aca="false">IF('bulk order details'!#ref!="","",'bulk order details'!#ref!&amp;" "&amp;'bulk order details'!#ref!)</f>
        <v>#VALUE!</v>
      </c>
      <c r="D12" s="210" t="str">
        <f aca="false">IF('Bulk Order Details'!J22="","",VLOOKUP(1,Price[],3))</f>
        <v/>
      </c>
      <c r="E12" s="211" t="str">
        <f aca="false">IF('Bulk Order Details'!J22="","",Summary!$D$9)</f>
        <v/>
      </c>
      <c r="F12" s="212" t="str">
        <f aca="false">IF('Bulk Order Details'!F22="","",_xlfn.xlookup('Bulk Order Details'!F22,Size[Display],Size[Price]))</f>
        <v/>
      </c>
      <c r="G12" s="212" t="str">
        <f aca="false">IF('Bulk Order Details'!G22="","",_xlfn.xlookup('Bulk Order Details'!G22,Length[Display],Length[Price]))</f>
        <v/>
      </c>
      <c r="H12" s="212" t="str">
        <f aca="false">IF('Bulk Order Details'!H22="","",_xlfn.xlookup('Bulk Order Details'!H22,Collection[Display],Collection[Price]))</f>
        <v/>
      </c>
      <c r="I12" s="212" t="str">
        <f aca="false">IF('Bulk Order Details'!I22="","",_xlfn.xlookup('Bulk Order Details'!I22,Sleeve[Display],Sleeve[Price]))</f>
        <v/>
      </c>
      <c r="J12" s="212" t="str">
        <f aca="false">IF('Bulk Order Details'!J22="","",_xlfn.xlookup('Bulk Order Details'!J22,Collar[Display],Collar[Price]))</f>
        <v/>
      </c>
      <c r="K12" s="212" t="str">
        <f aca="false">IF('Bulk Order Details'!K22="","",_xlfn.xlookup("Name",Name[Name],Name[Price]))</f>
        <v/>
      </c>
      <c r="L12" s="213" t="str">
        <f aca="false">IFERROR(IF('Bulk Order Details'!O22="","",IF(_xlfn.xlookup('Bulk Order Details'!O22,Logos[Display],Logos[Use])="Flat",_xlfn.xlookup('Bulk Order Details'!O22,Logos[Display],Logos[Flat]),ROUND(_xlfn.xlookup('Bulk Order Details'!O22,Logos[Display],Logos[Pct])*$E12,2))),"")</f>
        <v/>
      </c>
      <c r="M12" s="222" t="str">
        <f aca="false">IFERROR(IF('Bulk Order Details'!P22="","",IF(_xlfn.xlookup('Bulk Order Details'!P22,Chest[Display],Chest[Use])="Flat",_xlfn.xlookup('Bulk Order Details'!P22,Chest[Display],Chest[Flat]),ROUND(_xlfn.xlookup('Bulk Order Details'!P22,Chest[Display],Chest[Pct])*$E12,2))),"")</f>
        <v/>
      </c>
      <c r="N12" s="222" t="str">
        <f aca="false">IFERROR(IF('Bulk Order Details'!Q22="","",IF(_xlfn.xlookup('Bulk Order Details'!Q22,Chest[Display],Chest[Use])="Flat",_xlfn.xlookup('Bulk Order Details'!Q22,Chest[Display],Chest[Flat]),ROUND(_xlfn.xlookup('Bulk Order Details'!Q22,Chest[Display],Chest[Pct])*$E12,2))),"")</f>
        <v/>
      </c>
      <c r="O12" s="222" t="str">
        <f aca="false">IFERROR(IF('Bulk Order Details'!R22="","",IF(_xlfn.xlookup('Bulk Order Details'!R22,LeftSleeve[Display],LeftSleeve[Use])="Flat",_xlfn.xlookup('Bulk Order Details'!R22,LeftSleeve[Display],LeftSleeve[Flat]),ROUND(_xlfn.xlookup('Bulk Order Details'!R22,LeftSleeve[Display],LeftSleeve[Pct])*$E12,2))),"")</f>
        <v/>
      </c>
      <c r="P12" s="222" t="str">
        <f aca="false">IFERROR(IF('Bulk Order Details'!S22="","",IF(_xlfn.xlookup('Bulk Order Details'!S22,RightSleeve[Display],RightSleeve[Use])="Flat",_xlfn.xlookup('Bulk Order Details'!S22,RightSleeve[Display],RightSleeve[Flat]),ROUND(_xlfn.xlookup('Bulk Order Details'!S22,RightSleeve[Display],RightSleeve[Pct])*$E12,2))),"")</f>
        <v/>
      </c>
      <c r="Q12" s="214" t="str">
        <f aca="false">IF('Bulk Order Details'!J22="","",SUM(F12:P12))</f>
        <v/>
      </c>
      <c r="R12" s="213" t="str">
        <f aca="false">IFERROR(E12-D12,"")</f>
        <v/>
      </c>
      <c r="S12" s="215" t="str">
        <f aca="false">IFERROR(MIN(IF(Summary!$D$11="Yes",-J12,0),IF(H12&gt;0,-J12,0)),"")</f>
        <v/>
      </c>
      <c r="T12" s="212" t="str">
        <f aca="false">IFERROR(IF(Summary!$D$10="Yes",-K12,""),"")</f>
        <v/>
      </c>
      <c r="U12" s="213" t="str">
        <f aca="false">IFERROR(IF(Summary!$D$12="Yes",-L12,""),"")</f>
        <v/>
      </c>
      <c r="V12" s="216" t="str">
        <f aca="false">IF('Bulk Order Details'!J22="","",SUM(R12:U12))</f>
        <v/>
      </c>
      <c r="W12" s="217" t="str">
        <f aca="false">IF('Bulk Order Details'!J22="","",D12+Q12)</f>
        <v/>
      </c>
      <c r="X12" s="218" t="str">
        <f aca="false">IF('Bulk Order Details'!J22="","",D12+Q12+V12)</f>
        <v/>
      </c>
      <c r="Y12" s="219" t="str">
        <f aca="false">IFERROR((W12-X12)/W12,"")</f>
        <v/>
      </c>
      <c r="Z12" s="220" t="str">
        <f aca="false">IF('Bulk Order Details'!J22="","",MAX(1,'Bulk Order Details'!D22))</f>
        <v/>
      </c>
      <c r="AA12" s="217" t="str">
        <f aca="false">IF(Pricing_Details[[#This Row],[Quantity]]="","",Pricing_Details[[#This Row],[Retail Price]]*Pricing_Details[[#This Row],[Quantity]])</f>
        <v/>
      </c>
      <c r="AB12" s="217" t="str">
        <f aca="false">IF(Pricing_Details[[#This Row],[Quantity]]="","",Pricing_Details[[#This Row],[Total Discount]]*Pricing_Details[[#This Row],[Quantity]])</f>
        <v/>
      </c>
      <c r="AC12" s="221" t="str">
        <f aca="false">IFERROR(ROUND(Pricing_Details[[#This Row],[Actual Price]]*Pricing_Details[[#This Row],[Quantity]],2),"")</f>
        <v/>
      </c>
      <c r="AE12" s="179" t="str">
        <f aca="false">IF('Bulk Order Details'!J22="","",VLOOKUP('Bulk Order Details'!H22,Collection[],3)&amp;VLOOKUP('Bulk Order Details'!J22,Collar[],4)&amp;VLOOKUP('Bulk Order Details'!I22,Sleeve[],4))</f>
        <v/>
      </c>
      <c r="AF12" s="179" t="str">
        <f aca="false">IF('Bulk Order Details'!J22="","",LOOKUP('Bulk Order Details'!E22,Cut[Display],Cut[Code])&amp;LOOKUP('Bulk Order Details'!F22,#REF!,#REF!)&amp;IF('Bulk Order Details'!G22="","",LOOKUP('Bulk Order Details'!G22,Length[Display],Length[Code])))</f>
        <v/>
      </c>
      <c r="AG12" s="179" t="str">
        <f aca="false">IF('Bulk Order Details'!J22="","",IF('Bulk Order Details'!C22="","",'Bulk Order Details'!C22))</f>
        <v/>
      </c>
      <c r="AH12" s="179" t="str">
        <f aca="false">IF('Bulk Order Details'!O22="","","-"&amp;LOOKUP('Bulk Order Details'!O22,#REF!,#REF!))</f>
        <v/>
      </c>
      <c r="AI12" s="179" t="str">
        <f aca="false">IF('Bulk Order Details'!P22="","","-"&amp;LOOKUP('Bulk Order Details'!P22,#REF!,#REF!))</f>
        <v/>
      </c>
      <c r="AJ12" s="179" t="str">
        <f aca="false">IF('Bulk Order Details'!Q22="","","-"&amp;LOOKUP('Bulk Order Details'!Q22,#REF!,#REF!))</f>
        <v/>
      </c>
      <c r="AK12" s="179" t="str">
        <f aca="false">IF('Bulk Order Details'!R22="","","-"&amp;LOOKUP('Bulk Order Details'!R22,#REF!,#REF!))</f>
        <v/>
      </c>
      <c r="AL12" s="179" t="str">
        <f aca="false">IF('Bulk Order Details'!S22="","","-"&amp;LOOKUP('Bulk Order Details'!S22,#REF!,#REF!))</f>
        <v/>
      </c>
      <c r="AM12" s="179" t="str">
        <f aca="false">IF(_xlfn.CONCAT(AH12:AL12)="","","Lo"&amp;_xlfn.CONCAT(AH12:AL12))</f>
        <v/>
      </c>
      <c r="AN12" s="179" t="str">
        <f aca="false">IF('Bulk Order Details'!K22="","","Na-"&amp;'Bulk Order Details'!K22)</f>
        <v/>
      </c>
      <c r="AO12" s="179" t="str">
        <f aca="false">IF('Bulk Order Details'!N22="","","Fo-"&amp;'Bulk Order Details'!N22)</f>
        <v/>
      </c>
      <c r="AP12" s="179" t="str">
        <f aca="false">IF(AE12="","",AE12&amp;"_"&amp;AF12&amp;"_"&amp;AG12&amp;IF(AM12="","","_"&amp;AM12)&amp;IF(AN12="","","_"&amp;AN12)&amp;IF(AO12="","","_"&amp;AO12))</f>
        <v/>
      </c>
      <c r="AQ12" s="218" t="str">
        <f aca="false">IF(X12="","",X12)</f>
        <v/>
      </c>
    </row>
    <row r="13" customFormat="false" ht="13.5" hidden="false" customHeight="true" outlineLevel="0" collapsed="false">
      <c r="B13" s="209" t="n">
        <f aca="false">'Bulk Order Details'!B23</f>
        <v>10</v>
      </c>
      <c r="C13" s="209" t="e">
        <f aca="false">IF('bulk order details'!#ref!="","",'bulk order details'!#ref!&amp;" "&amp;'bulk order details'!#ref!)</f>
        <v>#VALUE!</v>
      </c>
      <c r="D13" s="210" t="str">
        <f aca="false">IF('Bulk Order Details'!J23="","",VLOOKUP(1,Price[],3))</f>
        <v/>
      </c>
      <c r="E13" s="211" t="str">
        <f aca="false">IF('Bulk Order Details'!J23="","",Summary!$D$9)</f>
        <v/>
      </c>
      <c r="F13" s="212" t="str">
        <f aca="false">IF('Bulk Order Details'!F23="","",_xlfn.xlookup('Bulk Order Details'!F23,Size[Display],Size[Price]))</f>
        <v/>
      </c>
      <c r="G13" s="212" t="str">
        <f aca="false">IF('Bulk Order Details'!G23="","",_xlfn.xlookup('Bulk Order Details'!G23,Length[Display],Length[Price]))</f>
        <v/>
      </c>
      <c r="H13" s="212" t="str">
        <f aca="false">IF('Bulk Order Details'!H23="","",_xlfn.xlookup('Bulk Order Details'!H23,Collection[Display],Collection[Price]))</f>
        <v/>
      </c>
      <c r="I13" s="212" t="str">
        <f aca="false">IF('Bulk Order Details'!I23="","",_xlfn.xlookup('Bulk Order Details'!I23,Sleeve[Display],Sleeve[Price]))</f>
        <v/>
      </c>
      <c r="J13" s="212" t="str">
        <f aca="false">IF('Bulk Order Details'!J23="","",_xlfn.xlookup('Bulk Order Details'!J23,Collar[Display],Collar[Price]))</f>
        <v/>
      </c>
      <c r="K13" s="212" t="str">
        <f aca="false">IF('Bulk Order Details'!K23="","",_xlfn.xlookup("Name",Name[Name],Name[Price]))</f>
        <v/>
      </c>
      <c r="L13" s="213" t="str">
        <f aca="false">IFERROR(IF('Bulk Order Details'!O23="","",IF(_xlfn.xlookup('Bulk Order Details'!O23,Logos[Display],Logos[Use])="Flat",_xlfn.xlookup('Bulk Order Details'!O23,Logos[Display],Logos[Flat]),ROUND(_xlfn.xlookup('Bulk Order Details'!O23,Logos[Display],Logos[Pct])*$E13,2))),"")</f>
        <v/>
      </c>
      <c r="M13" s="222" t="str">
        <f aca="false">IFERROR(IF('Bulk Order Details'!P23="","",IF(_xlfn.xlookup('Bulk Order Details'!P23,Chest[Display],Chest[Use])="Flat",_xlfn.xlookup('Bulk Order Details'!P23,Chest[Display],Chest[Flat]),ROUND(_xlfn.xlookup('Bulk Order Details'!P23,Chest[Display],Chest[Pct])*$E13,2))),"")</f>
        <v/>
      </c>
      <c r="N13" s="222" t="str">
        <f aca="false">IFERROR(IF('Bulk Order Details'!Q23="","",IF(_xlfn.xlookup('Bulk Order Details'!Q23,Chest[Display],Chest[Use])="Flat",_xlfn.xlookup('Bulk Order Details'!Q23,Chest[Display],Chest[Flat]),ROUND(_xlfn.xlookup('Bulk Order Details'!Q23,Chest[Display],Chest[Pct])*$E13,2))),"")</f>
        <v/>
      </c>
      <c r="O13" s="222" t="str">
        <f aca="false">IFERROR(IF('Bulk Order Details'!R23="","",IF(_xlfn.xlookup('Bulk Order Details'!R23,LeftSleeve[Display],LeftSleeve[Use])="Flat",_xlfn.xlookup('Bulk Order Details'!R23,LeftSleeve[Display],LeftSleeve[Flat]),ROUND(_xlfn.xlookup('Bulk Order Details'!R23,LeftSleeve[Display],LeftSleeve[Pct])*$E13,2))),"")</f>
        <v/>
      </c>
      <c r="P13" s="222" t="str">
        <f aca="false">IFERROR(IF('Bulk Order Details'!S23="","",IF(_xlfn.xlookup('Bulk Order Details'!S23,RightSleeve[Display],RightSleeve[Use])="Flat",_xlfn.xlookup('Bulk Order Details'!S23,RightSleeve[Display],RightSleeve[Flat]),ROUND(_xlfn.xlookup('Bulk Order Details'!S23,RightSleeve[Display],RightSleeve[Pct])*$E13,2))),"")</f>
        <v/>
      </c>
      <c r="Q13" s="214" t="str">
        <f aca="false">IF('Bulk Order Details'!J23="","",SUM(F13:P13))</f>
        <v/>
      </c>
      <c r="R13" s="213" t="str">
        <f aca="false">IFERROR(E13-D13,"")</f>
        <v/>
      </c>
      <c r="S13" s="215" t="str">
        <f aca="false">IFERROR(MIN(IF(Summary!$D$11="Yes",-J13,0),IF(H13&gt;0,-J13,0)),"")</f>
        <v/>
      </c>
      <c r="T13" s="212" t="str">
        <f aca="false">IFERROR(IF(Summary!$D$10="Yes",-K13,""),"")</f>
        <v/>
      </c>
      <c r="U13" s="213" t="str">
        <f aca="false">IFERROR(IF(Summary!$D$12="Yes",-L13,""),"")</f>
        <v/>
      </c>
      <c r="V13" s="216" t="str">
        <f aca="false">IF('Bulk Order Details'!J23="","",SUM(R13:U13))</f>
        <v/>
      </c>
      <c r="W13" s="217" t="str">
        <f aca="false">IF('Bulk Order Details'!J23="","",D13+Q13)</f>
        <v/>
      </c>
      <c r="X13" s="218" t="str">
        <f aca="false">IF('Bulk Order Details'!J23="","",D13+Q13+V13)</f>
        <v/>
      </c>
      <c r="Y13" s="219" t="str">
        <f aca="false">IFERROR((W13-X13)/W13,"")</f>
        <v/>
      </c>
      <c r="Z13" s="220" t="str">
        <f aca="false">IF('Bulk Order Details'!J23="","",MAX(1,'Bulk Order Details'!D23))</f>
        <v/>
      </c>
      <c r="AA13" s="217" t="str">
        <f aca="false">IF(Pricing_Details[[#This Row],[Quantity]]="","",Pricing_Details[[#This Row],[Retail Price]]*Pricing_Details[[#This Row],[Quantity]])</f>
        <v/>
      </c>
      <c r="AB13" s="217" t="str">
        <f aca="false">IF(Pricing_Details[[#This Row],[Quantity]]="","",Pricing_Details[[#This Row],[Total Discount]]*Pricing_Details[[#This Row],[Quantity]])</f>
        <v/>
      </c>
      <c r="AC13" s="221" t="str">
        <f aca="false">IFERROR(ROUND(Pricing_Details[[#This Row],[Actual Price]]*Pricing_Details[[#This Row],[Quantity]],2),"")</f>
        <v/>
      </c>
      <c r="AE13" s="179" t="str">
        <f aca="false">IF('Bulk Order Details'!J23="","",VLOOKUP('Bulk Order Details'!H23,Collection[],3)&amp;VLOOKUP('Bulk Order Details'!J23,Collar[],4)&amp;VLOOKUP('Bulk Order Details'!I23,Sleeve[],4))</f>
        <v/>
      </c>
      <c r="AF13" s="179" t="str">
        <f aca="false">IF('Bulk Order Details'!J23="","",LOOKUP('Bulk Order Details'!E23,Cut[Display],Cut[Code])&amp;LOOKUP('Bulk Order Details'!F23,#REF!,#REF!)&amp;IF('Bulk Order Details'!G23="","",LOOKUP('Bulk Order Details'!G23,Length[Display],Length[Code])))</f>
        <v/>
      </c>
      <c r="AG13" s="179" t="str">
        <f aca="false">IF('Bulk Order Details'!J23="","",IF('Bulk Order Details'!C23="","",'Bulk Order Details'!C23))</f>
        <v/>
      </c>
      <c r="AH13" s="179" t="str">
        <f aca="false">IF('Bulk Order Details'!O23="","","-"&amp;LOOKUP('Bulk Order Details'!O23,#REF!,#REF!))</f>
        <v/>
      </c>
      <c r="AI13" s="179" t="str">
        <f aca="false">IF('Bulk Order Details'!P23="","","-"&amp;LOOKUP('Bulk Order Details'!P23,#REF!,#REF!))</f>
        <v/>
      </c>
      <c r="AJ13" s="179" t="str">
        <f aca="false">IF('Bulk Order Details'!Q23="","","-"&amp;LOOKUP('Bulk Order Details'!Q23,#REF!,#REF!))</f>
        <v/>
      </c>
      <c r="AK13" s="179" t="str">
        <f aca="false">IF('Bulk Order Details'!R23="","","-"&amp;LOOKUP('Bulk Order Details'!R23,#REF!,#REF!))</f>
        <v/>
      </c>
      <c r="AL13" s="179" t="str">
        <f aca="false">IF('Bulk Order Details'!S23="","","-"&amp;LOOKUP('Bulk Order Details'!S23,#REF!,#REF!))</f>
        <v/>
      </c>
      <c r="AM13" s="179" t="str">
        <f aca="false">IF(_xlfn.CONCAT(AH13:AL13)="","","Lo"&amp;_xlfn.CONCAT(AH13:AL13))</f>
        <v/>
      </c>
      <c r="AN13" s="179" t="str">
        <f aca="false">IF('Bulk Order Details'!K23="","","Na-"&amp;'Bulk Order Details'!K23)</f>
        <v/>
      </c>
      <c r="AO13" s="179" t="str">
        <f aca="false">IF('Bulk Order Details'!N23="","","Fo-"&amp;'Bulk Order Details'!N23)</f>
        <v/>
      </c>
      <c r="AP13" s="179" t="str">
        <f aca="false">IF(AE13="","",AE13&amp;"_"&amp;AF13&amp;"_"&amp;AG13&amp;IF(AM13="","","_"&amp;AM13)&amp;IF(AN13="","","_"&amp;AN13)&amp;IF(AO13="","","_"&amp;AO13))</f>
        <v/>
      </c>
      <c r="AQ13" s="218" t="str">
        <f aca="false">IF(X13="","",X13)</f>
        <v/>
      </c>
    </row>
    <row r="14" customFormat="false" ht="13.5" hidden="false" customHeight="true" outlineLevel="0" collapsed="false">
      <c r="B14" s="209" t="n">
        <f aca="false">'Bulk Order Details'!B24</f>
        <v>11</v>
      </c>
      <c r="C14" s="209" t="e">
        <f aca="false">IF('bulk order details'!#ref!="","",'bulk order details'!#ref!&amp;" "&amp;'bulk order details'!#ref!)</f>
        <v>#VALUE!</v>
      </c>
      <c r="D14" s="210" t="str">
        <f aca="false">IF('Bulk Order Details'!J24="","",VLOOKUP(1,Price[],3))</f>
        <v/>
      </c>
      <c r="E14" s="211" t="str">
        <f aca="false">IF('Bulk Order Details'!J24="","",Summary!$D$9)</f>
        <v/>
      </c>
      <c r="F14" s="212" t="str">
        <f aca="false">IF('Bulk Order Details'!F24="","",_xlfn.xlookup('Bulk Order Details'!F24,Size[Display],Size[Price]))</f>
        <v/>
      </c>
      <c r="G14" s="212" t="str">
        <f aca="false">IF('Bulk Order Details'!G24="","",_xlfn.xlookup('Bulk Order Details'!G24,Length[Display],Length[Price]))</f>
        <v/>
      </c>
      <c r="H14" s="212" t="str">
        <f aca="false">IF('Bulk Order Details'!H24="","",_xlfn.xlookup('Bulk Order Details'!H24,Collection[Display],Collection[Price]))</f>
        <v/>
      </c>
      <c r="I14" s="212" t="str">
        <f aca="false">IF('Bulk Order Details'!I24="","",_xlfn.xlookup('Bulk Order Details'!I24,Sleeve[Display],Sleeve[Price]))</f>
        <v/>
      </c>
      <c r="J14" s="212" t="str">
        <f aca="false">IF('Bulk Order Details'!J24="","",_xlfn.xlookup('Bulk Order Details'!J24,Collar[Display],Collar[Price]))</f>
        <v/>
      </c>
      <c r="K14" s="212" t="str">
        <f aca="false">IF('Bulk Order Details'!K24="","",_xlfn.xlookup("Name",Name[Name],Name[Price]))</f>
        <v/>
      </c>
      <c r="L14" s="213" t="str">
        <f aca="false">IFERROR(IF('Bulk Order Details'!O24="","",IF(_xlfn.xlookup('Bulk Order Details'!O24,Logos[Display],Logos[Use])="Flat",_xlfn.xlookup('Bulk Order Details'!O24,Logos[Display],Logos[Flat]),ROUND(_xlfn.xlookup('Bulk Order Details'!O24,Logos[Display],Logos[Pct])*$E14,2))),"")</f>
        <v/>
      </c>
      <c r="M14" s="222" t="str">
        <f aca="false">IFERROR(IF('Bulk Order Details'!P24="","",IF(_xlfn.xlookup('Bulk Order Details'!P24,Chest[Display],Chest[Use])="Flat",_xlfn.xlookup('Bulk Order Details'!P24,Chest[Display],Chest[Flat]),ROUND(_xlfn.xlookup('Bulk Order Details'!P24,Chest[Display],Chest[Pct])*$E14,2))),"")</f>
        <v/>
      </c>
      <c r="N14" s="222" t="str">
        <f aca="false">IFERROR(IF('Bulk Order Details'!Q24="","",IF(_xlfn.xlookup('Bulk Order Details'!Q24,Chest[Display],Chest[Use])="Flat",_xlfn.xlookup('Bulk Order Details'!Q24,Chest[Display],Chest[Flat]),ROUND(_xlfn.xlookup('Bulk Order Details'!Q24,Chest[Display],Chest[Pct])*$E14,2))),"")</f>
        <v/>
      </c>
      <c r="O14" s="222" t="str">
        <f aca="false">IFERROR(IF('Bulk Order Details'!R24="","",IF(_xlfn.xlookup('Bulk Order Details'!R24,LeftSleeve[Display],LeftSleeve[Use])="Flat",_xlfn.xlookup('Bulk Order Details'!R24,LeftSleeve[Display],LeftSleeve[Flat]),ROUND(_xlfn.xlookup('Bulk Order Details'!R24,LeftSleeve[Display],LeftSleeve[Pct])*$E14,2))),"")</f>
        <v/>
      </c>
      <c r="P14" s="222" t="str">
        <f aca="false">IFERROR(IF('Bulk Order Details'!S24="","",IF(_xlfn.xlookup('Bulk Order Details'!S24,RightSleeve[Display],RightSleeve[Use])="Flat",_xlfn.xlookup('Bulk Order Details'!S24,RightSleeve[Display],RightSleeve[Flat]),ROUND(_xlfn.xlookup('Bulk Order Details'!S24,RightSleeve[Display],RightSleeve[Pct])*$E14,2))),"")</f>
        <v/>
      </c>
      <c r="Q14" s="214" t="str">
        <f aca="false">IF('Bulk Order Details'!J24="","",SUM(F14:P14))</f>
        <v/>
      </c>
      <c r="R14" s="213" t="str">
        <f aca="false">IFERROR(E14-D14,"")</f>
        <v/>
      </c>
      <c r="S14" s="215" t="str">
        <f aca="false">IFERROR(MIN(IF(Summary!$D$11="Yes",-J14,0),IF(H14&gt;0,-J14,0)),"")</f>
        <v/>
      </c>
      <c r="T14" s="212" t="str">
        <f aca="false">IFERROR(IF(Summary!$D$10="Yes",-K14,""),"")</f>
        <v/>
      </c>
      <c r="U14" s="213" t="str">
        <f aca="false">IFERROR(IF(Summary!$D$12="Yes",-L14,""),"")</f>
        <v/>
      </c>
      <c r="V14" s="216" t="str">
        <f aca="false">IF('Bulk Order Details'!J24="","",SUM(R14:U14))</f>
        <v/>
      </c>
      <c r="W14" s="217" t="str">
        <f aca="false">IF('Bulk Order Details'!J24="","",D14+Q14)</f>
        <v/>
      </c>
      <c r="X14" s="218" t="str">
        <f aca="false">IF('Bulk Order Details'!J24="","",D14+Q14+V14)</f>
        <v/>
      </c>
      <c r="Y14" s="219" t="str">
        <f aca="false">IFERROR((W14-X14)/W14,"")</f>
        <v/>
      </c>
      <c r="Z14" s="220" t="str">
        <f aca="false">IF('Bulk Order Details'!J24="","",MAX(1,'Bulk Order Details'!D24))</f>
        <v/>
      </c>
      <c r="AA14" s="217" t="str">
        <f aca="false">IF(Pricing_Details[[#This Row],[Quantity]]="","",Pricing_Details[[#This Row],[Retail Price]]*Pricing_Details[[#This Row],[Quantity]])</f>
        <v/>
      </c>
      <c r="AB14" s="217" t="str">
        <f aca="false">IF(Pricing_Details[[#This Row],[Quantity]]="","",Pricing_Details[[#This Row],[Total Discount]]*Pricing_Details[[#This Row],[Quantity]])</f>
        <v/>
      </c>
      <c r="AC14" s="221" t="str">
        <f aca="false">IFERROR(ROUND(Pricing_Details[[#This Row],[Actual Price]]*Pricing_Details[[#This Row],[Quantity]],2),"")</f>
        <v/>
      </c>
      <c r="AE14" s="179" t="str">
        <f aca="false">IF('Bulk Order Details'!J24="","",VLOOKUP('Bulk Order Details'!H24,Collection[],3)&amp;VLOOKUP('Bulk Order Details'!J24,Collar[],4)&amp;VLOOKUP('Bulk Order Details'!I24,Sleeve[],4))</f>
        <v/>
      </c>
      <c r="AF14" s="179" t="str">
        <f aca="false">IF('Bulk Order Details'!J24="","",LOOKUP('Bulk Order Details'!E24,Cut[Display],Cut[Code])&amp;LOOKUP('Bulk Order Details'!F24,#REF!,#REF!)&amp;IF('Bulk Order Details'!G24="","",LOOKUP('Bulk Order Details'!G24,Length[Display],Length[Code])))</f>
        <v/>
      </c>
      <c r="AG14" s="179" t="str">
        <f aca="false">IF('Bulk Order Details'!J24="","",IF('Bulk Order Details'!C24="","",'Bulk Order Details'!C24))</f>
        <v/>
      </c>
      <c r="AH14" s="179" t="str">
        <f aca="false">IF('Bulk Order Details'!O24="","","-"&amp;LOOKUP('Bulk Order Details'!O24,#REF!,#REF!))</f>
        <v/>
      </c>
      <c r="AI14" s="179" t="str">
        <f aca="false">IF('Bulk Order Details'!P24="","","-"&amp;LOOKUP('Bulk Order Details'!P24,#REF!,#REF!))</f>
        <v/>
      </c>
      <c r="AJ14" s="179" t="str">
        <f aca="false">IF('Bulk Order Details'!Q24="","","-"&amp;LOOKUP('Bulk Order Details'!Q24,#REF!,#REF!))</f>
        <v/>
      </c>
      <c r="AK14" s="179" t="str">
        <f aca="false">IF('Bulk Order Details'!R24="","","-"&amp;LOOKUP('Bulk Order Details'!R24,#REF!,#REF!))</f>
        <v/>
      </c>
      <c r="AL14" s="179" t="str">
        <f aca="false">IF('Bulk Order Details'!S24="","","-"&amp;LOOKUP('Bulk Order Details'!S24,#REF!,#REF!))</f>
        <v/>
      </c>
      <c r="AM14" s="179" t="str">
        <f aca="false">IF(_xlfn.CONCAT(AH14:AL14)="","","Lo"&amp;_xlfn.CONCAT(AH14:AL14))</f>
        <v/>
      </c>
      <c r="AN14" s="179" t="str">
        <f aca="false">IF('Bulk Order Details'!K24="","","Na-"&amp;'Bulk Order Details'!K24)</f>
        <v/>
      </c>
      <c r="AO14" s="179" t="str">
        <f aca="false">IF('Bulk Order Details'!N24="","","Fo-"&amp;'Bulk Order Details'!N24)</f>
        <v/>
      </c>
      <c r="AP14" s="179" t="str">
        <f aca="false">IF(AE14="","",AE14&amp;"_"&amp;AF14&amp;"_"&amp;AG14&amp;IF(AM14="","","_"&amp;AM14)&amp;IF(AN14="","","_"&amp;AN14)&amp;IF(AO14="","","_"&amp;AO14))</f>
        <v/>
      </c>
      <c r="AQ14" s="218" t="str">
        <f aca="false">IF(X14="","",X14)</f>
        <v/>
      </c>
    </row>
    <row r="15" customFormat="false" ht="13.5" hidden="false" customHeight="true" outlineLevel="0" collapsed="false">
      <c r="B15" s="209" t="n">
        <f aca="false">'Bulk Order Details'!B25</f>
        <v>12</v>
      </c>
      <c r="C15" s="209" t="e">
        <f aca="false">IF('bulk order details'!#ref!="","",'bulk order details'!#ref!&amp;" "&amp;'bulk order details'!#ref!)</f>
        <v>#VALUE!</v>
      </c>
      <c r="D15" s="210" t="str">
        <f aca="false">IF('Bulk Order Details'!J25="","",VLOOKUP(1,Price[],3))</f>
        <v/>
      </c>
      <c r="E15" s="211" t="str">
        <f aca="false">IF('Bulk Order Details'!J25="","",Summary!$D$9)</f>
        <v/>
      </c>
      <c r="F15" s="212" t="str">
        <f aca="false">IF('Bulk Order Details'!F25="","",_xlfn.xlookup('Bulk Order Details'!F25,Size[Display],Size[Price]))</f>
        <v/>
      </c>
      <c r="G15" s="212" t="str">
        <f aca="false">IF('Bulk Order Details'!G25="","",_xlfn.xlookup('Bulk Order Details'!G25,Length[Display],Length[Price]))</f>
        <v/>
      </c>
      <c r="H15" s="212" t="str">
        <f aca="false">IF('Bulk Order Details'!H25="","",_xlfn.xlookup('Bulk Order Details'!H25,Collection[Display],Collection[Price]))</f>
        <v/>
      </c>
      <c r="I15" s="212" t="str">
        <f aca="false">IF('Bulk Order Details'!I25="","",_xlfn.xlookup('Bulk Order Details'!I25,Sleeve[Display],Sleeve[Price]))</f>
        <v/>
      </c>
      <c r="J15" s="212" t="str">
        <f aca="false">IF('Bulk Order Details'!J25="","",_xlfn.xlookup('Bulk Order Details'!J25,Collar[Display],Collar[Price]))</f>
        <v/>
      </c>
      <c r="K15" s="212" t="str">
        <f aca="false">IF('Bulk Order Details'!K25="","",_xlfn.xlookup("Name",Name[Name],Name[Price]))</f>
        <v/>
      </c>
      <c r="L15" s="213" t="str">
        <f aca="false">IFERROR(IF('Bulk Order Details'!O25="","",IF(_xlfn.xlookup('Bulk Order Details'!O25,Logos[Display],Logos[Use])="Flat",_xlfn.xlookup('Bulk Order Details'!O25,Logos[Display],Logos[Flat]),ROUND(_xlfn.xlookup('Bulk Order Details'!O25,Logos[Display],Logos[Pct])*$E15,2))),"")</f>
        <v/>
      </c>
      <c r="M15" s="222" t="str">
        <f aca="false">IFERROR(IF('Bulk Order Details'!P25="","",IF(_xlfn.xlookup('Bulk Order Details'!P25,Chest[Display],Chest[Use])="Flat",_xlfn.xlookup('Bulk Order Details'!P25,Chest[Display],Chest[Flat]),ROUND(_xlfn.xlookup('Bulk Order Details'!P25,Chest[Display],Chest[Pct])*$E15,2))),"")</f>
        <v/>
      </c>
      <c r="N15" s="222" t="str">
        <f aca="false">IFERROR(IF('Bulk Order Details'!Q25="","",IF(_xlfn.xlookup('Bulk Order Details'!Q25,Chest[Display],Chest[Use])="Flat",_xlfn.xlookup('Bulk Order Details'!Q25,Chest[Display],Chest[Flat]),ROUND(_xlfn.xlookup('Bulk Order Details'!Q25,Chest[Display],Chest[Pct])*$E15,2))),"")</f>
        <v/>
      </c>
      <c r="O15" s="222" t="str">
        <f aca="false">IFERROR(IF('Bulk Order Details'!R25="","",IF(_xlfn.xlookup('Bulk Order Details'!R25,LeftSleeve[Display],LeftSleeve[Use])="Flat",_xlfn.xlookup('Bulk Order Details'!R25,LeftSleeve[Display],LeftSleeve[Flat]),ROUND(_xlfn.xlookup('Bulk Order Details'!R25,LeftSleeve[Display],LeftSleeve[Pct])*$E15,2))),"")</f>
        <v/>
      </c>
      <c r="P15" s="222" t="str">
        <f aca="false">IFERROR(IF('Bulk Order Details'!S25="","",IF(_xlfn.xlookup('Bulk Order Details'!S25,RightSleeve[Display],RightSleeve[Use])="Flat",_xlfn.xlookup('Bulk Order Details'!S25,RightSleeve[Display],RightSleeve[Flat]),ROUND(_xlfn.xlookup('Bulk Order Details'!S25,RightSleeve[Display],RightSleeve[Pct])*$E15,2))),"")</f>
        <v/>
      </c>
      <c r="Q15" s="214" t="str">
        <f aca="false">IF('Bulk Order Details'!J25="","",SUM(F15:P15))</f>
        <v/>
      </c>
      <c r="R15" s="213" t="str">
        <f aca="false">IFERROR(E15-D15,"")</f>
        <v/>
      </c>
      <c r="S15" s="215" t="str">
        <f aca="false">IFERROR(MIN(IF(Summary!$D$11="Yes",-J15,0),IF(H15&gt;0,-J15,0)),"")</f>
        <v/>
      </c>
      <c r="T15" s="212" t="str">
        <f aca="false">IFERROR(IF(Summary!$D$10="Yes",-K15,""),"")</f>
        <v/>
      </c>
      <c r="U15" s="213" t="str">
        <f aca="false">IFERROR(IF(Summary!$D$12="Yes",-L15,""),"")</f>
        <v/>
      </c>
      <c r="V15" s="216" t="str">
        <f aca="false">IF('Bulk Order Details'!J25="","",SUM(R15:U15))</f>
        <v/>
      </c>
      <c r="W15" s="217" t="str">
        <f aca="false">IF('Bulk Order Details'!J25="","",D15+Q15)</f>
        <v/>
      </c>
      <c r="X15" s="218" t="str">
        <f aca="false">IF('Bulk Order Details'!J25="","",D15+Q15+V15)</f>
        <v/>
      </c>
      <c r="Y15" s="219" t="str">
        <f aca="false">IFERROR((W15-X15)/W15,"")</f>
        <v/>
      </c>
      <c r="Z15" s="220" t="str">
        <f aca="false">IF('Bulk Order Details'!J25="","",MAX(1,'Bulk Order Details'!D25))</f>
        <v/>
      </c>
      <c r="AA15" s="217" t="str">
        <f aca="false">IF(Pricing_Details[[#This Row],[Quantity]]="","",Pricing_Details[[#This Row],[Retail Price]]*Pricing_Details[[#This Row],[Quantity]])</f>
        <v/>
      </c>
      <c r="AB15" s="217" t="str">
        <f aca="false">IF(Pricing_Details[[#This Row],[Quantity]]="","",Pricing_Details[[#This Row],[Total Discount]]*Pricing_Details[[#This Row],[Quantity]])</f>
        <v/>
      </c>
      <c r="AC15" s="221" t="str">
        <f aca="false">IFERROR(ROUND(Pricing_Details[[#This Row],[Actual Price]]*Pricing_Details[[#This Row],[Quantity]],2),"")</f>
        <v/>
      </c>
      <c r="AE15" s="179" t="str">
        <f aca="false">IF('Bulk Order Details'!J25="","",VLOOKUP('Bulk Order Details'!H25,Collection[],3)&amp;VLOOKUP('Bulk Order Details'!J25,Collar[],4)&amp;VLOOKUP('Bulk Order Details'!I25,Sleeve[],4))</f>
        <v/>
      </c>
      <c r="AF15" s="179" t="str">
        <f aca="false">IF('Bulk Order Details'!J25="","",LOOKUP('Bulk Order Details'!E25,Cut[Display],Cut[Code])&amp;LOOKUP('Bulk Order Details'!F25,#REF!,#REF!)&amp;IF('Bulk Order Details'!G25="","",LOOKUP('Bulk Order Details'!G25,Length[Display],Length[Code])))</f>
        <v/>
      </c>
      <c r="AG15" s="179" t="str">
        <f aca="false">IF('Bulk Order Details'!J25="","",IF('Bulk Order Details'!C25="","",'Bulk Order Details'!C25))</f>
        <v/>
      </c>
      <c r="AH15" s="179" t="str">
        <f aca="false">IF('Bulk Order Details'!O25="","","-"&amp;LOOKUP('Bulk Order Details'!O25,#REF!,#REF!))</f>
        <v/>
      </c>
      <c r="AI15" s="179" t="str">
        <f aca="false">IF('Bulk Order Details'!P25="","","-"&amp;LOOKUP('Bulk Order Details'!P25,#REF!,#REF!))</f>
        <v/>
      </c>
      <c r="AJ15" s="179" t="str">
        <f aca="false">IF('Bulk Order Details'!Q25="","","-"&amp;LOOKUP('Bulk Order Details'!Q25,#REF!,#REF!))</f>
        <v/>
      </c>
      <c r="AK15" s="179" t="str">
        <f aca="false">IF('Bulk Order Details'!R25="","","-"&amp;LOOKUP('Bulk Order Details'!R25,#REF!,#REF!))</f>
        <v/>
      </c>
      <c r="AL15" s="179" t="str">
        <f aca="false">IF('Bulk Order Details'!S25="","","-"&amp;LOOKUP('Bulk Order Details'!S25,#REF!,#REF!))</f>
        <v/>
      </c>
      <c r="AM15" s="179" t="str">
        <f aca="false">IF(_xlfn.CONCAT(AH15:AL15)="","","Lo"&amp;_xlfn.CONCAT(AH15:AL15))</f>
        <v/>
      </c>
      <c r="AN15" s="179" t="str">
        <f aca="false">IF('Bulk Order Details'!K25="","","Na-"&amp;'Bulk Order Details'!K25)</f>
        <v/>
      </c>
      <c r="AO15" s="179" t="str">
        <f aca="false">IF('Bulk Order Details'!N25="","","Fo-"&amp;'Bulk Order Details'!N25)</f>
        <v/>
      </c>
      <c r="AP15" s="179" t="str">
        <f aca="false">IF(AE15="","",AE15&amp;"_"&amp;AF15&amp;"_"&amp;AG15&amp;IF(AM15="","","_"&amp;AM15)&amp;IF(AN15="","","_"&amp;AN15)&amp;IF(AO15="","","_"&amp;AO15))</f>
        <v/>
      </c>
      <c r="AQ15" s="218" t="str">
        <f aca="false">IF(X15="","",X15)</f>
        <v/>
      </c>
    </row>
    <row r="16" customFormat="false" ht="13.5" hidden="false" customHeight="true" outlineLevel="0" collapsed="false">
      <c r="B16" s="209" t="n">
        <f aca="false">'Bulk Order Details'!B26</f>
        <v>13</v>
      </c>
      <c r="C16" s="209" t="e">
        <f aca="false">IF('bulk order details'!#ref!="","",'bulk order details'!#ref!&amp;" "&amp;'bulk order details'!#ref!)</f>
        <v>#VALUE!</v>
      </c>
      <c r="D16" s="210" t="str">
        <f aca="false">IF('Bulk Order Details'!J26="","",VLOOKUP(1,Price[],3))</f>
        <v/>
      </c>
      <c r="E16" s="211" t="str">
        <f aca="false">IF('Bulk Order Details'!J26="","",Summary!$D$9)</f>
        <v/>
      </c>
      <c r="F16" s="212" t="str">
        <f aca="false">IF('Bulk Order Details'!F26="","",_xlfn.xlookup('Bulk Order Details'!F26,Size[Display],Size[Price]))</f>
        <v/>
      </c>
      <c r="G16" s="212" t="str">
        <f aca="false">IF('Bulk Order Details'!G26="","",_xlfn.xlookup('Bulk Order Details'!G26,Length[Display],Length[Price]))</f>
        <v/>
      </c>
      <c r="H16" s="212" t="str">
        <f aca="false">IF('Bulk Order Details'!H26="","",_xlfn.xlookup('Bulk Order Details'!H26,Collection[Display],Collection[Price]))</f>
        <v/>
      </c>
      <c r="I16" s="212" t="str">
        <f aca="false">IF('Bulk Order Details'!I26="","",_xlfn.xlookup('Bulk Order Details'!I26,Sleeve[Display],Sleeve[Price]))</f>
        <v/>
      </c>
      <c r="J16" s="212" t="str">
        <f aca="false">IF('Bulk Order Details'!J26="","",_xlfn.xlookup('Bulk Order Details'!J26,Collar[Display],Collar[Price]))</f>
        <v/>
      </c>
      <c r="K16" s="212" t="str">
        <f aca="false">IF('Bulk Order Details'!K26="","",_xlfn.xlookup("Name",Name[Name],Name[Price]))</f>
        <v/>
      </c>
      <c r="L16" s="213" t="str">
        <f aca="false">IFERROR(IF('Bulk Order Details'!O26="","",IF(_xlfn.xlookup('Bulk Order Details'!O26,Logos[Display],Logos[Use])="Flat",_xlfn.xlookup('Bulk Order Details'!O26,Logos[Display],Logos[Flat]),ROUND(_xlfn.xlookup('Bulk Order Details'!O26,Logos[Display],Logos[Pct])*$E16,2))),"")</f>
        <v/>
      </c>
      <c r="M16" s="222" t="str">
        <f aca="false">IFERROR(IF('Bulk Order Details'!P26="","",IF(_xlfn.xlookup('Bulk Order Details'!P26,Chest[Display],Chest[Use])="Flat",_xlfn.xlookup('Bulk Order Details'!P26,Chest[Display],Chest[Flat]),ROUND(_xlfn.xlookup('Bulk Order Details'!P26,Chest[Display],Chest[Pct])*$E16,2))),"")</f>
        <v/>
      </c>
      <c r="N16" s="222" t="str">
        <f aca="false">IFERROR(IF('Bulk Order Details'!Q26="","",IF(_xlfn.xlookup('Bulk Order Details'!Q26,Chest[Display],Chest[Use])="Flat",_xlfn.xlookup('Bulk Order Details'!Q26,Chest[Display],Chest[Flat]),ROUND(_xlfn.xlookup('Bulk Order Details'!Q26,Chest[Display],Chest[Pct])*$E16,2))),"")</f>
        <v/>
      </c>
      <c r="O16" s="222" t="str">
        <f aca="false">IFERROR(IF('Bulk Order Details'!R26="","",IF(_xlfn.xlookup('Bulk Order Details'!R26,LeftSleeve[Display],LeftSleeve[Use])="Flat",_xlfn.xlookup('Bulk Order Details'!R26,LeftSleeve[Display],LeftSleeve[Flat]),ROUND(_xlfn.xlookup('Bulk Order Details'!R26,LeftSleeve[Display],LeftSleeve[Pct])*$E16,2))),"")</f>
        <v/>
      </c>
      <c r="P16" s="222" t="str">
        <f aca="false">IFERROR(IF('Bulk Order Details'!S26="","",IF(_xlfn.xlookup('Bulk Order Details'!S26,RightSleeve[Display],RightSleeve[Use])="Flat",_xlfn.xlookup('Bulk Order Details'!S26,RightSleeve[Display],RightSleeve[Flat]),ROUND(_xlfn.xlookup('Bulk Order Details'!S26,RightSleeve[Display],RightSleeve[Pct])*$E16,2))),"")</f>
        <v/>
      </c>
      <c r="Q16" s="214" t="str">
        <f aca="false">IF('Bulk Order Details'!J26="","",SUM(F16:P16))</f>
        <v/>
      </c>
      <c r="R16" s="213" t="str">
        <f aca="false">IFERROR(E16-D16,"")</f>
        <v/>
      </c>
      <c r="S16" s="215" t="str">
        <f aca="false">IFERROR(MIN(IF(Summary!$D$11="Yes",-J16,0),IF(H16&gt;0,-J16,0)),"")</f>
        <v/>
      </c>
      <c r="T16" s="212" t="str">
        <f aca="false">IFERROR(IF(Summary!$D$10="Yes",-K16,""),"")</f>
        <v/>
      </c>
      <c r="U16" s="213" t="str">
        <f aca="false">IFERROR(IF(Summary!$D$12="Yes",-L16,""),"")</f>
        <v/>
      </c>
      <c r="V16" s="216" t="str">
        <f aca="false">IF('Bulk Order Details'!J26="","",SUM(R16:U16))</f>
        <v/>
      </c>
      <c r="W16" s="217" t="str">
        <f aca="false">IF('Bulk Order Details'!J26="","",D16+Q16)</f>
        <v/>
      </c>
      <c r="X16" s="218" t="str">
        <f aca="false">IF('Bulk Order Details'!J26="","",D16+Q16+V16)</f>
        <v/>
      </c>
      <c r="Y16" s="219" t="str">
        <f aca="false">IFERROR((W16-X16)/W16,"")</f>
        <v/>
      </c>
      <c r="Z16" s="220" t="str">
        <f aca="false">IF('Bulk Order Details'!J26="","",MAX(1,'Bulk Order Details'!D26))</f>
        <v/>
      </c>
      <c r="AA16" s="217" t="str">
        <f aca="false">IF(Pricing_Details[[#This Row],[Quantity]]="","",Pricing_Details[[#This Row],[Retail Price]]*Pricing_Details[[#This Row],[Quantity]])</f>
        <v/>
      </c>
      <c r="AB16" s="217" t="str">
        <f aca="false">IF(Pricing_Details[[#This Row],[Quantity]]="","",Pricing_Details[[#This Row],[Total Discount]]*Pricing_Details[[#This Row],[Quantity]])</f>
        <v/>
      </c>
      <c r="AC16" s="221" t="str">
        <f aca="false">IFERROR(ROUND(Pricing_Details[[#This Row],[Actual Price]]*Pricing_Details[[#This Row],[Quantity]],2),"")</f>
        <v/>
      </c>
      <c r="AE16" s="179" t="str">
        <f aca="false">IF('Bulk Order Details'!J26="","",VLOOKUP('Bulk Order Details'!H26,Collection[],3)&amp;VLOOKUP('Bulk Order Details'!J26,Collar[],4)&amp;VLOOKUP('Bulk Order Details'!I26,Sleeve[],4))</f>
        <v/>
      </c>
      <c r="AF16" s="179" t="str">
        <f aca="false">IF('Bulk Order Details'!J26="","",LOOKUP('Bulk Order Details'!E26,Cut[Display],Cut[Code])&amp;LOOKUP('Bulk Order Details'!F26,#REF!,#REF!)&amp;IF('Bulk Order Details'!G26="","",LOOKUP('Bulk Order Details'!G26,Length[Display],Length[Code])))</f>
        <v/>
      </c>
      <c r="AG16" s="179" t="str">
        <f aca="false">IF('Bulk Order Details'!J26="","",IF('Bulk Order Details'!C26="","",'Bulk Order Details'!C26))</f>
        <v/>
      </c>
      <c r="AH16" s="179" t="str">
        <f aca="false">IF('Bulk Order Details'!O26="","","-"&amp;LOOKUP('Bulk Order Details'!O26,#REF!,#REF!))</f>
        <v/>
      </c>
      <c r="AI16" s="179" t="str">
        <f aca="false">IF('Bulk Order Details'!P26="","","-"&amp;LOOKUP('Bulk Order Details'!P26,#REF!,#REF!))</f>
        <v/>
      </c>
      <c r="AJ16" s="179" t="str">
        <f aca="false">IF('Bulk Order Details'!Q26="","","-"&amp;LOOKUP('Bulk Order Details'!Q26,#REF!,#REF!))</f>
        <v/>
      </c>
      <c r="AK16" s="179" t="str">
        <f aca="false">IF('Bulk Order Details'!R26="","","-"&amp;LOOKUP('Bulk Order Details'!R26,#REF!,#REF!))</f>
        <v/>
      </c>
      <c r="AL16" s="179" t="str">
        <f aca="false">IF('Bulk Order Details'!S26="","","-"&amp;LOOKUP('Bulk Order Details'!S26,#REF!,#REF!))</f>
        <v/>
      </c>
      <c r="AM16" s="179" t="str">
        <f aca="false">IF(_xlfn.CONCAT(AH16:AL16)="","","Lo"&amp;_xlfn.CONCAT(AH16:AL16))</f>
        <v/>
      </c>
      <c r="AN16" s="179" t="str">
        <f aca="false">IF('Bulk Order Details'!K26="","","Na-"&amp;'Bulk Order Details'!K26)</f>
        <v/>
      </c>
      <c r="AO16" s="179" t="str">
        <f aca="false">IF('Bulk Order Details'!N26="","","Fo-"&amp;'Bulk Order Details'!N26)</f>
        <v/>
      </c>
      <c r="AP16" s="179" t="str">
        <f aca="false">IF(AE16="","",AE16&amp;"_"&amp;AF16&amp;"_"&amp;AG16&amp;IF(AM16="","","_"&amp;AM16)&amp;IF(AN16="","","_"&amp;AN16)&amp;IF(AO16="","","_"&amp;AO16))</f>
        <v/>
      </c>
      <c r="AQ16" s="218" t="str">
        <f aca="false">IF(X16="","",X16)</f>
        <v/>
      </c>
    </row>
    <row r="17" customFormat="false" ht="13.5" hidden="false" customHeight="true" outlineLevel="0" collapsed="false">
      <c r="B17" s="209" t="n">
        <f aca="false">'Bulk Order Details'!B27</f>
        <v>14</v>
      </c>
      <c r="C17" s="209" t="e">
        <f aca="false">IF('bulk order details'!#ref!="","",'bulk order details'!#ref!&amp;" "&amp;'bulk order details'!#ref!)</f>
        <v>#VALUE!</v>
      </c>
      <c r="D17" s="210" t="str">
        <f aca="false">IF('Bulk Order Details'!J27="","",VLOOKUP(1,Price[],3))</f>
        <v/>
      </c>
      <c r="E17" s="211" t="str">
        <f aca="false">IF('Bulk Order Details'!J27="","",Summary!$D$9)</f>
        <v/>
      </c>
      <c r="F17" s="212" t="str">
        <f aca="false">IF('Bulk Order Details'!F27="","",_xlfn.xlookup('Bulk Order Details'!F27,Size[Display],Size[Price]))</f>
        <v/>
      </c>
      <c r="G17" s="212" t="str">
        <f aca="false">IF('Bulk Order Details'!G27="","",_xlfn.xlookup('Bulk Order Details'!G27,Length[Display],Length[Price]))</f>
        <v/>
      </c>
      <c r="H17" s="212" t="str">
        <f aca="false">IF('Bulk Order Details'!H27="","",_xlfn.xlookup('Bulk Order Details'!H27,Collection[Display],Collection[Price]))</f>
        <v/>
      </c>
      <c r="I17" s="212" t="str">
        <f aca="false">IF('Bulk Order Details'!I27="","",_xlfn.xlookup('Bulk Order Details'!I27,Sleeve[Display],Sleeve[Price]))</f>
        <v/>
      </c>
      <c r="J17" s="212" t="str">
        <f aca="false">IF('Bulk Order Details'!J27="","",_xlfn.xlookup('Bulk Order Details'!J27,Collar[Display],Collar[Price]))</f>
        <v/>
      </c>
      <c r="K17" s="212" t="str">
        <f aca="false">IF('Bulk Order Details'!K27="","",_xlfn.xlookup("Name",Name[Name],Name[Price]))</f>
        <v/>
      </c>
      <c r="L17" s="213" t="str">
        <f aca="false">IFERROR(IF('Bulk Order Details'!O27="","",IF(_xlfn.xlookup('Bulk Order Details'!O27,Logos[Display],Logos[Use])="Flat",_xlfn.xlookup('Bulk Order Details'!O27,Logos[Display],Logos[Flat]),ROUND(_xlfn.xlookup('Bulk Order Details'!O27,Logos[Display],Logos[Pct])*$E17,2))),"")</f>
        <v/>
      </c>
      <c r="M17" s="222" t="str">
        <f aca="false">IFERROR(IF('Bulk Order Details'!P27="","",IF(_xlfn.xlookup('Bulk Order Details'!P27,Chest[Display],Chest[Use])="Flat",_xlfn.xlookup('Bulk Order Details'!P27,Chest[Display],Chest[Flat]),ROUND(_xlfn.xlookup('Bulk Order Details'!P27,Chest[Display],Chest[Pct])*$E17,2))),"")</f>
        <v/>
      </c>
      <c r="N17" s="222" t="str">
        <f aca="false">IFERROR(IF('Bulk Order Details'!Q27="","",IF(_xlfn.xlookup('Bulk Order Details'!Q27,Chest[Display],Chest[Use])="Flat",_xlfn.xlookup('Bulk Order Details'!Q27,Chest[Display],Chest[Flat]),ROUND(_xlfn.xlookup('Bulk Order Details'!Q27,Chest[Display],Chest[Pct])*$E17,2))),"")</f>
        <v/>
      </c>
      <c r="O17" s="222" t="str">
        <f aca="false">IFERROR(IF('Bulk Order Details'!R27="","",IF(_xlfn.xlookup('Bulk Order Details'!R27,LeftSleeve[Display],LeftSleeve[Use])="Flat",_xlfn.xlookup('Bulk Order Details'!R27,LeftSleeve[Display],LeftSleeve[Flat]),ROUND(_xlfn.xlookup('Bulk Order Details'!R27,LeftSleeve[Display],LeftSleeve[Pct])*$E17,2))),"")</f>
        <v/>
      </c>
      <c r="P17" s="222" t="str">
        <f aca="false">IFERROR(IF('Bulk Order Details'!S27="","",IF(_xlfn.xlookup('Bulk Order Details'!S27,RightSleeve[Display],RightSleeve[Use])="Flat",_xlfn.xlookup('Bulk Order Details'!S27,RightSleeve[Display],RightSleeve[Flat]),ROUND(_xlfn.xlookup('Bulk Order Details'!S27,RightSleeve[Display],RightSleeve[Pct])*$E17,2))),"")</f>
        <v/>
      </c>
      <c r="Q17" s="214" t="str">
        <f aca="false">IF('Bulk Order Details'!J27="","",SUM(F17:P17))</f>
        <v/>
      </c>
      <c r="R17" s="213" t="str">
        <f aca="false">IFERROR(E17-D17,"")</f>
        <v/>
      </c>
      <c r="S17" s="215" t="str">
        <f aca="false">IFERROR(MIN(IF(Summary!$D$11="Yes",-J17,0),IF(H17&gt;0,-J17,0)),"")</f>
        <v/>
      </c>
      <c r="T17" s="212" t="str">
        <f aca="false">IFERROR(IF(Summary!$D$10="Yes",-K17,""),"")</f>
        <v/>
      </c>
      <c r="U17" s="213" t="str">
        <f aca="false">IFERROR(IF(Summary!$D$12="Yes",-L17,""),"")</f>
        <v/>
      </c>
      <c r="V17" s="216" t="str">
        <f aca="false">IF('Bulk Order Details'!J27="","",SUM(R17:U17))</f>
        <v/>
      </c>
      <c r="W17" s="217" t="str">
        <f aca="false">IF('Bulk Order Details'!J27="","",D17+Q17)</f>
        <v/>
      </c>
      <c r="X17" s="218" t="str">
        <f aca="false">IF('Bulk Order Details'!J27="","",D17+Q17+V17)</f>
        <v/>
      </c>
      <c r="Y17" s="219" t="str">
        <f aca="false">IFERROR((W17-X17)/W17,"")</f>
        <v/>
      </c>
      <c r="Z17" s="220" t="str">
        <f aca="false">IF('Bulk Order Details'!J27="","",MAX(1,'Bulk Order Details'!D27))</f>
        <v/>
      </c>
      <c r="AA17" s="217" t="str">
        <f aca="false">IF(Pricing_Details[[#This Row],[Quantity]]="","",Pricing_Details[[#This Row],[Retail Price]]*Pricing_Details[[#This Row],[Quantity]])</f>
        <v/>
      </c>
      <c r="AB17" s="217" t="str">
        <f aca="false">IF(Pricing_Details[[#This Row],[Quantity]]="","",Pricing_Details[[#This Row],[Total Discount]]*Pricing_Details[[#This Row],[Quantity]])</f>
        <v/>
      </c>
      <c r="AC17" s="221" t="str">
        <f aca="false">IFERROR(ROUND(Pricing_Details[[#This Row],[Actual Price]]*Pricing_Details[[#This Row],[Quantity]],2),"")</f>
        <v/>
      </c>
      <c r="AE17" s="179" t="str">
        <f aca="false">IF('Bulk Order Details'!J27="","",VLOOKUP('Bulk Order Details'!H27,Collection[],3)&amp;VLOOKUP('Bulk Order Details'!J27,Collar[],4)&amp;VLOOKUP('Bulk Order Details'!I27,Sleeve[],4))</f>
        <v/>
      </c>
      <c r="AF17" s="179" t="str">
        <f aca="false">IF('Bulk Order Details'!J27="","",LOOKUP('Bulk Order Details'!E27,Cut[Display],Cut[Code])&amp;LOOKUP('Bulk Order Details'!F27,#REF!,#REF!)&amp;IF('Bulk Order Details'!G27="","",LOOKUP('Bulk Order Details'!G27,Length[Display],Length[Code])))</f>
        <v/>
      </c>
      <c r="AG17" s="179" t="str">
        <f aca="false">IF('Bulk Order Details'!J27="","",IF('Bulk Order Details'!C27="","",'Bulk Order Details'!C27))</f>
        <v/>
      </c>
      <c r="AH17" s="179" t="str">
        <f aca="false">IF('Bulk Order Details'!O27="","","-"&amp;LOOKUP('Bulk Order Details'!O27,#REF!,#REF!))</f>
        <v/>
      </c>
      <c r="AI17" s="179" t="str">
        <f aca="false">IF('Bulk Order Details'!P27="","","-"&amp;LOOKUP('Bulk Order Details'!P27,#REF!,#REF!))</f>
        <v/>
      </c>
      <c r="AJ17" s="179" t="str">
        <f aca="false">IF('Bulk Order Details'!Q27="","","-"&amp;LOOKUP('Bulk Order Details'!Q27,#REF!,#REF!))</f>
        <v/>
      </c>
      <c r="AK17" s="179" t="str">
        <f aca="false">IF('Bulk Order Details'!R27="","","-"&amp;LOOKUP('Bulk Order Details'!R27,#REF!,#REF!))</f>
        <v/>
      </c>
      <c r="AL17" s="179" t="str">
        <f aca="false">IF('Bulk Order Details'!S27="","","-"&amp;LOOKUP('Bulk Order Details'!S27,#REF!,#REF!))</f>
        <v/>
      </c>
      <c r="AM17" s="179" t="str">
        <f aca="false">IF(_xlfn.CONCAT(AH17:AL17)="","","Lo"&amp;_xlfn.CONCAT(AH17:AL17))</f>
        <v/>
      </c>
      <c r="AN17" s="179" t="str">
        <f aca="false">IF('Bulk Order Details'!K27="","","Na-"&amp;'Bulk Order Details'!K27)</f>
        <v/>
      </c>
      <c r="AO17" s="179" t="str">
        <f aca="false">IF('Bulk Order Details'!N27="","","Fo-"&amp;'Bulk Order Details'!N27)</f>
        <v/>
      </c>
      <c r="AP17" s="179" t="str">
        <f aca="false">IF(AE17="","",AE17&amp;"_"&amp;AF17&amp;"_"&amp;AG17&amp;IF(AM17="","","_"&amp;AM17)&amp;IF(AN17="","","_"&amp;AN17)&amp;IF(AO17="","","_"&amp;AO17))</f>
        <v/>
      </c>
      <c r="AQ17" s="218" t="str">
        <f aca="false">IF(X17="","",X17)</f>
        <v/>
      </c>
    </row>
    <row r="18" customFormat="false" ht="13.5" hidden="false" customHeight="true" outlineLevel="0" collapsed="false">
      <c r="B18" s="209" t="n">
        <f aca="false">'Bulk Order Details'!B28</f>
        <v>15</v>
      </c>
      <c r="C18" s="209" t="e">
        <f aca="false">IF('bulk order details'!#ref!="","",'bulk order details'!#ref!&amp;" "&amp;'bulk order details'!#ref!)</f>
        <v>#VALUE!</v>
      </c>
      <c r="D18" s="210" t="str">
        <f aca="false">IF('Bulk Order Details'!J28="","",VLOOKUP(1,Price[],3))</f>
        <v/>
      </c>
      <c r="E18" s="211" t="str">
        <f aca="false">IF('Bulk Order Details'!J28="","",Summary!$D$9)</f>
        <v/>
      </c>
      <c r="F18" s="212" t="str">
        <f aca="false">IF('Bulk Order Details'!F28="","",_xlfn.xlookup('Bulk Order Details'!F28,Size[Display],Size[Price]))</f>
        <v/>
      </c>
      <c r="G18" s="212" t="str">
        <f aca="false">IF('Bulk Order Details'!G28="","",_xlfn.xlookup('Bulk Order Details'!G28,Length[Display],Length[Price]))</f>
        <v/>
      </c>
      <c r="H18" s="212" t="str">
        <f aca="false">IF('Bulk Order Details'!H28="","",_xlfn.xlookup('Bulk Order Details'!H28,Collection[Display],Collection[Price]))</f>
        <v/>
      </c>
      <c r="I18" s="212" t="str">
        <f aca="false">IF('Bulk Order Details'!I28="","",_xlfn.xlookup('Bulk Order Details'!I28,Sleeve[Display],Sleeve[Price]))</f>
        <v/>
      </c>
      <c r="J18" s="212" t="str">
        <f aca="false">IF('Bulk Order Details'!J28="","",_xlfn.xlookup('Bulk Order Details'!J28,Collar[Display],Collar[Price]))</f>
        <v/>
      </c>
      <c r="K18" s="212" t="str">
        <f aca="false">IF('Bulk Order Details'!K28="","",_xlfn.xlookup("Name",Name[Name],Name[Price]))</f>
        <v/>
      </c>
      <c r="L18" s="213" t="str">
        <f aca="false">IFERROR(IF('Bulk Order Details'!O28="","",IF(_xlfn.xlookup('Bulk Order Details'!O28,Logos[Display],Logos[Use])="Flat",_xlfn.xlookup('Bulk Order Details'!O28,Logos[Display],Logos[Flat]),ROUND(_xlfn.xlookup('Bulk Order Details'!O28,Logos[Display],Logos[Pct])*$E18,2))),"")</f>
        <v/>
      </c>
      <c r="M18" s="222" t="str">
        <f aca="false">IFERROR(IF('Bulk Order Details'!P28="","",IF(_xlfn.xlookup('Bulk Order Details'!P28,Chest[Display],Chest[Use])="Flat",_xlfn.xlookup('Bulk Order Details'!P28,Chest[Display],Chest[Flat]),ROUND(_xlfn.xlookup('Bulk Order Details'!P28,Chest[Display],Chest[Pct])*$E18,2))),"")</f>
        <v/>
      </c>
      <c r="N18" s="222" t="str">
        <f aca="false">IFERROR(IF('Bulk Order Details'!Q28="","",IF(_xlfn.xlookup('Bulk Order Details'!Q28,Chest[Display],Chest[Use])="Flat",_xlfn.xlookup('Bulk Order Details'!Q28,Chest[Display],Chest[Flat]),ROUND(_xlfn.xlookup('Bulk Order Details'!Q28,Chest[Display],Chest[Pct])*$E18,2))),"")</f>
        <v/>
      </c>
      <c r="O18" s="222" t="str">
        <f aca="false">IFERROR(IF('Bulk Order Details'!R28="","",IF(_xlfn.xlookup('Bulk Order Details'!R28,LeftSleeve[Display],LeftSleeve[Use])="Flat",_xlfn.xlookup('Bulk Order Details'!R28,LeftSleeve[Display],LeftSleeve[Flat]),ROUND(_xlfn.xlookup('Bulk Order Details'!R28,LeftSleeve[Display],LeftSleeve[Pct])*$E18,2))),"")</f>
        <v/>
      </c>
      <c r="P18" s="222" t="str">
        <f aca="false">IFERROR(IF('Bulk Order Details'!S28="","",IF(_xlfn.xlookup('Bulk Order Details'!S28,RightSleeve[Display],RightSleeve[Use])="Flat",_xlfn.xlookup('Bulk Order Details'!S28,RightSleeve[Display],RightSleeve[Flat]),ROUND(_xlfn.xlookup('Bulk Order Details'!S28,RightSleeve[Display],RightSleeve[Pct])*$E18,2))),"")</f>
        <v/>
      </c>
      <c r="Q18" s="214" t="str">
        <f aca="false">IF('Bulk Order Details'!J28="","",SUM(F18:P18))</f>
        <v/>
      </c>
      <c r="R18" s="213" t="str">
        <f aca="false">IFERROR(E18-D18,"")</f>
        <v/>
      </c>
      <c r="S18" s="215" t="str">
        <f aca="false">IFERROR(MIN(IF(Summary!$D$11="Yes",-J18,0),IF(H18&gt;0,-J18,0)),"")</f>
        <v/>
      </c>
      <c r="T18" s="212" t="str">
        <f aca="false">IFERROR(IF(Summary!$D$10="Yes",-K18,""),"")</f>
        <v/>
      </c>
      <c r="U18" s="213" t="str">
        <f aca="false">IFERROR(IF(Summary!$D$12="Yes",-L18,""),"")</f>
        <v/>
      </c>
      <c r="V18" s="216" t="str">
        <f aca="false">IF('Bulk Order Details'!J28="","",SUM(R18:U18))</f>
        <v/>
      </c>
      <c r="W18" s="217" t="str">
        <f aca="false">IF('Bulk Order Details'!J28="","",D18+Q18)</f>
        <v/>
      </c>
      <c r="X18" s="218" t="str">
        <f aca="false">IF('Bulk Order Details'!J28="","",D18+Q18+V18)</f>
        <v/>
      </c>
      <c r="Y18" s="219" t="str">
        <f aca="false">IFERROR((W18-X18)/W18,"")</f>
        <v/>
      </c>
      <c r="Z18" s="220" t="str">
        <f aca="false">IF('Bulk Order Details'!J28="","",MAX(1,'Bulk Order Details'!D28))</f>
        <v/>
      </c>
      <c r="AA18" s="217" t="str">
        <f aca="false">IF(Pricing_Details[[#This Row],[Quantity]]="","",Pricing_Details[[#This Row],[Retail Price]]*Pricing_Details[[#This Row],[Quantity]])</f>
        <v/>
      </c>
      <c r="AB18" s="217" t="str">
        <f aca="false">IF(Pricing_Details[[#This Row],[Quantity]]="","",Pricing_Details[[#This Row],[Total Discount]]*Pricing_Details[[#This Row],[Quantity]])</f>
        <v/>
      </c>
      <c r="AC18" s="221" t="str">
        <f aca="false">IFERROR(ROUND(Pricing_Details[[#This Row],[Actual Price]]*Pricing_Details[[#This Row],[Quantity]],2),"")</f>
        <v/>
      </c>
      <c r="AE18" s="179" t="str">
        <f aca="false">IF('Bulk Order Details'!J28="","",VLOOKUP('Bulk Order Details'!H28,Collection[],3)&amp;VLOOKUP('Bulk Order Details'!J28,Collar[],4)&amp;VLOOKUP('Bulk Order Details'!I28,Sleeve[],4))</f>
        <v/>
      </c>
      <c r="AF18" s="179" t="str">
        <f aca="false">IF('Bulk Order Details'!J28="","",LOOKUP('Bulk Order Details'!E28,Cut[Display],Cut[Code])&amp;LOOKUP('Bulk Order Details'!F28,#REF!,#REF!)&amp;IF('Bulk Order Details'!G28="","",LOOKUP('Bulk Order Details'!G28,Length[Display],Length[Code])))</f>
        <v/>
      </c>
      <c r="AG18" s="179" t="str">
        <f aca="false">IF('Bulk Order Details'!J28="","",IF('Bulk Order Details'!C28="","",'Bulk Order Details'!C28))</f>
        <v/>
      </c>
      <c r="AH18" s="179" t="str">
        <f aca="false">IF('Bulk Order Details'!O28="","","-"&amp;LOOKUP('Bulk Order Details'!O28,#REF!,#REF!))</f>
        <v/>
      </c>
      <c r="AI18" s="179" t="str">
        <f aca="false">IF('Bulk Order Details'!P28="","","-"&amp;LOOKUP('Bulk Order Details'!P28,#REF!,#REF!))</f>
        <v/>
      </c>
      <c r="AJ18" s="179" t="str">
        <f aca="false">IF('Bulk Order Details'!Q28="","","-"&amp;LOOKUP('Bulk Order Details'!Q28,#REF!,#REF!))</f>
        <v/>
      </c>
      <c r="AK18" s="179" t="str">
        <f aca="false">IF('Bulk Order Details'!R28="","","-"&amp;LOOKUP('Bulk Order Details'!R28,#REF!,#REF!))</f>
        <v/>
      </c>
      <c r="AL18" s="179" t="str">
        <f aca="false">IF('Bulk Order Details'!S28="","","-"&amp;LOOKUP('Bulk Order Details'!S28,#REF!,#REF!))</f>
        <v/>
      </c>
      <c r="AM18" s="179" t="str">
        <f aca="false">IF(_xlfn.CONCAT(AH18:AL18)="","","Lo"&amp;_xlfn.CONCAT(AH18:AL18))</f>
        <v/>
      </c>
      <c r="AN18" s="179" t="str">
        <f aca="false">IF('Bulk Order Details'!K28="","","Na-"&amp;'Bulk Order Details'!K28)</f>
        <v/>
      </c>
      <c r="AO18" s="179" t="str">
        <f aca="false">IF('Bulk Order Details'!N28="","","Fo-"&amp;'Bulk Order Details'!N28)</f>
        <v/>
      </c>
      <c r="AP18" s="179" t="str">
        <f aca="false">IF(AE18="","",AE18&amp;"_"&amp;AF18&amp;"_"&amp;AG18&amp;IF(AM18="","","_"&amp;AM18)&amp;IF(AN18="","","_"&amp;AN18)&amp;IF(AO18="","","_"&amp;AO18))</f>
        <v/>
      </c>
      <c r="AQ18" s="218" t="str">
        <f aca="false">IF(X18="","",X18)</f>
        <v/>
      </c>
    </row>
    <row r="19" customFormat="false" ht="13.5" hidden="false" customHeight="true" outlineLevel="0" collapsed="false">
      <c r="B19" s="209" t="n">
        <f aca="false">'Bulk Order Details'!B29</f>
        <v>16</v>
      </c>
      <c r="C19" s="209" t="e">
        <f aca="false">IF('bulk order details'!#ref!="","",'bulk order details'!#ref!&amp;" "&amp;'bulk order details'!#ref!)</f>
        <v>#VALUE!</v>
      </c>
      <c r="D19" s="210" t="str">
        <f aca="false">IF('Bulk Order Details'!J29="","",VLOOKUP(1,Price[],3))</f>
        <v/>
      </c>
      <c r="E19" s="211" t="str">
        <f aca="false">IF('Bulk Order Details'!J29="","",Summary!$D$9)</f>
        <v/>
      </c>
      <c r="F19" s="212" t="str">
        <f aca="false">IF('Bulk Order Details'!F29="","",_xlfn.xlookup('Bulk Order Details'!F29,Size[Display],Size[Price]))</f>
        <v/>
      </c>
      <c r="G19" s="212" t="str">
        <f aca="false">IF('Bulk Order Details'!G29="","",_xlfn.xlookup('Bulk Order Details'!G29,Length[Display],Length[Price]))</f>
        <v/>
      </c>
      <c r="H19" s="212" t="str">
        <f aca="false">IF('Bulk Order Details'!H29="","",_xlfn.xlookup('Bulk Order Details'!H29,Collection[Display],Collection[Price]))</f>
        <v/>
      </c>
      <c r="I19" s="212" t="str">
        <f aca="false">IF('Bulk Order Details'!I29="","",_xlfn.xlookup('Bulk Order Details'!I29,Sleeve[Display],Sleeve[Price]))</f>
        <v/>
      </c>
      <c r="J19" s="212" t="str">
        <f aca="false">IF('Bulk Order Details'!J29="","",_xlfn.xlookup('Bulk Order Details'!J29,Collar[Display],Collar[Price]))</f>
        <v/>
      </c>
      <c r="K19" s="212" t="str">
        <f aca="false">IF('Bulk Order Details'!K29="","",_xlfn.xlookup("Name",Name[Name],Name[Price]))</f>
        <v/>
      </c>
      <c r="L19" s="213" t="str">
        <f aca="false">IFERROR(IF('Bulk Order Details'!O29="","",IF(_xlfn.xlookup('Bulk Order Details'!O29,Logos[Display],Logos[Use])="Flat",_xlfn.xlookup('Bulk Order Details'!O29,Logos[Display],Logos[Flat]),ROUND(_xlfn.xlookup('Bulk Order Details'!O29,Logos[Display],Logos[Pct])*$E19,2))),"")</f>
        <v/>
      </c>
      <c r="M19" s="222" t="str">
        <f aca="false">IFERROR(IF('Bulk Order Details'!P29="","",IF(_xlfn.xlookup('Bulk Order Details'!P29,Chest[Display],Chest[Use])="Flat",_xlfn.xlookup('Bulk Order Details'!P29,Chest[Display],Chest[Flat]),ROUND(_xlfn.xlookup('Bulk Order Details'!P29,Chest[Display],Chest[Pct])*$E19,2))),"")</f>
        <v/>
      </c>
      <c r="N19" s="222" t="str">
        <f aca="false">IFERROR(IF('Bulk Order Details'!Q29="","",IF(_xlfn.xlookup('Bulk Order Details'!Q29,Chest[Display],Chest[Use])="Flat",_xlfn.xlookup('Bulk Order Details'!Q29,Chest[Display],Chest[Flat]),ROUND(_xlfn.xlookup('Bulk Order Details'!Q29,Chest[Display],Chest[Pct])*$E19,2))),"")</f>
        <v/>
      </c>
      <c r="O19" s="222" t="str">
        <f aca="false">IFERROR(IF('Bulk Order Details'!R29="","",IF(_xlfn.xlookup('Bulk Order Details'!R29,LeftSleeve[Display],LeftSleeve[Use])="Flat",_xlfn.xlookup('Bulk Order Details'!R29,LeftSleeve[Display],LeftSleeve[Flat]),ROUND(_xlfn.xlookup('Bulk Order Details'!R29,LeftSleeve[Display],LeftSleeve[Pct])*$E19,2))),"")</f>
        <v/>
      </c>
      <c r="P19" s="222" t="str">
        <f aca="false">IFERROR(IF('Bulk Order Details'!S29="","",IF(_xlfn.xlookup('Bulk Order Details'!S29,RightSleeve[Display],RightSleeve[Use])="Flat",_xlfn.xlookup('Bulk Order Details'!S29,RightSleeve[Display],RightSleeve[Flat]),ROUND(_xlfn.xlookup('Bulk Order Details'!S29,RightSleeve[Display],RightSleeve[Pct])*$E19,2))),"")</f>
        <v/>
      </c>
      <c r="Q19" s="214" t="str">
        <f aca="false">IF('Bulk Order Details'!J29="","",SUM(F19:P19))</f>
        <v/>
      </c>
      <c r="R19" s="213" t="str">
        <f aca="false">IFERROR(E19-D19,"")</f>
        <v/>
      </c>
      <c r="S19" s="215" t="str">
        <f aca="false">IFERROR(MIN(IF(Summary!$D$11="Yes",-J19,0),IF(H19&gt;0,-J19,0)),"")</f>
        <v/>
      </c>
      <c r="T19" s="212" t="str">
        <f aca="false">IFERROR(IF(Summary!$D$10="Yes",-K19,""),"")</f>
        <v/>
      </c>
      <c r="U19" s="213" t="str">
        <f aca="false">IFERROR(IF(Summary!$D$12="Yes",-L19,""),"")</f>
        <v/>
      </c>
      <c r="V19" s="216" t="str">
        <f aca="false">IF('Bulk Order Details'!J29="","",SUM(R19:U19))</f>
        <v/>
      </c>
      <c r="W19" s="217" t="str">
        <f aca="false">IF('Bulk Order Details'!J29="","",D19+Q19)</f>
        <v/>
      </c>
      <c r="X19" s="218" t="str">
        <f aca="false">IF('Bulk Order Details'!J29="","",D19+Q19+V19)</f>
        <v/>
      </c>
      <c r="Y19" s="219" t="str">
        <f aca="false">IFERROR((W19-X19)/W19,"")</f>
        <v/>
      </c>
      <c r="Z19" s="220" t="str">
        <f aca="false">IF('Bulk Order Details'!J29="","",MAX(1,'Bulk Order Details'!D29))</f>
        <v/>
      </c>
      <c r="AA19" s="217" t="str">
        <f aca="false">IF(Pricing_Details[[#This Row],[Quantity]]="","",Pricing_Details[[#This Row],[Retail Price]]*Pricing_Details[[#This Row],[Quantity]])</f>
        <v/>
      </c>
      <c r="AB19" s="217" t="str">
        <f aca="false">IF(Pricing_Details[[#This Row],[Quantity]]="","",Pricing_Details[[#This Row],[Total Discount]]*Pricing_Details[[#This Row],[Quantity]])</f>
        <v/>
      </c>
      <c r="AC19" s="221" t="str">
        <f aca="false">IFERROR(ROUND(Pricing_Details[[#This Row],[Actual Price]]*Pricing_Details[[#This Row],[Quantity]],2),"")</f>
        <v/>
      </c>
      <c r="AE19" s="179" t="str">
        <f aca="false">IF('Bulk Order Details'!J29="","",VLOOKUP('Bulk Order Details'!H29,Collection[],3)&amp;VLOOKUP('Bulk Order Details'!J29,Collar[],4)&amp;VLOOKUP('Bulk Order Details'!I29,Sleeve[],4))</f>
        <v/>
      </c>
      <c r="AF19" s="179" t="str">
        <f aca="false">IF('Bulk Order Details'!J29="","",LOOKUP('Bulk Order Details'!E29,Cut[Display],Cut[Code])&amp;LOOKUP('Bulk Order Details'!F29,#REF!,#REF!)&amp;IF('Bulk Order Details'!G29="","",LOOKUP('Bulk Order Details'!G29,Length[Display],Length[Code])))</f>
        <v/>
      </c>
      <c r="AG19" s="179" t="str">
        <f aca="false">IF('Bulk Order Details'!J29="","",IF('Bulk Order Details'!C29="","",'Bulk Order Details'!C29))</f>
        <v/>
      </c>
      <c r="AH19" s="179" t="str">
        <f aca="false">IF('Bulk Order Details'!O29="","","-"&amp;LOOKUP('Bulk Order Details'!O29,#REF!,#REF!))</f>
        <v/>
      </c>
      <c r="AI19" s="179" t="str">
        <f aca="false">IF('Bulk Order Details'!P29="","","-"&amp;LOOKUP('Bulk Order Details'!P29,#REF!,#REF!))</f>
        <v/>
      </c>
      <c r="AJ19" s="179" t="str">
        <f aca="false">IF('Bulk Order Details'!Q29="","","-"&amp;LOOKUP('Bulk Order Details'!Q29,#REF!,#REF!))</f>
        <v/>
      </c>
      <c r="AK19" s="179" t="str">
        <f aca="false">IF('Bulk Order Details'!R29="","","-"&amp;LOOKUP('Bulk Order Details'!R29,#REF!,#REF!))</f>
        <v/>
      </c>
      <c r="AL19" s="179" t="str">
        <f aca="false">IF('Bulk Order Details'!S29="","","-"&amp;LOOKUP('Bulk Order Details'!S29,#REF!,#REF!))</f>
        <v/>
      </c>
      <c r="AM19" s="179" t="str">
        <f aca="false">IF(_xlfn.CONCAT(AH19:AL19)="","","Lo"&amp;_xlfn.CONCAT(AH19:AL19))</f>
        <v/>
      </c>
      <c r="AN19" s="179" t="str">
        <f aca="false">IF('Bulk Order Details'!K29="","","Na-"&amp;'Bulk Order Details'!K29)</f>
        <v/>
      </c>
      <c r="AO19" s="179" t="str">
        <f aca="false">IF('Bulk Order Details'!N29="","","Fo-"&amp;'Bulk Order Details'!N29)</f>
        <v/>
      </c>
      <c r="AP19" s="179" t="str">
        <f aca="false">IF(AE19="","",AE19&amp;"_"&amp;AF19&amp;"_"&amp;AG19&amp;IF(AM19="","","_"&amp;AM19)&amp;IF(AN19="","","_"&amp;AN19)&amp;IF(AO19="","","_"&amp;AO19))</f>
        <v/>
      </c>
      <c r="AQ19" s="218" t="str">
        <f aca="false">IF(X19="","",X19)</f>
        <v/>
      </c>
    </row>
    <row r="20" customFormat="false" ht="13.5" hidden="false" customHeight="true" outlineLevel="0" collapsed="false">
      <c r="B20" s="209" t="n">
        <f aca="false">'Bulk Order Details'!B30</f>
        <v>17</v>
      </c>
      <c r="C20" s="209" t="e">
        <f aca="false">IF('bulk order details'!#ref!="","",'bulk order details'!#ref!&amp;" "&amp;'bulk order details'!#ref!)</f>
        <v>#VALUE!</v>
      </c>
      <c r="D20" s="210" t="str">
        <f aca="false">IF('Bulk Order Details'!J30="","",VLOOKUP(1,Price[],3))</f>
        <v/>
      </c>
      <c r="E20" s="211" t="str">
        <f aca="false">IF('Bulk Order Details'!J30="","",Summary!$D$9)</f>
        <v/>
      </c>
      <c r="F20" s="212" t="str">
        <f aca="false">IF('Bulk Order Details'!F30="","",_xlfn.xlookup('Bulk Order Details'!F30,Size[Display],Size[Price]))</f>
        <v/>
      </c>
      <c r="G20" s="212" t="str">
        <f aca="false">IF('Bulk Order Details'!G30="","",_xlfn.xlookup('Bulk Order Details'!G30,Length[Display],Length[Price]))</f>
        <v/>
      </c>
      <c r="H20" s="212" t="str">
        <f aca="false">IF('Bulk Order Details'!H30="","",_xlfn.xlookup('Bulk Order Details'!H30,Collection[Display],Collection[Price]))</f>
        <v/>
      </c>
      <c r="I20" s="212" t="str">
        <f aca="false">IF('Bulk Order Details'!I30="","",_xlfn.xlookup('Bulk Order Details'!I30,Sleeve[Display],Sleeve[Price]))</f>
        <v/>
      </c>
      <c r="J20" s="212" t="str">
        <f aca="false">IF('Bulk Order Details'!J30="","",_xlfn.xlookup('Bulk Order Details'!J30,Collar[Display],Collar[Price]))</f>
        <v/>
      </c>
      <c r="K20" s="212" t="str">
        <f aca="false">IF('Bulk Order Details'!K30="","",_xlfn.xlookup("Name",Name[Name],Name[Price]))</f>
        <v/>
      </c>
      <c r="L20" s="213" t="str">
        <f aca="false">IFERROR(IF('Bulk Order Details'!O30="","",IF(_xlfn.xlookup('Bulk Order Details'!O30,Logos[Display],Logos[Use])="Flat",_xlfn.xlookup('Bulk Order Details'!O30,Logos[Display],Logos[Flat]),ROUND(_xlfn.xlookup('Bulk Order Details'!O30,Logos[Display],Logos[Pct])*$E20,2))),"")</f>
        <v/>
      </c>
      <c r="M20" s="222" t="str">
        <f aca="false">IFERROR(IF('Bulk Order Details'!P30="","",IF(_xlfn.xlookup('Bulk Order Details'!P30,Chest[Display],Chest[Use])="Flat",_xlfn.xlookup('Bulk Order Details'!P30,Chest[Display],Chest[Flat]),ROUND(_xlfn.xlookup('Bulk Order Details'!P30,Chest[Display],Chest[Pct])*$E20,2))),"")</f>
        <v/>
      </c>
      <c r="N20" s="222" t="str">
        <f aca="false">IFERROR(IF('Bulk Order Details'!Q30="","",IF(_xlfn.xlookup('Bulk Order Details'!Q30,Chest[Display],Chest[Use])="Flat",_xlfn.xlookup('Bulk Order Details'!Q30,Chest[Display],Chest[Flat]),ROUND(_xlfn.xlookup('Bulk Order Details'!Q30,Chest[Display],Chest[Pct])*$E20,2))),"")</f>
        <v/>
      </c>
      <c r="O20" s="222" t="str">
        <f aca="false">IFERROR(IF('Bulk Order Details'!R30="","",IF(_xlfn.xlookup('Bulk Order Details'!R30,LeftSleeve[Display],LeftSleeve[Use])="Flat",_xlfn.xlookup('Bulk Order Details'!R30,LeftSleeve[Display],LeftSleeve[Flat]),ROUND(_xlfn.xlookup('Bulk Order Details'!R30,LeftSleeve[Display],LeftSleeve[Pct])*$E20,2))),"")</f>
        <v/>
      </c>
      <c r="P20" s="222" t="str">
        <f aca="false">IFERROR(IF('Bulk Order Details'!S30="","",IF(_xlfn.xlookup('Bulk Order Details'!S30,RightSleeve[Display],RightSleeve[Use])="Flat",_xlfn.xlookup('Bulk Order Details'!S30,RightSleeve[Display],RightSleeve[Flat]),ROUND(_xlfn.xlookup('Bulk Order Details'!S30,RightSleeve[Display],RightSleeve[Pct])*$E20,2))),"")</f>
        <v/>
      </c>
      <c r="Q20" s="214" t="str">
        <f aca="false">IF('Bulk Order Details'!J30="","",SUM(F20:P20))</f>
        <v/>
      </c>
      <c r="R20" s="213" t="str">
        <f aca="false">IFERROR(E20-D20,"")</f>
        <v/>
      </c>
      <c r="S20" s="215" t="str">
        <f aca="false">IFERROR(MIN(IF(Summary!$D$11="Yes",-J20,0),IF(H20&gt;0,-J20,0)),"")</f>
        <v/>
      </c>
      <c r="T20" s="212" t="str">
        <f aca="false">IFERROR(IF(Summary!$D$10="Yes",-K20,""),"")</f>
        <v/>
      </c>
      <c r="U20" s="213" t="str">
        <f aca="false">IFERROR(IF(Summary!$D$12="Yes",-L20,""),"")</f>
        <v/>
      </c>
      <c r="V20" s="216" t="str">
        <f aca="false">IF('Bulk Order Details'!J30="","",SUM(R20:U20))</f>
        <v/>
      </c>
      <c r="W20" s="217" t="str">
        <f aca="false">IF('Bulk Order Details'!J30="","",D20+Q20)</f>
        <v/>
      </c>
      <c r="X20" s="218" t="str">
        <f aca="false">IF('Bulk Order Details'!J30="","",D20+Q20+V20)</f>
        <v/>
      </c>
      <c r="Y20" s="219" t="str">
        <f aca="false">IFERROR((W20-X20)/W20,"")</f>
        <v/>
      </c>
      <c r="Z20" s="220" t="str">
        <f aca="false">IF('Bulk Order Details'!J30="","",MAX(1,'Bulk Order Details'!D30))</f>
        <v/>
      </c>
      <c r="AA20" s="217" t="str">
        <f aca="false">IF(Pricing_Details[[#This Row],[Quantity]]="","",Pricing_Details[[#This Row],[Retail Price]]*Pricing_Details[[#This Row],[Quantity]])</f>
        <v/>
      </c>
      <c r="AB20" s="217" t="str">
        <f aca="false">IF(Pricing_Details[[#This Row],[Quantity]]="","",Pricing_Details[[#This Row],[Total Discount]]*Pricing_Details[[#This Row],[Quantity]])</f>
        <v/>
      </c>
      <c r="AC20" s="221" t="str">
        <f aca="false">IFERROR(ROUND(Pricing_Details[[#This Row],[Actual Price]]*Pricing_Details[[#This Row],[Quantity]],2),"")</f>
        <v/>
      </c>
      <c r="AE20" s="179" t="str">
        <f aca="false">IF('Bulk Order Details'!J30="","",VLOOKUP('Bulk Order Details'!H30,Collection[],3)&amp;VLOOKUP('Bulk Order Details'!J30,Collar[],4)&amp;VLOOKUP('Bulk Order Details'!I30,Sleeve[],4))</f>
        <v/>
      </c>
      <c r="AF20" s="179" t="str">
        <f aca="false">IF('Bulk Order Details'!J30="","",LOOKUP('Bulk Order Details'!E30,Cut[Display],Cut[Code])&amp;LOOKUP('Bulk Order Details'!F30,#REF!,#REF!)&amp;IF('Bulk Order Details'!G30="","",LOOKUP('Bulk Order Details'!G30,Length[Display],Length[Code])))</f>
        <v/>
      </c>
      <c r="AG20" s="179" t="str">
        <f aca="false">IF('Bulk Order Details'!J30="","",IF('Bulk Order Details'!C30="","",'Bulk Order Details'!C30))</f>
        <v/>
      </c>
      <c r="AH20" s="179" t="str">
        <f aca="false">IF('Bulk Order Details'!O30="","","-"&amp;LOOKUP('Bulk Order Details'!O30,#REF!,#REF!))</f>
        <v/>
      </c>
      <c r="AI20" s="179" t="str">
        <f aca="false">IF('Bulk Order Details'!P30="","","-"&amp;LOOKUP('Bulk Order Details'!P30,#REF!,#REF!))</f>
        <v/>
      </c>
      <c r="AJ20" s="179" t="str">
        <f aca="false">IF('Bulk Order Details'!Q30="","","-"&amp;LOOKUP('Bulk Order Details'!Q30,#REF!,#REF!))</f>
        <v/>
      </c>
      <c r="AK20" s="179" t="str">
        <f aca="false">IF('Bulk Order Details'!R30="","","-"&amp;LOOKUP('Bulk Order Details'!R30,#REF!,#REF!))</f>
        <v/>
      </c>
      <c r="AL20" s="179" t="str">
        <f aca="false">IF('Bulk Order Details'!S30="","","-"&amp;LOOKUP('Bulk Order Details'!S30,#REF!,#REF!))</f>
        <v/>
      </c>
      <c r="AM20" s="179" t="str">
        <f aca="false">IF(_xlfn.CONCAT(AH20:AL20)="","","Lo"&amp;_xlfn.CONCAT(AH20:AL20))</f>
        <v/>
      </c>
      <c r="AN20" s="179" t="str">
        <f aca="false">IF('Bulk Order Details'!K30="","","Na-"&amp;'Bulk Order Details'!K30)</f>
        <v/>
      </c>
      <c r="AO20" s="179" t="str">
        <f aca="false">IF('Bulk Order Details'!N30="","","Fo-"&amp;'Bulk Order Details'!N30)</f>
        <v/>
      </c>
      <c r="AP20" s="179" t="str">
        <f aca="false">IF(AE20="","",AE20&amp;"_"&amp;AF20&amp;"_"&amp;AG20&amp;IF(AM20="","","_"&amp;AM20)&amp;IF(AN20="","","_"&amp;AN20)&amp;IF(AO20="","","_"&amp;AO20))</f>
        <v/>
      </c>
      <c r="AQ20" s="218" t="str">
        <f aca="false">IF(X20="","",X20)</f>
        <v/>
      </c>
    </row>
    <row r="21" customFormat="false" ht="13.5" hidden="false" customHeight="true" outlineLevel="0" collapsed="false">
      <c r="B21" s="209" t="n">
        <f aca="false">'Bulk Order Details'!B31</f>
        <v>18</v>
      </c>
      <c r="C21" s="209" t="e">
        <f aca="false">IF('bulk order details'!#ref!="","",'bulk order details'!#ref!&amp;" "&amp;'bulk order details'!#ref!)</f>
        <v>#VALUE!</v>
      </c>
      <c r="D21" s="210" t="str">
        <f aca="false">IF('Bulk Order Details'!J31="","",VLOOKUP(1,Price[],3))</f>
        <v/>
      </c>
      <c r="E21" s="211" t="str">
        <f aca="false">IF('Bulk Order Details'!J31="","",Summary!$D$9)</f>
        <v/>
      </c>
      <c r="F21" s="212" t="str">
        <f aca="false">IF('Bulk Order Details'!F31="","",_xlfn.xlookup('Bulk Order Details'!F31,Size[Display],Size[Price]))</f>
        <v/>
      </c>
      <c r="G21" s="212" t="str">
        <f aca="false">IF('Bulk Order Details'!G31="","",_xlfn.xlookup('Bulk Order Details'!G31,Length[Display],Length[Price]))</f>
        <v/>
      </c>
      <c r="H21" s="212" t="str">
        <f aca="false">IF('Bulk Order Details'!H31="","",_xlfn.xlookup('Bulk Order Details'!H31,Collection[Display],Collection[Price]))</f>
        <v/>
      </c>
      <c r="I21" s="212" t="str">
        <f aca="false">IF('Bulk Order Details'!I31="","",_xlfn.xlookup('Bulk Order Details'!I31,Sleeve[Display],Sleeve[Price]))</f>
        <v/>
      </c>
      <c r="J21" s="212" t="str">
        <f aca="false">IF('Bulk Order Details'!J31="","",_xlfn.xlookup('Bulk Order Details'!J31,Collar[Display],Collar[Price]))</f>
        <v/>
      </c>
      <c r="K21" s="212" t="str">
        <f aca="false">IF('Bulk Order Details'!K31="","",_xlfn.xlookup("Name",Name[Name],Name[Price]))</f>
        <v/>
      </c>
      <c r="L21" s="213" t="str">
        <f aca="false">IFERROR(IF('Bulk Order Details'!O31="","",IF(_xlfn.xlookup('Bulk Order Details'!O31,Logos[Display],Logos[Use])="Flat",_xlfn.xlookup('Bulk Order Details'!O31,Logos[Display],Logos[Flat]),ROUND(_xlfn.xlookup('Bulk Order Details'!O31,Logos[Display],Logos[Pct])*$E21,2))),"")</f>
        <v/>
      </c>
      <c r="M21" s="222" t="str">
        <f aca="false">IFERROR(IF('Bulk Order Details'!P31="","",IF(_xlfn.xlookup('Bulk Order Details'!P31,Chest[Display],Chest[Use])="Flat",_xlfn.xlookup('Bulk Order Details'!P31,Chest[Display],Chest[Flat]),ROUND(_xlfn.xlookup('Bulk Order Details'!P31,Chest[Display],Chest[Pct])*$E21,2))),"")</f>
        <v/>
      </c>
      <c r="N21" s="222" t="str">
        <f aca="false">IFERROR(IF('Bulk Order Details'!Q31="","",IF(_xlfn.xlookup('Bulk Order Details'!Q31,Chest[Display],Chest[Use])="Flat",_xlfn.xlookup('Bulk Order Details'!Q31,Chest[Display],Chest[Flat]),ROUND(_xlfn.xlookup('Bulk Order Details'!Q31,Chest[Display],Chest[Pct])*$E21,2))),"")</f>
        <v/>
      </c>
      <c r="O21" s="222" t="str">
        <f aca="false">IFERROR(IF('Bulk Order Details'!R31="","",IF(_xlfn.xlookup('Bulk Order Details'!R31,LeftSleeve[Display],LeftSleeve[Use])="Flat",_xlfn.xlookup('Bulk Order Details'!R31,LeftSleeve[Display],LeftSleeve[Flat]),ROUND(_xlfn.xlookup('Bulk Order Details'!R31,LeftSleeve[Display],LeftSleeve[Pct])*$E21,2))),"")</f>
        <v/>
      </c>
      <c r="P21" s="222" t="str">
        <f aca="false">IFERROR(IF('Bulk Order Details'!S31="","",IF(_xlfn.xlookup('Bulk Order Details'!S31,RightSleeve[Display],RightSleeve[Use])="Flat",_xlfn.xlookup('Bulk Order Details'!S31,RightSleeve[Display],RightSleeve[Flat]),ROUND(_xlfn.xlookup('Bulk Order Details'!S31,RightSleeve[Display],RightSleeve[Pct])*$E21,2))),"")</f>
        <v/>
      </c>
      <c r="Q21" s="214" t="str">
        <f aca="false">IF('Bulk Order Details'!J31="","",SUM(F21:P21))</f>
        <v/>
      </c>
      <c r="R21" s="213" t="str">
        <f aca="false">IFERROR(E21-D21,"")</f>
        <v/>
      </c>
      <c r="S21" s="215" t="str">
        <f aca="false">IFERROR(MIN(IF(Summary!$D$11="Yes",-J21,0),IF(H21&gt;0,-J21,0)),"")</f>
        <v/>
      </c>
      <c r="T21" s="212" t="str">
        <f aca="false">IFERROR(IF(Summary!$D$10="Yes",-K21,""),"")</f>
        <v/>
      </c>
      <c r="U21" s="213" t="str">
        <f aca="false">IFERROR(IF(Summary!$D$12="Yes",-L21,""),"")</f>
        <v/>
      </c>
      <c r="V21" s="216" t="str">
        <f aca="false">IF('Bulk Order Details'!J31="","",SUM(R21:U21))</f>
        <v/>
      </c>
      <c r="W21" s="217" t="str">
        <f aca="false">IF('Bulk Order Details'!J31="","",D21+Q21)</f>
        <v/>
      </c>
      <c r="X21" s="218" t="str">
        <f aca="false">IF('Bulk Order Details'!J31="","",D21+Q21+V21)</f>
        <v/>
      </c>
      <c r="Y21" s="219" t="str">
        <f aca="false">IFERROR((W21-X21)/W21,"")</f>
        <v/>
      </c>
      <c r="Z21" s="220" t="str">
        <f aca="false">IF('Bulk Order Details'!J31="","",MAX(1,'Bulk Order Details'!D31))</f>
        <v/>
      </c>
      <c r="AA21" s="217" t="str">
        <f aca="false">IF(Pricing_Details[[#This Row],[Quantity]]="","",Pricing_Details[[#This Row],[Retail Price]]*Pricing_Details[[#This Row],[Quantity]])</f>
        <v/>
      </c>
      <c r="AB21" s="217" t="str">
        <f aca="false">IF(Pricing_Details[[#This Row],[Quantity]]="","",Pricing_Details[[#This Row],[Total Discount]]*Pricing_Details[[#This Row],[Quantity]])</f>
        <v/>
      </c>
      <c r="AC21" s="221" t="str">
        <f aca="false">IFERROR(ROUND(Pricing_Details[[#This Row],[Actual Price]]*Pricing_Details[[#This Row],[Quantity]],2),"")</f>
        <v/>
      </c>
      <c r="AE21" s="179" t="str">
        <f aca="false">IF('Bulk Order Details'!J31="","",VLOOKUP('Bulk Order Details'!H31,Collection[],3)&amp;VLOOKUP('Bulk Order Details'!J31,Collar[],4)&amp;VLOOKUP('Bulk Order Details'!I31,Sleeve[],4))</f>
        <v/>
      </c>
      <c r="AF21" s="179" t="str">
        <f aca="false">IF('Bulk Order Details'!J31="","",LOOKUP('Bulk Order Details'!E31,Cut[Display],Cut[Code])&amp;LOOKUP('Bulk Order Details'!F31,#REF!,#REF!)&amp;IF('Bulk Order Details'!G31="","",LOOKUP('Bulk Order Details'!G31,Length[Display],Length[Code])))</f>
        <v/>
      </c>
      <c r="AG21" s="179" t="str">
        <f aca="false">IF('Bulk Order Details'!J31="","",IF('Bulk Order Details'!C31="","",'Bulk Order Details'!C31))</f>
        <v/>
      </c>
      <c r="AH21" s="179" t="str">
        <f aca="false">IF('Bulk Order Details'!O31="","","-"&amp;LOOKUP('Bulk Order Details'!O31,#REF!,#REF!))</f>
        <v/>
      </c>
      <c r="AI21" s="179" t="str">
        <f aca="false">IF('Bulk Order Details'!P31="","","-"&amp;LOOKUP('Bulk Order Details'!P31,#REF!,#REF!))</f>
        <v/>
      </c>
      <c r="AJ21" s="179" t="str">
        <f aca="false">IF('Bulk Order Details'!Q31="","","-"&amp;LOOKUP('Bulk Order Details'!Q31,#REF!,#REF!))</f>
        <v/>
      </c>
      <c r="AK21" s="179" t="str">
        <f aca="false">IF('Bulk Order Details'!R31="","","-"&amp;LOOKUP('Bulk Order Details'!R31,#REF!,#REF!))</f>
        <v/>
      </c>
      <c r="AL21" s="179" t="str">
        <f aca="false">IF('Bulk Order Details'!S31="","","-"&amp;LOOKUP('Bulk Order Details'!S31,#REF!,#REF!))</f>
        <v/>
      </c>
      <c r="AM21" s="179" t="str">
        <f aca="false">IF(_xlfn.CONCAT(AH21:AL21)="","","Lo"&amp;_xlfn.CONCAT(AH21:AL21))</f>
        <v/>
      </c>
      <c r="AN21" s="179" t="str">
        <f aca="false">IF('Bulk Order Details'!K31="","","Na-"&amp;'Bulk Order Details'!K31)</f>
        <v/>
      </c>
      <c r="AO21" s="179" t="str">
        <f aca="false">IF('Bulk Order Details'!N31="","","Fo-"&amp;'Bulk Order Details'!N31)</f>
        <v/>
      </c>
      <c r="AP21" s="179" t="str">
        <f aca="false">IF(AE21="","",AE21&amp;"_"&amp;AF21&amp;"_"&amp;AG21&amp;IF(AM21="","","_"&amp;AM21)&amp;IF(AN21="","","_"&amp;AN21)&amp;IF(AO21="","","_"&amp;AO21))</f>
        <v/>
      </c>
      <c r="AQ21" s="218" t="str">
        <f aca="false">IF(X21="","",X21)</f>
        <v/>
      </c>
    </row>
    <row r="22" customFormat="false" ht="13.5" hidden="false" customHeight="true" outlineLevel="0" collapsed="false">
      <c r="B22" s="209" t="n">
        <f aca="false">'Bulk Order Details'!B32</f>
        <v>19</v>
      </c>
      <c r="C22" s="209" t="e">
        <f aca="false">IF('bulk order details'!#ref!="","",'bulk order details'!#ref!&amp;" "&amp;'bulk order details'!#ref!)</f>
        <v>#VALUE!</v>
      </c>
      <c r="D22" s="210" t="str">
        <f aca="false">IF('Bulk Order Details'!J32="","",VLOOKUP(1,Price[],3))</f>
        <v/>
      </c>
      <c r="E22" s="211" t="str">
        <f aca="false">IF('Bulk Order Details'!J32="","",Summary!$D$9)</f>
        <v/>
      </c>
      <c r="F22" s="212" t="str">
        <f aca="false">IF('Bulk Order Details'!F32="","",_xlfn.xlookup('Bulk Order Details'!F32,Size[Display],Size[Price]))</f>
        <v/>
      </c>
      <c r="G22" s="212" t="str">
        <f aca="false">IF('Bulk Order Details'!G32="","",_xlfn.xlookup('Bulk Order Details'!G32,Length[Display],Length[Price]))</f>
        <v/>
      </c>
      <c r="H22" s="212" t="str">
        <f aca="false">IF('Bulk Order Details'!H32="","",_xlfn.xlookup('Bulk Order Details'!H32,Collection[Display],Collection[Price]))</f>
        <v/>
      </c>
      <c r="I22" s="212" t="str">
        <f aca="false">IF('Bulk Order Details'!I32="","",_xlfn.xlookup('Bulk Order Details'!I32,Sleeve[Display],Sleeve[Price]))</f>
        <v/>
      </c>
      <c r="J22" s="212" t="str">
        <f aca="false">IF('Bulk Order Details'!J32="","",_xlfn.xlookup('Bulk Order Details'!J32,Collar[Display],Collar[Price]))</f>
        <v/>
      </c>
      <c r="K22" s="212" t="str">
        <f aca="false">IF('Bulk Order Details'!K32="","",_xlfn.xlookup("Name",Name[Name],Name[Price]))</f>
        <v/>
      </c>
      <c r="L22" s="213" t="str">
        <f aca="false">IFERROR(IF('Bulk Order Details'!O32="","",IF(_xlfn.xlookup('Bulk Order Details'!O32,Logos[Display],Logos[Use])="Flat",_xlfn.xlookup('Bulk Order Details'!O32,Logos[Display],Logos[Flat]),ROUND(_xlfn.xlookup('Bulk Order Details'!O32,Logos[Display],Logos[Pct])*$E22,2))),"")</f>
        <v/>
      </c>
      <c r="M22" s="222" t="str">
        <f aca="false">IFERROR(IF('Bulk Order Details'!P32="","",IF(_xlfn.xlookup('Bulk Order Details'!P32,Chest[Display],Chest[Use])="Flat",_xlfn.xlookup('Bulk Order Details'!P32,Chest[Display],Chest[Flat]),ROUND(_xlfn.xlookup('Bulk Order Details'!P32,Chest[Display],Chest[Pct])*$E22,2))),"")</f>
        <v/>
      </c>
      <c r="N22" s="222" t="str">
        <f aca="false">IFERROR(IF('Bulk Order Details'!Q32="","",IF(_xlfn.xlookup('Bulk Order Details'!Q32,Chest[Display],Chest[Use])="Flat",_xlfn.xlookup('Bulk Order Details'!Q32,Chest[Display],Chest[Flat]),ROUND(_xlfn.xlookup('Bulk Order Details'!Q32,Chest[Display],Chest[Pct])*$E22,2))),"")</f>
        <v/>
      </c>
      <c r="O22" s="222" t="str">
        <f aca="false">IFERROR(IF('Bulk Order Details'!R32="","",IF(_xlfn.xlookup('Bulk Order Details'!R32,LeftSleeve[Display],LeftSleeve[Use])="Flat",_xlfn.xlookup('Bulk Order Details'!R32,LeftSleeve[Display],LeftSleeve[Flat]),ROUND(_xlfn.xlookup('Bulk Order Details'!R32,LeftSleeve[Display],LeftSleeve[Pct])*$E22,2))),"")</f>
        <v/>
      </c>
      <c r="P22" s="222" t="str">
        <f aca="false">IFERROR(IF('Bulk Order Details'!S32="","",IF(_xlfn.xlookup('Bulk Order Details'!S32,RightSleeve[Display],RightSleeve[Use])="Flat",_xlfn.xlookup('Bulk Order Details'!S32,RightSleeve[Display],RightSleeve[Flat]),ROUND(_xlfn.xlookup('Bulk Order Details'!S32,RightSleeve[Display],RightSleeve[Pct])*$E22,2))),"")</f>
        <v/>
      </c>
      <c r="Q22" s="214" t="str">
        <f aca="false">IF('Bulk Order Details'!J32="","",SUM(F22:P22))</f>
        <v/>
      </c>
      <c r="R22" s="213" t="str">
        <f aca="false">IFERROR(E22-D22,"")</f>
        <v/>
      </c>
      <c r="S22" s="215" t="str">
        <f aca="false">IFERROR(MIN(IF(Summary!$D$11="Yes",-J22,0),IF(H22&gt;0,-J22,0)),"")</f>
        <v/>
      </c>
      <c r="T22" s="212" t="str">
        <f aca="false">IFERROR(IF(Summary!$D$10="Yes",-K22,""),"")</f>
        <v/>
      </c>
      <c r="U22" s="213" t="str">
        <f aca="false">IFERROR(IF(Summary!$D$12="Yes",-L22,""),"")</f>
        <v/>
      </c>
      <c r="V22" s="216" t="str">
        <f aca="false">IF('Bulk Order Details'!J32="","",SUM(R22:U22))</f>
        <v/>
      </c>
      <c r="W22" s="217" t="str">
        <f aca="false">IF('Bulk Order Details'!J32="","",D22+Q22)</f>
        <v/>
      </c>
      <c r="X22" s="218" t="str">
        <f aca="false">IF('Bulk Order Details'!J32="","",D22+Q22+V22)</f>
        <v/>
      </c>
      <c r="Y22" s="219" t="str">
        <f aca="false">IFERROR((W22-X22)/W22,"")</f>
        <v/>
      </c>
      <c r="Z22" s="220" t="str">
        <f aca="false">IF('Bulk Order Details'!J32="","",MAX(1,'Bulk Order Details'!D32))</f>
        <v/>
      </c>
      <c r="AA22" s="217" t="str">
        <f aca="false">IF(Pricing_Details[[#This Row],[Quantity]]="","",Pricing_Details[[#This Row],[Retail Price]]*Pricing_Details[[#This Row],[Quantity]])</f>
        <v/>
      </c>
      <c r="AB22" s="217" t="str">
        <f aca="false">IF(Pricing_Details[[#This Row],[Quantity]]="","",Pricing_Details[[#This Row],[Total Discount]]*Pricing_Details[[#This Row],[Quantity]])</f>
        <v/>
      </c>
      <c r="AC22" s="221" t="str">
        <f aca="false">IFERROR(ROUND(Pricing_Details[[#This Row],[Actual Price]]*Pricing_Details[[#This Row],[Quantity]],2),"")</f>
        <v/>
      </c>
      <c r="AE22" s="179" t="str">
        <f aca="false">IF('Bulk Order Details'!J32="","",VLOOKUP('Bulk Order Details'!H32,Collection[],3)&amp;VLOOKUP('Bulk Order Details'!J32,Collar[],4)&amp;VLOOKUP('Bulk Order Details'!I32,Sleeve[],4))</f>
        <v/>
      </c>
      <c r="AF22" s="179" t="str">
        <f aca="false">IF('Bulk Order Details'!J32="","",LOOKUP('Bulk Order Details'!E32,Cut[Display],Cut[Code])&amp;LOOKUP('Bulk Order Details'!F32,#REF!,#REF!)&amp;IF('Bulk Order Details'!G32="","",LOOKUP('Bulk Order Details'!G32,Length[Display],Length[Code])))</f>
        <v/>
      </c>
      <c r="AG22" s="179" t="str">
        <f aca="false">IF('Bulk Order Details'!J32="","",IF('Bulk Order Details'!C32="","",'Bulk Order Details'!C32))</f>
        <v/>
      </c>
      <c r="AH22" s="179" t="str">
        <f aca="false">IF('Bulk Order Details'!O32="","","-"&amp;LOOKUP('Bulk Order Details'!O32,#REF!,#REF!))</f>
        <v/>
      </c>
      <c r="AI22" s="179" t="str">
        <f aca="false">IF('Bulk Order Details'!P32="","","-"&amp;LOOKUP('Bulk Order Details'!P32,#REF!,#REF!))</f>
        <v/>
      </c>
      <c r="AJ22" s="179" t="str">
        <f aca="false">IF('Bulk Order Details'!Q32="","","-"&amp;LOOKUP('Bulk Order Details'!Q32,#REF!,#REF!))</f>
        <v/>
      </c>
      <c r="AK22" s="179" t="str">
        <f aca="false">IF('Bulk Order Details'!R32="","","-"&amp;LOOKUP('Bulk Order Details'!R32,#REF!,#REF!))</f>
        <v/>
      </c>
      <c r="AL22" s="179" t="str">
        <f aca="false">IF('Bulk Order Details'!S32="","","-"&amp;LOOKUP('Bulk Order Details'!S32,#REF!,#REF!))</f>
        <v/>
      </c>
      <c r="AM22" s="179" t="str">
        <f aca="false">IF(_xlfn.CONCAT(AH22:AL22)="","","Lo"&amp;_xlfn.CONCAT(AH22:AL22))</f>
        <v/>
      </c>
      <c r="AN22" s="179" t="str">
        <f aca="false">IF('Bulk Order Details'!K32="","","Na-"&amp;'Bulk Order Details'!K32)</f>
        <v/>
      </c>
      <c r="AO22" s="179" t="str">
        <f aca="false">IF('Bulk Order Details'!N32="","","Fo-"&amp;'Bulk Order Details'!N32)</f>
        <v/>
      </c>
      <c r="AP22" s="179" t="str">
        <f aca="false">IF(AE22="","",AE22&amp;"_"&amp;AF22&amp;"_"&amp;AG22&amp;IF(AM22="","","_"&amp;AM22)&amp;IF(AN22="","","_"&amp;AN22)&amp;IF(AO22="","","_"&amp;AO22))</f>
        <v/>
      </c>
      <c r="AQ22" s="218" t="str">
        <f aca="false">IF(X22="","",X22)</f>
        <v/>
      </c>
    </row>
    <row r="23" customFormat="false" ht="13.5" hidden="false" customHeight="true" outlineLevel="0" collapsed="false">
      <c r="B23" s="209" t="n">
        <f aca="false">'Bulk Order Details'!B33</f>
        <v>20</v>
      </c>
      <c r="C23" s="209" t="e">
        <f aca="false">IF('bulk order details'!#ref!="","",'bulk order details'!#ref!&amp;" "&amp;'bulk order details'!#ref!)</f>
        <v>#VALUE!</v>
      </c>
      <c r="D23" s="210" t="str">
        <f aca="false">IF('Bulk Order Details'!J33="","",VLOOKUP(1,Price[],3))</f>
        <v/>
      </c>
      <c r="E23" s="211" t="str">
        <f aca="false">IF('Bulk Order Details'!J33="","",Summary!$D$9)</f>
        <v/>
      </c>
      <c r="F23" s="212" t="str">
        <f aca="false">IF('Bulk Order Details'!F33="","",_xlfn.xlookup('Bulk Order Details'!F33,Size[Display],Size[Price]))</f>
        <v/>
      </c>
      <c r="G23" s="212" t="str">
        <f aca="false">IF('Bulk Order Details'!G33="","",_xlfn.xlookup('Bulk Order Details'!G33,Length[Display],Length[Price]))</f>
        <v/>
      </c>
      <c r="H23" s="212" t="str">
        <f aca="false">IF('Bulk Order Details'!H33="","",_xlfn.xlookup('Bulk Order Details'!H33,Collection[Display],Collection[Price]))</f>
        <v/>
      </c>
      <c r="I23" s="212" t="str">
        <f aca="false">IF('Bulk Order Details'!I33="","",_xlfn.xlookup('Bulk Order Details'!I33,Sleeve[Display],Sleeve[Price]))</f>
        <v/>
      </c>
      <c r="J23" s="212" t="str">
        <f aca="false">IF('Bulk Order Details'!J33="","",_xlfn.xlookup('Bulk Order Details'!J33,Collar[Display],Collar[Price]))</f>
        <v/>
      </c>
      <c r="K23" s="212" t="str">
        <f aca="false">IF('Bulk Order Details'!K33="","",_xlfn.xlookup("Name",Name[Name],Name[Price]))</f>
        <v/>
      </c>
      <c r="L23" s="213" t="str">
        <f aca="false">IFERROR(IF('Bulk Order Details'!O33="","",IF(_xlfn.xlookup('Bulk Order Details'!O33,Logos[Display],Logos[Use])="Flat",_xlfn.xlookup('Bulk Order Details'!O33,Logos[Display],Logos[Flat]),ROUND(_xlfn.xlookup('Bulk Order Details'!O33,Logos[Display],Logos[Pct])*$E23,2))),"")</f>
        <v/>
      </c>
      <c r="M23" s="222" t="str">
        <f aca="false">IFERROR(IF('Bulk Order Details'!P33="","",IF(_xlfn.xlookup('Bulk Order Details'!P33,Chest[Display],Chest[Use])="Flat",_xlfn.xlookup('Bulk Order Details'!P33,Chest[Display],Chest[Flat]),ROUND(_xlfn.xlookup('Bulk Order Details'!P33,Chest[Display],Chest[Pct])*$E23,2))),"")</f>
        <v/>
      </c>
      <c r="N23" s="222" t="str">
        <f aca="false">IFERROR(IF('Bulk Order Details'!Q33="","",IF(_xlfn.xlookup('Bulk Order Details'!Q33,Chest[Display],Chest[Use])="Flat",_xlfn.xlookup('Bulk Order Details'!Q33,Chest[Display],Chest[Flat]),ROUND(_xlfn.xlookup('Bulk Order Details'!Q33,Chest[Display],Chest[Pct])*$E23,2))),"")</f>
        <v/>
      </c>
      <c r="O23" s="222" t="str">
        <f aca="false">IFERROR(IF('Bulk Order Details'!R33="","",IF(_xlfn.xlookup('Bulk Order Details'!R33,LeftSleeve[Display],LeftSleeve[Use])="Flat",_xlfn.xlookup('Bulk Order Details'!R33,LeftSleeve[Display],LeftSleeve[Flat]),ROUND(_xlfn.xlookup('Bulk Order Details'!R33,LeftSleeve[Display],LeftSleeve[Pct])*$E23,2))),"")</f>
        <v/>
      </c>
      <c r="P23" s="222" t="str">
        <f aca="false">IFERROR(IF('Bulk Order Details'!S33="","",IF(_xlfn.xlookup('Bulk Order Details'!S33,RightSleeve[Display],RightSleeve[Use])="Flat",_xlfn.xlookup('Bulk Order Details'!S33,RightSleeve[Display],RightSleeve[Flat]),ROUND(_xlfn.xlookup('Bulk Order Details'!S33,RightSleeve[Display],RightSleeve[Pct])*$E23,2))),"")</f>
        <v/>
      </c>
      <c r="Q23" s="214" t="str">
        <f aca="false">IF('Bulk Order Details'!J33="","",SUM(F23:P23))</f>
        <v/>
      </c>
      <c r="R23" s="213" t="str">
        <f aca="false">IFERROR(E23-D23,"")</f>
        <v/>
      </c>
      <c r="S23" s="215" t="str">
        <f aca="false">IFERROR(MIN(IF(Summary!$D$11="Yes",-J23,0),IF(H23&gt;0,-J23,0)),"")</f>
        <v/>
      </c>
      <c r="T23" s="212" t="str">
        <f aca="false">IFERROR(IF(Summary!$D$10="Yes",-K23,""),"")</f>
        <v/>
      </c>
      <c r="U23" s="213" t="str">
        <f aca="false">IFERROR(IF(Summary!$D$12="Yes",-L23,""),"")</f>
        <v/>
      </c>
      <c r="V23" s="216" t="str">
        <f aca="false">IF('Bulk Order Details'!J33="","",SUM(R23:U23))</f>
        <v/>
      </c>
      <c r="W23" s="217" t="str">
        <f aca="false">IF('Bulk Order Details'!J33="","",D23+Q23)</f>
        <v/>
      </c>
      <c r="X23" s="218" t="str">
        <f aca="false">IF('Bulk Order Details'!J33="","",D23+Q23+V23)</f>
        <v/>
      </c>
      <c r="Y23" s="219" t="str">
        <f aca="false">IFERROR((W23-X23)/W23,"")</f>
        <v/>
      </c>
      <c r="Z23" s="220" t="str">
        <f aca="false">IF('Bulk Order Details'!J33="","",MAX(1,'Bulk Order Details'!D33))</f>
        <v/>
      </c>
      <c r="AA23" s="217" t="str">
        <f aca="false">IF(Pricing_Details[[#This Row],[Quantity]]="","",Pricing_Details[[#This Row],[Retail Price]]*Pricing_Details[[#This Row],[Quantity]])</f>
        <v/>
      </c>
      <c r="AB23" s="217" t="str">
        <f aca="false">IF(Pricing_Details[[#This Row],[Quantity]]="","",Pricing_Details[[#This Row],[Total Discount]]*Pricing_Details[[#This Row],[Quantity]])</f>
        <v/>
      </c>
      <c r="AC23" s="221" t="str">
        <f aca="false">IFERROR(ROUND(Pricing_Details[[#This Row],[Actual Price]]*Pricing_Details[[#This Row],[Quantity]],2),"")</f>
        <v/>
      </c>
      <c r="AE23" s="179" t="str">
        <f aca="false">IF('Bulk Order Details'!J33="","",VLOOKUP('Bulk Order Details'!H33,Collection[],3)&amp;VLOOKUP('Bulk Order Details'!J33,Collar[],4)&amp;VLOOKUP('Bulk Order Details'!I33,Sleeve[],4))</f>
        <v/>
      </c>
      <c r="AF23" s="179" t="str">
        <f aca="false">IF('Bulk Order Details'!J33="","",LOOKUP('Bulk Order Details'!E33,Cut[Display],Cut[Code])&amp;LOOKUP('Bulk Order Details'!F33,#REF!,#REF!)&amp;IF('Bulk Order Details'!G33="","",LOOKUP('Bulk Order Details'!G33,Length[Display],Length[Code])))</f>
        <v/>
      </c>
      <c r="AG23" s="179" t="str">
        <f aca="false">IF('Bulk Order Details'!J33="","",IF('Bulk Order Details'!C33="","",'Bulk Order Details'!C33))</f>
        <v/>
      </c>
      <c r="AH23" s="179" t="str">
        <f aca="false">IF('Bulk Order Details'!O33="","","-"&amp;LOOKUP('Bulk Order Details'!O33,#REF!,#REF!))</f>
        <v/>
      </c>
      <c r="AI23" s="179" t="str">
        <f aca="false">IF('Bulk Order Details'!P33="","","-"&amp;LOOKUP('Bulk Order Details'!P33,#REF!,#REF!))</f>
        <v/>
      </c>
      <c r="AJ23" s="179" t="str">
        <f aca="false">IF('Bulk Order Details'!Q33="","","-"&amp;LOOKUP('Bulk Order Details'!Q33,#REF!,#REF!))</f>
        <v/>
      </c>
      <c r="AK23" s="179" t="str">
        <f aca="false">IF('Bulk Order Details'!R33="","","-"&amp;LOOKUP('Bulk Order Details'!R33,#REF!,#REF!))</f>
        <v/>
      </c>
      <c r="AL23" s="179" t="str">
        <f aca="false">IF('Bulk Order Details'!S33="","","-"&amp;LOOKUP('Bulk Order Details'!S33,#REF!,#REF!))</f>
        <v/>
      </c>
      <c r="AM23" s="179" t="str">
        <f aca="false">IF(_xlfn.CONCAT(AH23:AL23)="","","Lo"&amp;_xlfn.CONCAT(AH23:AL23))</f>
        <v/>
      </c>
      <c r="AN23" s="179" t="str">
        <f aca="false">IF('Bulk Order Details'!K33="","","Na-"&amp;'Bulk Order Details'!K33)</f>
        <v/>
      </c>
      <c r="AO23" s="179" t="str">
        <f aca="false">IF('Bulk Order Details'!N33="","","Fo-"&amp;'Bulk Order Details'!N33)</f>
        <v/>
      </c>
      <c r="AP23" s="179" t="str">
        <f aca="false">IF(AE23="","",AE23&amp;"_"&amp;AF23&amp;"_"&amp;AG23&amp;IF(AM23="","","_"&amp;AM23)&amp;IF(AN23="","","_"&amp;AN23)&amp;IF(AO23="","","_"&amp;AO23))</f>
        <v/>
      </c>
      <c r="AQ23" s="218" t="str">
        <f aca="false">IF(X23="","",X23)</f>
        <v/>
      </c>
    </row>
    <row r="24" customFormat="false" ht="13.5" hidden="false" customHeight="true" outlineLevel="0" collapsed="false">
      <c r="B24" s="209" t="n">
        <f aca="false">'Bulk Order Details'!B34</f>
        <v>21</v>
      </c>
      <c r="C24" s="209" t="e">
        <f aca="false">IF('bulk order details'!#ref!="","",'bulk order details'!#ref!&amp;" "&amp;'bulk order details'!#ref!)</f>
        <v>#VALUE!</v>
      </c>
      <c r="D24" s="210" t="str">
        <f aca="false">IF('Bulk Order Details'!J34="","",VLOOKUP(1,Price[],3))</f>
        <v/>
      </c>
      <c r="E24" s="211" t="str">
        <f aca="false">IF('Bulk Order Details'!J34="","",Summary!$D$9)</f>
        <v/>
      </c>
      <c r="F24" s="212" t="str">
        <f aca="false">IF('Bulk Order Details'!F34="","",_xlfn.xlookup('Bulk Order Details'!F34,Size[Display],Size[Price]))</f>
        <v/>
      </c>
      <c r="G24" s="212" t="str">
        <f aca="false">IF('Bulk Order Details'!G34="","",_xlfn.xlookup('Bulk Order Details'!G34,Length[Display],Length[Price]))</f>
        <v/>
      </c>
      <c r="H24" s="212" t="str">
        <f aca="false">IF('Bulk Order Details'!H34="","",_xlfn.xlookup('Bulk Order Details'!H34,Collection[Display],Collection[Price]))</f>
        <v/>
      </c>
      <c r="I24" s="212" t="str">
        <f aca="false">IF('Bulk Order Details'!I34="","",_xlfn.xlookup('Bulk Order Details'!I34,Sleeve[Display],Sleeve[Price]))</f>
        <v/>
      </c>
      <c r="J24" s="212" t="str">
        <f aca="false">IF('Bulk Order Details'!J34="","",_xlfn.xlookup('Bulk Order Details'!J34,Collar[Display],Collar[Price]))</f>
        <v/>
      </c>
      <c r="K24" s="212" t="str">
        <f aca="false">IF('Bulk Order Details'!K34="","",_xlfn.xlookup("Name",Name[Name],Name[Price]))</f>
        <v/>
      </c>
      <c r="L24" s="213" t="str">
        <f aca="false">IFERROR(IF('Bulk Order Details'!O34="","",IF(_xlfn.xlookup('Bulk Order Details'!O34,Logos[Display],Logos[Use])="Flat",_xlfn.xlookup('Bulk Order Details'!O34,Logos[Display],Logos[Flat]),ROUND(_xlfn.xlookup('Bulk Order Details'!O34,Logos[Display],Logos[Pct])*$E24,2))),"")</f>
        <v/>
      </c>
      <c r="M24" s="222" t="str">
        <f aca="false">IFERROR(IF('Bulk Order Details'!P34="","",IF(_xlfn.xlookup('Bulk Order Details'!P34,Chest[Display],Chest[Use])="Flat",_xlfn.xlookup('Bulk Order Details'!P34,Chest[Display],Chest[Flat]),ROUND(_xlfn.xlookup('Bulk Order Details'!P34,Chest[Display],Chest[Pct])*$E24,2))),"")</f>
        <v/>
      </c>
      <c r="N24" s="222" t="str">
        <f aca="false">IFERROR(IF('Bulk Order Details'!Q34="","",IF(_xlfn.xlookup('Bulk Order Details'!Q34,Chest[Display],Chest[Use])="Flat",_xlfn.xlookup('Bulk Order Details'!Q34,Chest[Display],Chest[Flat]),ROUND(_xlfn.xlookup('Bulk Order Details'!Q34,Chest[Display],Chest[Pct])*$E24,2))),"")</f>
        <v/>
      </c>
      <c r="O24" s="222" t="str">
        <f aca="false">IFERROR(IF('Bulk Order Details'!R34="","",IF(_xlfn.xlookup('Bulk Order Details'!R34,LeftSleeve[Display],LeftSleeve[Use])="Flat",_xlfn.xlookup('Bulk Order Details'!R34,LeftSleeve[Display],LeftSleeve[Flat]),ROUND(_xlfn.xlookup('Bulk Order Details'!R34,LeftSleeve[Display],LeftSleeve[Pct])*$E24,2))),"")</f>
        <v/>
      </c>
      <c r="P24" s="222" t="str">
        <f aca="false">IFERROR(IF('Bulk Order Details'!S34="","",IF(_xlfn.xlookup('Bulk Order Details'!S34,RightSleeve[Display],RightSleeve[Use])="Flat",_xlfn.xlookup('Bulk Order Details'!S34,RightSleeve[Display],RightSleeve[Flat]),ROUND(_xlfn.xlookup('Bulk Order Details'!S34,RightSleeve[Display],RightSleeve[Pct])*$E24,2))),"")</f>
        <v/>
      </c>
      <c r="Q24" s="214" t="str">
        <f aca="false">IF('Bulk Order Details'!J34="","",SUM(F24:P24))</f>
        <v/>
      </c>
      <c r="R24" s="213" t="str">
        <f aca="false">IFERROR(E24-D24,"")</f>
        <v/>
      </c>
      <c r="S24" s="215" t="str">
        <f aca="false">IFERROR(MIN(IF(Summary!$D$11="Yes",-J24,0),IF(H24&gt;0,-J24,0)),"")</f>
        <v/>
      </c>
      <c r="T24" s="212" t="str">
        <f aca="false">IFERROR(IF(Summary!$D$10="Yes",-K24,""),"")</f>
        <v/>
      </c>
      <c r="U24" s="213" t="str">
        <f aca="false">IFERROR(IF(Summary!$D$12="Yes",-L24,""),"")</f>
        <v/>
      </c>
      <c r="V24" s="216" t="str">
        <f aca="false">IF('Bulk Order Details'!J34="","",SUM(R24:U24))</f>
        <v/>
      </c>
      <c r="W24" s="217" t="str">
        <f aca="false">IF('Bulk Order Details'!J34="","",D24+Q24)</f>
        <v/>
      </c>
      <c r="X24" s="218" t="str">
        <f aca="false">IF('Bulk Order Details'!J34="","",D24+Q24+V24)</f>
        <v/>
      </c>
      <c r="Y24" s="219" t="str">
        <f aca="false">IFERROR((W24-X24)/W24,"")</f>
        <v/>
      </c>
      <c r="Z24" s="220" t="str">
        <f aca="false">IF('Bulk Order Details'!J34="","",MAX(1,'Bulk Order Details'!D34))</f>
        <v/>
      </c>
      <c r="AA24" s="217" t="str">
        <f aca="false">IF(Pricing_Details[[#This Row],[Quantity]]="","",Pricing_Details[[#This Row],[Retail Price]]*Pricing_Details[[#This Row],[Quantity]])</f>
        <v/>
      </c>
      <c r="AB24" s="217" t="str">
        <f aca="false">IF(Pricing_Details[[#This Row],[Quantity]]="","",Pricing_Details[[#This Row],[Total Discount]]*Pricing_Details[[#This Row],[Quantity]])</f>
        <v/>
      </c>
      <c r="AC24" s="221" t="str">
        <f aca="false">IFERROR(ROUND(Pricing_Details[[#This Row],[Actual Price]]*Pricing_Details[[#This Row],[Quantity]],2),"")</f>
        <v/>
      </c>
      <c r="AE24" s="179" t="str">
        <f aca="false">IF('Bulk Order Details'!J34="","",VLOOKUP('Bulk Order Details'!H34,Collection[],3)&amp;VLOOKUP('Bulk Order Details'!J34,Collar[],4)&amp;VLOOKUP('Bulk Order Details'!I34,Sleeve[],4))</f>
        <v/>
      </c>
      <c r="AF24" s="179" t="str">
        <f aca="false">IF('Bulk Order Details'!J34="","",LOOKUP('Bulk Order Details'!E34,Cut[Display],Cut[Code])&amp;LOOKUP('Bulk Order Details'!F34,#REF!,#REF!)&amp;IF('Bulk Order Details'!G34="","",LOOKUP('Bulk Order Details'!G34,Length[Display],Length[Code])))</f>
        <v/>
      </c>
      <c r="AG24" s="179" t="str">
        <f aca="false">IF('Bulk Order Details'!J34="","",IF('Bulk Order Details'!C34="","",'Bulk Order Details'!C34))</f>
        <v/>
      </c>
      <c r="AH24" s="179" t="str">
        <f aca="false">IF('Bulk Order Details'!O34="","","-"&amp;LOOKUP('Bulk Order Details'!O34,#REF!,#REF!))</f>
        <v/>
      </c>
      <c r="AI24" s="179" t="str">
        <f aca="false">IF('Bulk Order Details'!P34="","","-"&amp;LOOKUP('Bulk Order Details'!P34,#REF!,#REF!))</f>
        <v/>
      </c>
      <c r="AJ24" s="179" t="str">
        <f aca="false">IF('Bulk Order Details'!Q34="","","-"&amp;LOOKUP('Bulk Order Details'!Q34,#REF!,#REF!))</f>
        <v/>
      </c>
      <c r="AK24" s="179" t="str">
        <f aca="false">IF('Bulk Order Details'!R34="","","-"&amp;LOOKUP('Bulk Order Details'!R34,#REF!,#REF!))</f>
        <v/>
      </c>
      <c r="AL24" s="179" t="str">
        <f aca="false">IF('Bulk Order Details'!S34="","","-"&amp;LOOKUP('Bulk Order Details'!S34,#REF!,#REF!))</f>
        <v/>
      </c>
      <c r="AM24" s="179" t="str">
        <f aca="false">IF(_xlfn.CONCAT(AH24:AL24)="","","Lo"&amp;_xlfn.CONCAT(AH24:AL24))</f>
        <v/>
      </c>
      <c r="AN24" s="179" t="str">
        <f aca="false">IF('Bulk Order Details'!K34="","","Na-"&amp;'Bulk Order Details'!K34)</f>
        <v/>
      </c>
      <c r="AO24" s="179" t="str">
        <f aca="false">IF('Bulk Order Details'!N34="","","Fo-"&amp;'Bulk Order Details'!N34)</f>
        <v/>
      </c>
      <c r="AP24" s="179" t="str">
        <f aca="false">IF(AE24="","",AE24&amp;"_"&amp;AF24&amp;"_"&amp;AG24&amp;IF(AM24="","","_"&amp;AM24)&amp;IF(AN24="","","_"&amp;AN24)&amp;IF(AO24="","","_"&amp;AO24))</f>
        <v/>
      </c>
      <c r="AQ24" s="218" t="str">
        <f aca="false">IF(X24="","",X24)</f>
        <v/>
      </c>
    </row>
    <row r="25" customFormat="false" ht="13.5" hidden="false" customHeight="true" outlineLevel="0" collapsed="false">
      <c r="B25" s="209" t="n">
        <f aca="false">'Bulk Order Details'!B35</f>
        <v>22</v>
      </c>
      <c r="C25" s="209" t="e">
        <f aca="false">IF('bulk order details'!#ref!="","",'bulk order details'!#ref!&amp;" "&amp;'bulk order details'!#ref!)</f>
        <v>#VALUE!</v>
      </c>
      <c r="D25" s="210" t="str">
        <f aca="false">IF('Bulk Order Details'!J35="","",VLOOKUP(1,Price[],3))</f>
        <v/>
      </c>
      <c r="E25" s="211" t="str">
        <f aca="false">IF('Bulk Order Details'!J35="","",Summary!$D$9)</f>
        <v/>
      </c>
      <c r="F25" s="212" t="str">
        <f aca="false">IF('Bulk Order Details'!F35="","",_xlfn.xlookup('Bulk Order Details'!F35,Size[Display],Size[Price]))</f>
        <v/>
      </c>
      <c r="G25" s="212" t="str">
        <f aca="false">IF('Bulk Order Details'!G35="","",_xlfn.xlookup('Bulk Order Details'!G35,Length[Display],Length[Price]))</f>
        <v/>
      </c>
      <c r="H25" s="212" t="str">
        <f aca="false">IF('Bulk Order Details'!H35="","",_xlfn.xlookup('Bulk Order Details'!H35,Collection[Display],Collection[Price]))</f>
        <v/>
      </c>
      <c r="I25" s="212" t="str">
        <f aca="false">IF('Bulk Order Details'!I35="","",_xlfn.xlookup('Bulk Order Details'!I35,Sleeve[Display],Sleeve[Price]))</f>
        <v/>
      </c>
      <c r="J25" s="212" t="str">
        <f aca="false">IF('Bulk Order Details'!J35="","",_xlfn.xlookup('Bulk Order Details'!J35,Collar[Display],Collar[Price]))</f>
        <v/>
      </c>
      <c r="K25" s="212" t="str">
        <f aca="false">IF('Bulk Order Details'!K35="","",_xlfn.xlookup("Name",Name[Name],Name[Price]))</f>
        <v/>
      </c>
      <c r="L25" s="213" t="str">
        <f aca="false">IFERROR(IF('Bulk Order Details'!O35="","",IF(_xlfn.xlookup('Bulk Order Details'!O35,Logos[Display],Logos[Use])="Flat",_xlfn.xlookup('Bulk Order Details'!O35,Logos[Display],Logos[Flat]),ROUND(_xlfn.xlookup('Bulk Order Details'!O35,Logos[Display],Logos[Pct])*$E25,2))),"")</f>
        <v/>
      </c>
      <c r="M25" s="222" t="str">
        <f aca="false">IFERROR(IF('Bulk Order Details'!P35="","",IF(_xlfn.xlookup('Bulk Order Details'!P35,Chest[Display],Chest[Use])="Flat",_xlfn.xlookup('Bulk Order Details'!P35,Chest[Display],Chest[Flat]),ROUND(_xlfn.xlookup('Bulk Order Details'!P35,Chest[Display],Chest[Pct])*$E25,2))),"")</f>
        <v/>
      </c>
      <c r="N25" s="222" t="str">
        <f aca="false">IFERROR(IF('Bulk Order Details'!Q35="","",IF(_xlfn.xlookup('Bulk Order Details'!Q35,Chest[Display],Chest[Use])="Flat",_xlfn.xlookup('Bulk Order Details'!Q35,Chest[Display],Chest[Flat]),ROUND(_xlfn.xlookup('Bulk Order Details'!Q35,Chest[Display],Chest[Pct])*$E25,2))),"")</f>
        <v/>
      </c>
      <c r="O25" s="222" t="str">
        <f aca="false">IFERROR(IF('Bulk Order Details'!R35="","",IF(_xlfn.xlookup('Bulk Order Details'!R35,LeftSleeve[Display],LeftSleeve[Use])="Flat",_xlfn.xlookup('Bulk Order Details'!R35,LeftSleeve[Display],LeftSleeve[Flat]),ROUND(_xlfn.xlookup('Bulk Order Details'!R35,LeftSleeve[Display],LeftSleeve[Pct])*$E25,2))),"")</f>
        <v/>
      </c>
      <c r="P25" s="222" t="str">
        <f aca="false">IFERROR(IF('Bulk Order Details'!S35="","",IF(_xlfn.xlookup('Bulk Order Details'!S35,RightSleeve[Display],RightSleeve[Use])="Flat",_xlfn.xlookup('Bulk Order Details'!S35,RightSleeve[Display],RightSleeve[Flat]),ROUND(_xlfn.xlookup('Bulk Order Details'!S35,RightSleeve[Display],RightSleeve[Pct])*$E25,2))),"")</f>
        <v/>
      </c>
      <c r="Q25" s="214" t="str">
        <f aca="false">IF('Bulk Order Details'!J35="","",SUM(F25:P25))</f>
        <v/>
      </c>
      <c r="R25" s="213" t="str">
        <f aca="false">IFERROR(E25-D25,"")</f>
        <v/>
      </c>
      <c r="S25" s="215" t="str">
        <f aca="false">IFERROR(MIN(IF(Summary!$D$11="Yes",-J25,0),IF(H25&gt;0,-J25,0)),"")</f>
        <v/>
      </c>
      <c r="T25" s="212" t="str">
        <f aca="false">IFERROR(IF(Summary!$D$10="Yes",-K25,""),"")</f>
        <v/>
      </c>
      <c r="U25" s="213" t="str">
        <f aca="false">IFERROR(IF(Summary!$D$12="Yes",-L25,""),"")</f>
        <v/>
      </c>
      <c r="V25" s="216" t="str">
        <f aca="false">IF('Bulk Order Details'!J35="","",SUM(R25:U25))</f>
        <v/>
      </c>
      <c r="W25" s="217" t="str">
        <f aca="false">IF('Bulk Order Details'!J35="","",D25+Q25)</f>
        <v/>
      </c>
      <c r="X25" s="218" t="str">
        <f aca="false">IF('Bulk Order Details'!J35="","",D25+Q25+V25)</f>
        <v/>
      </c>
      <c r="Y25" s="219" t="str">
        <f aca="false">IFERROR((W25-X25)/W25,"")</f>
        <v/>
      </c>
      <c r="Z25" s="220" t="str">
        <f aca="false">IF('Bulk Order Details'!J35="","",MAX(1,'Bulk Order Details'!D35))</f>
        <v/>
      </c>
      <c r="AA25" s="217" t="str">
        <f aca="false">IF(Pricing_Details[[#This Row],[Quantity]]="","",Pricing_Details[[#This Row],[Retail Price]]*Pricing_Details[[#This Row],[Quantity]])</f>
        <v/>
      </c>
      <c r="AB25" s="217" t="str">
        <f aca="false">IF(Pricing_Details[[#This Row],[Quantity]]="","",Pricing_Details[[#This Row],[Total Discount]]*Pricing_Details[[#This Row],[Quantity]])</f>
        <v/>
      </c>
      <c r="AC25" s="221" t="str">
        <f aca="false">IFERROR(ROUND(Pricing_Details[[#This Row],[Actual Price]]*Pricing_Details[[#This Row],[Quantity]],2),"")</f>
        <v/>
      </c>
      <c r="AE25" s="179" t="str">
        <f aca="false">IF('Bulk Order Details'!J35="","",VLOOKUP('Bulk Order Details'!H35,Collection[],3)&amp;VLOOKUP('Bulk Order Details'!J35,Collar[],4)&amp;VLOOKUP('Bulk Order Details'!I35,Sleeve[],4))</f>
        <v/>
      </c>
      <c r="AF25" s="179" t="str">
        <f aca="false">IF('Bulk Order Details'!J35="","",LOOKUP('Bulk Order Details'!E35,Cut[Display],Cut[Code])&amp;LOOKUP('Bulk Order Details'!F35,#REF!,#REF!)&amp;IF('Bulk Order Details'!G35="","",LOOKUP('Bulk Order Details'!G35,Length[Display],Length[Code])))</f>
        <v/>
      </c>
      <c r="AG25" s="179" t="str">
        <f aca="false">IF('Bulk Order Details'!J35="","",IF('Bulk Order Details'!C35="","",'Bulk Order Details'!C35))</f>
        <v/>
      </c>
      <c r="AH25" s="179" t="str">
        <f aca="false">IF('Bulk Order Details'!O35="","","-"&amp;LOOKUP('Bulk Order Details'!O35,#REF!,#REF!))</f>
        <v/>
      </c>
      <c r="AI25" s="179" t="str">
        <f aca="false">IF('Bulk Order Details'!P35="","","-"&amp;LOOKUP('Bulk Order Details'!P35,#REF!,#REF!))</f>
        <v/>
      </c>
      <c r="AJ25" s="179" t="str">
        <f aca="false">IF('Bulk Order Details'!Q35="","","-"&amp;LOOKUP('Bulk Order Details'!Q35,#REF!,#REF!))</f>
        <v/>
      </c>
      <c r="AK25" s="179" t="str">
        <f aca="false">IF('Bulk Order Details'!R35="","","-"&amp;LOOKUP('Bulk Order Details'!R35,#REF!,#REF!))</f>
        <v/>
      </c>
      <c r="AL25" s="179" t="str">
        <f aca="false">IF('Bulk Order Details'!S35="","","-"&amp;LOOKUP('Bulk Order Details'!S35,#REF!,#REF!))</f>
        <v/>
      </c>
      <c r="AM25" s="179" t="str">
        <f aca="false">IF(_xlfn.CONCAT(AH25:AL25)="","","Lo"&amp;_xlfn.CONCAT(AH25:AL25))</f>
        <v/>
      </c>
      <c r="AN25" s="179" t="str">
        <f aca="false">IF('Bulk Order Details'!K35="","","Na-"&amp;'Bulk Order Details'!K35)</f>
        <v/>
      </c>
      <c r="AO25" s="179" t="str">
        <f aca="false">IF('Bulk Order Details'!N35="","","Fo-"&amp;'Bulk Order Details'!N35)</f>
        <v/>
      </c>
      <c r="AP25" s="179" t="str">
        <f aca="false">IF(AE25="","",AE25&amp;"_"&amp;AF25&amp;"_"&amp;AG25&amp;IF(AM25="","","_"&amp;AM25)&amp;IF(AN25="","","_"&amp;AN25)&amp;IF(AO25="","","_"&amp;AO25))</f>
        <v/>
      </c>
      <c r="AQ25" s="218" t="str">
        <f aca="false">IF(X25="","",X25)</f>
        <v/>
      </c>
    </row>
    <row r="26" customFormat="false" ht="13.5" hidden="false" customHeight="true" outlineLevel="0" collapsed="false">
      <c r="B26" s="209" t="n">
        <f aca="false">'Bulk Order Details'!B36</f>
        <v>23</v>
      </c>
      <c r="C26" s="209" t="e">
        <f aca="false">IF('bulk order details'!#ref!="","",'bulk order details'!#ref!&amp;" "&amp;'bulk order details'!#ref!)</f>
        <v>#VALUE!</v>
      </c>
      <c r="D26" s="210" t="str">
        <f aca="false">IF('Bulk Order Details'!J36="","",VLOOKUP(1,Price[],3))</f>
        <v/>
      </c>
      <c r="E26" s="211" t="str">
        <f aca="false">IF('Bulk Order Details'!J36="","",Summary!$D$9)</f>
        <v/>
      </c>
      <c r="F26" s="212" t="str">
        <f aca="false">IF('Bulk Order Details'!F36="","",_xlfn.xlookup('Bulk Order Details'!F36,Size[Display],Size[Price]))</f>
        <v/>
      </c>
      <c r="G26" s="212" t="str">
        <f aca="false">IF('Bulk Order Details'!G36="","",_xlfn.xlookup('Bulk Order Details'!G36,Length[Display],Length[Price]))</f>
        <v/>
      </c>
      <c r="H26" s="212" t="str">
        <f aca="false">IF('Bulk Order Details'!H36="","",_xlfn.xlookup('Bulk Order Details'!H36,Collection[Display],Collection[Price]))</f>
        <v/>
      </c>
      <c r="I26" s="212" t="str">
        <f aca="false">IF('Bulk Order Details'!I36="","",_xlfn.xlookup('Bulk Order Details'!I36,Sleeve[Display],Sleeve[Price]))</f>
        <v/>
      </c>
      <c r="J26" s="212" t="str">
        <f aca="false">IF('Bulk Order Details'!J36="","",_xlfn.xlookup('Bulk Order Details'!J36,Collar[Display],Collar[Price]))</f>
        <v/>
      </c>
      <c r="K26" s="212" t="str">
        <f aca="false">IF('Bulk Order Details'!K36="","",_xlfn.xlookup("Name",Name[Name],Name[Price]))</f>
        <v/>
      </c>
      <c r="L26" s="213" t="str">
        <f aca="false">IFERROR(IF('Bulk Order Details'!O36="","",IF(_xlfn.xlookup('Bulk Order Details'!O36,Logos[Display],Logos[Use])="Flat",_xlfn.xlookup('Bulk Order Details'!O36,Logos[Display],Logos[Flat]),ROUND(_xlfn.xlookup('Bulk Order Details'!O36,Logos[Display],Logos[Pct])*$E26,2))),"")</f>
        <v/>
      </c>
      <c r="M26" s="222" t="str">
        <f aca="false">IFERROR(IF('Bulk Order Details'!P36="","",IF(_xlfn.xlookup('Bulk Order Details'!P36,Chest[Display],Chest[Use])="Flat",_xlfn.xlookup('Bulk Order Details'!P36,Chest[Display],Chest[Flat]),ROUND(_xlfn.xlookup('Bulk Order Details'!P36,Chest[Display],Chest[Pct])*$E26,2))),"")</f>
        <v/>
      </c>
      <c r="N26" s="222" t="str">
        <f aca="false">IFERROR(IF('Bulk Order Details'!Q36="","",IF(_xlfn.xlookup('Bulk Order Details'!Q36,Chest[Display],Chest[Use])="Flat",_xlfn.xlookup('Bulk Order Details'!Q36,Chest[Display],Chest[Flat]),ROUND(_xlfn.xlookup('Bulk Order Details'!Q36,Chest[Display],Chest[Pct])*$E26,2))),"")</f>
        <v/>
      </c>
      <c r="O26" s="222" t="str">
        <f aca="false">IFERROR(IF('Bulk Order Details'!R36="","",IF(_xlfn.xlookup('Bulk Order Details'!R36,LeftSleeve[Display],LeftSleeve[Use])="Flat",_xlfn.xlookup('Bulk Order Details'!R36,LeftSleeve[Display],LeftSleeve[Flat]),ROUND(_xlfn.xlookup('Bulk Order Details'!R36,LeftSleeve[Display],LeftSleeve[Pct])*$E26,2))),"")</f>
        <v/>
      </c>
      <c r="P26" s="222" t="str">
        <f aca="false">IFERROR(IF('Bulk Order Details'!S36="","",IF(_xlfn.xlookup('Bulk Order Details'!S36,RightSleeve[Display],RightSleeve[Use])="Flat",_xlfn.xlookup('Bulk Order Details'!S36,RightSleeve[Display],RightSleeve[Flat]),ROUND(_xlfn.xlookup('Bulk Order Details'!S36,RightSleeve[Display],RightSleeve[Pct])*$E26,2))),"")</f>
        <v/>
      </c>
      <c r="Q26" s="214" t="str">
        <f aca="false">IF('Bulk Order Details'!J36="","",SUM(F26:P26))</f>
        <v/>
      </c>
      <c r="R26" s="213" t="str">
        <f aca="false">IFERROR(E26-D26,"")</f>
        <v/>
      </c>
      <c r="S26" s="215" t="str">
        <f aca="false">IFERROR(MIN(IF(Summary!$D$11="Yes",-J26,0),IF(H26&gt;0,-J26,0)),"")</f>
        <v/>
      </c>
      <c r="T26" s="212" t="str">
        <f aca="false">IFERROR(IF(Summary!$D$10="Yes",-K26,""),"")</f>
        <v/>
      </c>
      <c r="U26" s="213" t="str">
        <f aca="false">IFERROR(IF(Summary!$D$12="Yes",-L26,""),"")</f>
        <v/>
      </c>
      <c r="V26" s="216" t="str">
        <f aca="false">IF('Bulk Order Details'!J36="","",SUM(R26:U26))</f>
        <v/>
      </c>
      <c r="W26" s="217" t="str">
        <f aca="false">IF('Bulk Order Details'!J36="","",D26+Q26)</f>
        <v/>
      </c>
      <c r="X26" s="218" t="str">
        <f aca="false">IF('Bulk Order Details'!J36="","",D26+Q26+V26)</f>
        <v/>
      </c>
      <c r="Y26" s="219" t="str">
        <f aca="false">IFERROR((W26-X26)/W26,"")</f>
        <v/>
      </c>
      <c r="Z26" s="220" t="str">
        <f aca="false">IF('Bulk Order Details'!J36="","",MAX(1,'Bulk Order Details'!D36))</f>
        <v/>
      </c>
      <c r="AA26" s="217" t="str">
        <f aca="false">IF(Pricing_Details[[#This Row],[Quantity]]="","",Pricing_Details[[#This Row],[Retail Price]]*Pricing_Details[[#This Row],[Quantity]])</f>
        <v/>
      </c>
      <c r="AB26" s="217" t="str">
        <f aca="false">IF(Pricing_Details[[#This Row],[Quantity]]="","",Pricing_Details[[#This Row],[Total Discount]]*Pricing_Details[[#This Row],[Quantity]])</f>
        <v/>
      </c>
      <c r="AC26" s="221" t="str">
        <f aca="false">IFERROR(ROUND(Pricing_Details[[#This Row],[Actual Price]]*Pricing_Details[[#This Row],[Quantity]],2),"")</f>
        <v/>
      </c>
      <c r="AE26" s="179" t="str">
        <f aca="false">IF('Bulk Order Details'!J36="","",VLOOKUP('Bulk Order Details'!H36,Collection[],3)&amp;VLOOKUP('Bulk Order Details'!J36,Collar[],4)&amp;VLOOKUP('Bulk Order Details'!I36,Sleeve[],4))</f>
        <v/>
      </c>
      <c r="AF26" s="179" t="str">
        <f aca="false">IF('Bulk Order Details'!J36="","",LOOKUP('Bulk Order Details'!E36,Cut[Display],Cut[Code])&amp;LOOKUP('Bulk Order Details'!F36,#REF!,#REF!)&amp;IF('Bulk Order Details'!G36="","",LOOKUP('Bulk Order Details'!G36,Length[Display],Length[Code])))</f>
        <v/>
      </c>
      <c r="AG26" s="179" t="str">
        <f aca="false">IF('Bulk Order Details'!J36="","",IF('Bulk Order Details'!C36="","",'Bulk Order Details'!C36))</f>
        <v/>
      </c>
      <c r="AH26" s="179" t="str">
        <f aca="false">IF('Bulk Order Details'!O36="","","-"&amp;LOOKUP('Bulk Order Details'!O36,#REF!,#REF!))</f>
        <v/>
      </c>
      <c r="AI26" s="179" t="str">
        <f aca="false">IF('Bulk Order Details'!P36="","","-"&amp;LOOKUP('Bulk Order Details'!P36,#REF!,#REF!))</f>
        <v/>
      </c>
      <c r="AJ26" s="179" t="str">
        <f aca="false">IF('Bulk Order Details'!Q36="","","-"&amp;LOOKUP('Bulk Order Details'!Q36,#REF!,#REF!))</f>
        <v/>
      </c>
      <c r="AK26" s="179" t="str">
        <f aca="false">IF('Bulk Order Details'!R36="","","-"&amp;LOOKUP('Bulk Order Details'!R36,#REF!,#REF!))</f>
        <v/>
      </c>
      <c r="AL26" s="179" t="str">
        <f aca="false">IF('Bulk Order Details'!S36="","","-"&amp;LOOKUP('Bulk Order Details'!S36,#REF!,#REF!))</f>
        <v/>
      </c>
      <c r="AM26" s="179" t="str">
        <f aca="false">IF(_xlfn.CONCAT(AH26:AL26)="","","Lo"&amp;_xlfn.CONCAT(AH26:AL26))</f>
        <v/>
      </c>
      <c r="AN26" s="179" t="str">
        <f aca="false">IF('Bulk Order Details'!K36="","","Na-"&amp;'Bulk Order Details'!K36)</f>
        <v/>
      </c>
      <c r="AO26" s="179" t="str">
        <f aca="false">IF('Bulk Order Details'!N36="","","Fo-"&amp;'Bulk Order Details'!N36)</f>
        <v/>
      </c>
      <c r="AP26" s="179" t="str">
        <f aca="false">IF(AE26="","",AE26&amp;"_"&amp;AF26&amp;"_"&amp;AG26&amp;IF(AM26="","","_"&amp;AM26)&amp;IF(AN26="","","_"&amp;AN26)&amp;IF(AO26="","","_"&amp;AO26))</f>
        <v/>
      </c>
      <c r="AQ26" s="218" t="str">
        <f aca="false">IF(X26="","",X26)</f>
        <v/>
      </c>
    </row>
    <row r="27" customFormat="false" ht="13.5" hidden="false" customHeight="true" outlineLevel="0" collapsed="false">
      <c r="B27" s="209" t="n">
        <f aca="false">'Bulk Order Details'!B37</f>
        <v>24</v>
      </c>
      <c r="C27" s="209" t="e">
        <f aca="false">IF('bulk order details'!#ref!="","",'bulk order details'!#ref!&amp;" "&amp;'bulk order details'!#ref!)</f>
        <v>#VALUE!</v>
      </c>
      <c r="D27" s="210" t="str">
        <f aca="false">IF('Bulk Order Details'!J37="","",VLOOKUP(1,Price[],3))</f>
        <v/>
      </c>
      <c r="E27" s="211" t="str">
        <f aca="false">IF('Bulk Order Details'!J37="","",Summary!$D$9)</f>
        <v/>
      </c>
      <c r="F27" s="212" t="str">
        <f aca="false">IF('Bulk Order Details'!F37="","",_xlfn.xlookup('Bulk Order Details'!F37,Size[Display],Size[Price]))</f>
        <v/>
      </c>
      <c r="G27" s="212" t="str">
        <f aca="false">IF('Bulk Order Details'!G37="","",_xlfn.xlookup('Bulk Order Details'!G37,Length[Display],Length[Price]))</f>
        <v/>
      </c>
      <c r="H27" s="212" t="str">
        <f aca="false">IF('Bulk Order Details'!H37="","",_xlfn.xlookup('Bulk Order Details'!H37,Collection[Display],Collection[Price]))</f>
        <v/>
      </c>
      <c r="I27" s="212" t="str">
        <f aca="false">IF('Bulk Order Details'!I37="","",_xlfn.xlookup('Bulk Order Details'!I37,Sleeve[Display],Sleeve[Price]))</f>
        <v/>
      </c>
      <c r="J27" s="212" t="str">
        <f aca="false">IF('Bulk Order Details'!J37="","",_xlfn.xlookup('Bulk Order Details'!J37,Collar[Display],Collar[Price]))</f>
        <v/>
      </c>
      <c r="K27" s="212" t="str">
        <f aca="false">IF('Bulk Order Details'!K37="","",_xlfn.xlookup("Name",Name[Name],Name[Price]))</f>
        <v/>
      </c>
      <c r="L27" s="213" t="str">
        <f aca="false">IFERROR(IF('Bulk Order Details'!O37="","",IF(_xlfn.xlookup('Bulk Order Details'!O37,Logos[Display],Logos[Use])="Flat",_xlfn.xlookup('Bulk Order Details'!O37,Logos[Display],Logos[Flat]),ROUND(_xlfn.xlookup('Bulk Order Details'!O37,Logos[Display],Logos[Pct])*$E27,2))),"")</f>
        <v/>
      </c>
      <c r="M27" s="222" t="str">
        <f aca="false">IFERROR(IF('Bulk Order Details'!P37="","",IF(_xlfn.xlookup('Bulk Order Details'!P37,Chest[Display],Chest[Use])="Flat",_xlfn.xlookup('Bulk Order Details'!P37,Chest[Display],Chest[Flat]),ROUND(_xlfn.xlookup('Bulk Order Details'!P37,Chest[Display],Chest[Pct])*$E27,2))),"")</f>
        <v/>
      </c>
      <c r="N27" s="222" t="str">
        <f aca="false">IFERROR(IF('Bulk Order Details'!Q37="","",IF(_xlfn.xlookup('Bulk Order Details'!Q37,Chest[Display],Chest[Use])="Flat",_xlfn.xlookup('Bulk Order Details'!Q37,Chest[Display],Chest[Flat]),ROUND(_xlfn.xlookup('Bulk Order Details'!Q37,Chest[Display],Chest[Pct])*$E27,2))),"")</f>
        <v/>
      </c>
      <c r="O27" s="222" t="str">
        <f aca="false">IFERROR(IF('Bulk Order Details'!R37="","",IF(_xlfn.xlookup('Bulk Order Details'!R37,LeftSleeve[Display],LeftSleeve[Use])="Flat",_xlfn.xlookup('Bulk Order Details'!R37,LeftSleeve[Display],LeftSleeve[Flat]),ROUND(_xlfn.xlookup('Bulk Order Details'!R37,LeftSleeve[Display],LeftSleeve[Pct])*$E27,2))),"")</f>
        <v/>
      </c>
      <c r="P27" s="222" t="str">
        <f aca="false">IFERROR(IF('Bulk Order Details'!S37="","",IF(_xlfn.xlookup('Bulk Order Details'!S37,RightSleeve[Display],RightSleeve[Use])="Flat",_xlfn.xlookup('Bulk Order Details'!S37,RightSleeve[Display],RightSleeve[Flat]),ROUND(_xlfn.xlookup('Bulk Order Details'!S37,RightSleeve[Display],RightSleeve[Pct])*$E27,2))),"")</f>
        <v/>
      </c>
      <c r="Q27" s="214" t="str">
        <f aca="false">IF('Bulk Order Details'!J37="","",SUM(F27:P27))</f>
        <v/>
      </c>
      <c r="R27" s="213" t="str">
        <f aca="false">IFERROR(E27-D27,"")</f>
        <v/>
      </c>
      <c r="S27" s="215" t="str">
        <f aca="false">IFERROR(MIN(IF(Summary!$D$11="Yes",-J27,0),IF(H27&gt;0,-J27,0)),"")</f>
        <v/>
      </c>
      <c r="T27" s="212" t="str">
        <f aca="false">IFERROR(IF(Summary!$D$10="Yes",-K27,""),"")</f>
        <v/>
      </c>
      <c r="U27" s="213" t="str">
        <f aca="false">IFERROR(IF(Summary!$D$12="Yes",-L27,""),"")</f>
        <v/>
      </c>
      <c r="V27" s="216" t="str">
        <f aca="false">IF('Bulk Order Details'!J37="","",SUM(R27:U27))</f>
        <v/>
      </c>
      <c r="W27" s="217" t="str">
        <f aca="false">IF('Bulk Order Details'!J37="","",D27+Q27)</f>
        <v/>
      </c>
      <c r="X27" s="218" t="str">
        <f aca="false">IF('Bulk Order Details'!J37="","",D27+Q27+V27)</f>
        <v/>
      </c>
      <c r="Y27" s="219" t="str">
        <f aca="false">IFERROR((W27-X27)/W27,"")</f>
        <v/>
      </c>
      <c r="Z27" s="220" t="str">
        <f aca="false">IF('Bulk Order Details'!J37="","",MAX(1,'Bulk Order Details'!D37))</f>
        <v/>
      </c>
      <c r="AA27" s="217" t="str">
        <f aca="false">IF(Pricing_Details[[#This Row],[Quantity]]="","",Pricing_Details[[#This Row],[Retail Price]]*Pricing_Details[[#This Row],[Quantity]])</f>
        <v/>
      </c>
      <c r="AB27" s="217" t="str">
        <f aca="false">IF(Pricing_Details[[#This Row],[Quantity]]="","",Pricing_Details[[#This Row],[Total Discount]]*Pricing_Details[[#This Row],[Quantity]])</f>
        <v/>
      </c>
      <c r="AC27" s="221" t="str">
        <f aca="false">IFERROR(ROUND(Pricing_Details[[#This Row],[Actual Price]]*Pricing_Details[[#This Row],[Quantity]],2),"")</f>
        <v/>
      </c>
      <c r="AE27" s="179" t="str">
        <f aca="false">IF('Bulk Order Details'!J37="","",VLOOKUP('Bulk Order Details'!H37,Collection[],3)&amp;VLOOKUP('Bulk Order Details'!J37,Collar[],4)&amp;VLOOKUP('Bulk Order Details'!I37,Sleeve[],4))</f>
        <v/>
      </c>
      <c r="AF27" s="179" t="str">
        <f aca="false">IF('Bulk Order Details'!J37="","",LOOKUP('Bulk Order Details'!E37,Cut[Display],Cut[Code])&amp;LOOKUP('Bulk Order Details'!F37,#REF!,#REF!)&amp;IF('Bulk Order Details'!G37="","",LOOKUP('Bulk Order Details'!G37,Length[Display],Length[Code])))</f>
        <v/>
      </c>
      <c r="AG27" s="179" t="str">
        <f aca="false">IF('Bulk Order Details'!J37="","",IF('Bulk Order Details'!C37="","",'Bulk Order Details'!C37))</f>
        <v/>
      </c>
      <c r="AH27" s="179" t="str">
        <f aca="false">IF('Bulk Order Details'!O37="","","-"&amp;LOOKUP('Bulk Order Details'!O37,#REF!,#REF!))</f>
        <v/>
      </c>
      <c r="AI27" s="179" t="str">
        <f aca="false">IF('Bulk Order Details'!P37="","","-"&amp;LOOKUP('Bulk Order Details'!P37,#REF!,#REF!))</f>
        <v/>
      </c>
      <c r="AJ27" s="179" t="str">
        <f aca="false">IF('Bulk Order Details'!Q37="","","-"&amp;LOOKUP('Bulk Order Details'!Q37,#REF!,#REF!))</f>
        <v/>
      </c>
      <c r="AK27" s="179" t="str">
        <f aca="false">IF('Bulk Order Details'!R37="","","-"&amp;LOOKUP('Bulk Order Details'!R37,#REF!,#REF!))</f>
        <v/>
      </c>
      <c r="AL27" s="179" t="str">
        <f aca="false">IF('Bulk Order Details'!S37="","","-"&amp;LOOKUP('Bulk Order Details'!S37,#REF!,#REF!))</f>
        <v/>
      </c>
      <c r="AM27" s="179" t="str">
        <f aca="false">IF(_xlfn.CONCAT(AH27:AL27)="","","Lo"&amp;_xlfn.CONCAT(AH27:AL27))</f>
        <v/>
      </c>
      <c r="AN27" s="179" t="str">
        <f aca="false">IF('Bulk Order Details'!K37="","","Na-"&amp;'Bulk Order Details'!K37)</f>
        <v/>
      </c>
      <c r="AO27" s="179" t="str">
        <f aca="false">IF('Bulk Order Details'!N37="","","Fo-"&amp;'Bulk Order Details'!N37)</f>
        <v/>
      </c>
      <c r="AP27" s="179" t="str">
        <f aca="false">IF(AE27="","",AE27&amp;"_"&amp;AF27&amp;"_"&amp;AG27&amp;IF(AM27="","","_"&amp;AM27)&amp;IF(AN27="","","_"&amp;AN27)&amp;IF(AO27="","","_"&amp;AO27))</f>
        <v/>
      </c>
      <c r="AQ27" s="218" t="str">
        <f aca="false">IF(X27="","",X27)</f>
        <v/>
      </c>
    </row>
    <row r="28" customFormat="false" ht="13.5" hidden="false" customHeight="true" outlineLevel="0" collapsed="false">
      <c r="B28" s="209" t="n">
        <f aca="false">'Bulk Order Details'!B38</f>
        <v>25</v>
      </c>
      <c r="C28" s="209" t="e">
        <f aca="false">IF('bulk order details'!#ref!="","",'bulk order details'!#ref!&amp;" "&amp;'bulk order details'!#ref!)</f>
        <v>#VALUE!</v>
      </c>
      <c r="D28" s="210" t="str">
        <f aca="false">IF('Bulk Order Details'!J38="","",VLOOKUP(1,Price[],3))</f>
        <v/>
      </c>
      <c r="E28" s="211" t="str">
        <f aca="false">IF('Bulk Order Details'!J38="","",Summary!$D$9)</f>
        <v/>
      </c>
      <c r="F28" s="212" t="str">
        <f aca="false">IF('Bulk Order Details'!F38="","",_xlfn.xlookup('Bulk Order Details'!F38,Size[Display],Size[Price]))</f>
        <v/>
      </c>
      <c r="G28" s="212" t="str">
        <f aca="false">IF('Bulk Order Details'!G38="","",_xlfn.xlookup('Bulk Order Details'!G38,Length[Display],Length[Price]))</f>
        <v/>
      </c>
      <c r="H28" s="212" t="str">
        <f aca="false">IF('Bulk Order Details'!H38="","",_xlfn.xlookup('Bulk Order Details'!H38,Collection[Display],Collection[Price]))</f>
        <v/>
      </c>
      <c r="I28" s="212" t="str">
        <f aca="false">IF('Bulk Order Details'!I38="","",_xlfn.xlookup('Bulk Order Details'!I38,Sleeve[Display],Sleeve[Price]))</f>
        <v/>
      </c>
      <c r="J28" s="212" t="str">
        <f aca="false">IF('Bulk Order Details'!J38="","",_xlfn.xlookup('Bulk Order Details'!J38,Collar[Display],Collar[Price]))</f>
        <v/>
      </c>
      <c r="K28" s="212" t="str">
        <f aca="false">IF('Bulk Order Details'!K38="","",_xlfn.xlookup("Name",Name[Name],Name[Price]))</f>
        <v/>
      </c>
      <c r="L28" s="213" t="str">
        <f aca="false">IFERROR(IF('Bulk Order Details'!O38="","",IF(_xlfn.xlookup('Bulk Order Details'!O38,Logos[Display],Logos[Use])="Flat",_xlfn.xlookup('Bulk Order Details'!O38,Logos[Display],Logos[Flat]),ROUND(_xlfn.xlookup('Bulk Order Details'!O38,Logos[Display],Logos[Pct])*$E28,2))),"")</f>
        <v/>
      </c>
      <c r="M28" s="222" t="str">
        <f aca="false">IFERROR(IF('Bulk Order Details'!P38="","",IF(_xlfn.xlookup('Bulk Order Details'!P38,Chest[Display],Chest[Use])="Flat",_xlfn.xlookup('Bulk Order Details'!P38,Chest[Display],Chest[Flat]),ROUND(_xlfn.xlookup('Bulk Order Details'!P38,Chest[Display],Chest[Pct])*$E28,2))),"")</f>
        <v/>
      </c>
      <c r="N28" s="222" t="str">
        <f aca="false">IFERROR(IF('Bulk Order Details'!Q38="","",IF(_xlfn.xlookup('Bulk Order Details'!Q38,Chest[Display],Chest[Use])="Flat",_xlfn.xlookup('Bulk Order Details'!Q38,Chest[Display],Chest[Flat]),ROUND(_xlfn.xlookup('Bulk Order Details'!Q38,Chest[Display],Chest[Pct])*$E28,2))),"")</f>
        <v/>
      </c>
      <c r="O28" s="222" t="str">
        <f aca="false">IFERROR(IF('Bulk Order Details'!R38="","",IF(_xlfn.xlookup('Bulk Order Details'!R38,LeftSleeve[Display],LeftSleeve[Use])="Flat",_xlfn.xlookup('Bulk Order Details'!R38,LeftSleeve[Display],LeftSleeve[Flat]),ROUND(_xlfn.xlookup('Bulk Order Details'!R38,LeftSleeve[Display],LeftSleeve[Pct])*$E28,2))),"")</f>
        <v/>
      </c>
      <c r="P28" s="222" t="str">
        <f aca="false">IFERROR(IF('Bulk Order Details'!S38="","",IF(_xlfn.xlookup('Bulk Order Details'!S38,RightSleeve[Display],RightSleeve[Use])="Flat",_xlfn.xlookup('Bulk Order Details'!S38,RightSleeve[Display],RightSleeve[Flat]),ROUND(_xlfn.xlookup('Bulk Order Details'!S38,RightSleeve[Display],RightSleeve[Pct])*$E28,2))),"")</f>
        <v/>
      </c>
      <c r="Q28" s="214" t="str">
        <f aca="false">IF('Bulk Order Details'!J38="","",SUM(F28:P28))</f>
        <v/>
      </c>
      <c r="R28" s="213" t="str">
        <f aca="false">IFERROR(E28-D28,"")</f>
        <v/>
      </c>
      <c r="S28" s="215" t="str">
        <f aca="false">IFERROR(MIN(IF(Summary!$D$11="Yes",-J28,0),IF(H28&gt;0,-J28,0)),"")</f>
        <v/>
      </c>
      <c r="T28" s="212" t="str">
        <f aca="false">IFERROR(IF(Summary!$D$10="Yes",-K28,""),"")</f>
        <v/>
      </c>
      <c r="U28" s="213" t="str">
        <f aca="false">IFERROR(IF(Summary!$D$12="Yes",-L28,""),"")</f>
        <v/>
      </c>
      <c r="V28" s="216" t="str">
        <f aca="false">IF('Bulk Order Details'!J38="","",SUM(R28:U28))</f>
        <v/>
      </c>
      <c r="W28" s="217" t="str">
        <f aca="false">IF('Bulk Order Details'!J38="","",D28+Q28)</f>
        <v/>
      </c>
      <c r="X28" s="218" t="str">
        <f aca="false">IF('Bulk Order Details'!J38="","",D28+Q28+V28)</f>
        <v/>
      </c>
      <c r="Y28" s="219" t="str">
        <f aca="false">IFERROR((W28-X28)/W28,"")</f>
        <v/>
      </c>
      <c r="Z28" s="220" t="str">
        <f aca="false">IF('Bulk Order Details'!J38="","",MAX(1,'Bulk Order Details'!D38))</f>
        <v/>
      </c>
      <c r="AA28" s="217" t="str">
        <f aca="false">IF(Pricing_Details[[#This Row],[Quantity]]="","",Pricing_Details[[#This Row],[Retail Price]]*Pricing_Details[[#This Row],[Quantity]])</f>
        <v/>
      </c>
      <c r="AB28" s="217" t="str">
        <f aca="false">IF(Pricing_Details[[#This Row],[Quantity]]="","",Pricing_Details[[#This Row],[Total Discount]]*Pricing_Details[[#This Row],[Quantity]])</f>
        <v/>
      </c>
      <c r="AC28" s="221" t="str">
        <f aca="false">IFERROR(ROUND(Pricing_Details[[#This Row],[Actual Price]]*Pricing_Details[[#This Row],[Quantity]],2),"")</f>
        <v/>
      </c>
      <c r="AE28" s="179" t="str">
        <f aca="false">IF('Bulk Order Details'!J38="","",VLOOKUP('Bulk Order Details'!H38,Collection[],3)&amp;VLOOKUP('Bulk Order Details'!J38,Collar[],4)&amp;VLOOKUP('Bulk Order Details'!I38,Sleeve[],4))</f>
        <v/>
      </c>
      <c r="AF28" s="179" t="str">
        <f aca="false">IF('Bulk Order Details'!J38="","",LOOKUP('Bulk Order Details'!E38,Cut[Display],Cut[Code])&amp;LOOKUP('Bulk Order Details'!F38,#REF!,#REF!)&amp;IF('Bulk Order Details'!G38="","",LOOKUP('Bulk Order Details'!G38,Length[Display],Length[Code])))</f>
        <v/>
      </c>
      <c r="AG28" s="179" t="str">
        <f aca="false">IF('Bulk Order Details'!J38="","",IF('Bulk Order Details'!C38="","",'Bulk Order Details'!C38))</f>
        <v/>
      </c>
      <c r="AH28" s="179" t="str">
        <f aca="false">IF('Bulk Order Details'!O38="","","-"&amp;LOOKUP('Bulk Order Details'!O38,#REF!,#REF!))</f>
        <v/>
      </c>
      <c r="AI28" s="179" t="str">
        <f aca="false">IF('Bulk Order Details'!P38="","","-"&amp;LOOKUP('Bulk Order Details'!P38,#REF!,#REF!))</f>
        <v/>
      </c>
      <c r="AJ28" s="179" t="str">
        <f aca="false">IF('Bulk Order Details'!Q38="","","-"&amp;LOOKUP('Bulk Order Details'!Q38,#REF!,#REF!))</f>
        <v/>
      </c>
      <c r="AK28" s="179" t="str">
        <f aca="false">IF('Bulk Order Details'!R38="","","-"&amp;LOOKUP('Bulk Order Details'!R38,#REF!,#REF!))</f>
        <v/>
      </c>
      <c r="AL28" s="179" t="str">
        <f aca="false">IF('Bulk Order Details'!S38="","","-"&amp;LOOKUP('Bulk Order Details'!S38,#REF!,#REF!))</f>
        <v/>
      </c>
      <c r="AM28" s="179" t="str">
        <f aca="false">IF(_xlfn.CONCAT(AH28:AL28)="","","Lo"&amp;_xlfn.CONCAT(AH28:AL28))</f>
        <v/>
      </c>
      <c r="AN28" s="179" t="str">
        <f aca="false">IF('Bulk Order Details'!K38="","","Na-"&amp;'Bulk Order Details'!K38)</f>
        <v/>
      </c>
      <c r="AO28" s="179" t="str">
        <f aca="false">IF('Bulk Order Details'!N38="","","Fo-"&amp;'Bulk Order Details'!N38)</f>
        <v/>
      </c>
      <c r="AP28" s="179" t="str">
        <f aca="false">IF(AE28="","",AE28&amp;"_"&amp;AF28&amp;"_"&amp;AG28&amp;IF(AM28="","","_"&amp;AM28)&amp;IF(AN28="","","_"&amp;AN28)&amp;IF(AO28="","","_"&amp;AO28))</f>
        <v/>
      </c>
      <c r="AQ28" s="218" t="str">
        <f aca="false">IF(X28="","",X28)</f>
        <v/>
      </c>
    </row>
    <row r="29" customFormat="false" ht="13.5" hidden="false" customHeight="true" outlineLevel="0" collapsed="false">
      <c r="B29" s="209" t="n">
        <f aca="false">'Bulk Order Details'!B39</f>
        <v>26</v>
      </c>
      <c r="C29" s="209" t="e">
        <f aca="false">IF('bulk order details'!#ref!="","",'bulk order details'!#ref!&amp;" "&amp;'bulk order details'!#ref!)</f>
        <v>#VALUE!</v>
      </c>
      <c r="D29" s="210" t="str">
        <f aca="false">IF('Bulk Order Details'!J39="","",VLOOKUP(1,Price[],3))</f>
        <v/>
      </c>
      <c r="E29" s="211" t="str">
        <f aca="false">IF('Bulk Order Details'!J39="","",Summary!$D$9)</f>
        <v/>
      </c>
      <c r="F29" s="212" t="str">
        <f aca="false">IF('Bulk Order Details'!F39="","",_xlfn.xlookup('Bulk Order Details'!F39,Size[Display],Size[Price]))</f>
        <v/>
      </c>
      <c r="G29" s="212" t="str">
        <f aca="false">IF('Bulk Order Details'!G39="","",_xlfn.xlookup('Bulk Order Details'!G39,Length[Display],Length[Price]))</f>
        <v/>
      </c>
      <c r="H29" s="212" t="str">
        <f aca="false">IF('Bulk Order Details'!H39="","",_xlfn.xlookup('Bulk Order Details'!H39,Collection[Display],Collection[Price]))</f>
        <v/>
      </c>
      <c r="I29" s="212" t="str">
        <f aca="false">IF('Bulk Order Details'!I39="","",_xlfn.xlookup('Bulk Order Details'!I39,Sleeve[Display],Sleeve[Price]))</f>
        <v/>
      </c>
      <c r="J29" s="212" t="str">
        <f aca="false">IF('Bulk Order Details'!J39="","",_xlfn.xlookup('Bulk Order Details'!J39,Collar[Display],Collar[Price]))</f>
        <v/>
      </c>
      <c r="K29" s="212" t="str">
        <f aca="false">IF('Bulk Order Details'!K39="","",_xlfn.xlookup("Name",Name[Name],Name[Price]))</f>
        <v/>
      </c>
      <c r="L29" s="213" t="str">
        <f aca="false">IFERROR(IF('Bulk Order Details'!O39="","",IF(_xlfn.xlookup('Bulk Order Details'!O39,Logos[Display],Logos[Use])="Flat",_xlfn.xlookup('Bulk Order Details'!O39,Logos[Display],Logos[Flat]),ROUND(_xlfn.xlookup('Bulk Order Details'!O39,Logos[Display],Logos[Pct])*$E29,2))),"")</f>
        <v/>
      </c>
      <c r="M29" s="222" t="str">
        <f aca="false">IFERROR(IF('Bulk Order Details'!P39="","",IF(_xlfn.xlookup('Bulk Order Details'!P39,Chest[Display],Chest[Use])="Flat",_xlfn.xlookup('Bulk Order Details'!P39,Chest[Display],Chest[Flat]),ROUND(_xlfn.xlookup('Bulk Order Details'!P39,Chest[Display],Chest[Pct])*$E29,2))),"")</f>
        <v/>
      </c>
      <c r="N29" s="222" t="str">
        <f aca="false">IFERROR(IF('Bulk Order Details'!Q39="","",IF(_xlfn.xlookup('Bulk Order Details'!Q39,Chest[Display],Chest[Use])="Flat",_xlfn.xlookup('Bulk Order Details'!Q39,Chest[Display],Chest[Flat]),ROUND(_xlfn.xlookup('Bulk Order Details'!Q39,Chest[Display],Chest[Pct])*$E29,2))),"")</f>
        <v/>
      </c>
      <c r="O29" s="222" t="str">
        <f aca="false">IFERROR(IF('Bulk Order Details'!R39="","",IF(_xlfn.xlookup('Bulk Order Details'!R39,LeftSleeve[Display],LeftSleeve[Use])="Flat",_xlfn.xlookup('Bulk Order Details'!R39,LeftSleeve[Display],LeftSleeve[Flat]),ROUND(_xlfn.xlookup('Bulk Order Details'!R39,LeftSleeve[Display],LeftSleeve[Pct])*$E29,2))),"")</f>
        <v/>
      </c>
      <c r="P29" s="222" t="str">
        <f aca="false">IFERROR(IF('Bulk Order Details'!S39="","",IF(_xlfn.xlookup('Bulk Order Details'!S39,RightSleeve[Display],RightSleeve[Use])="Flat",_xlfn.xlookup('Bulk Order Details'!S39,RightSleeve[Display],RightSleeve[Flat]),ROUND(_xlfn.xlookup('Bulk Order Details'!S39,RightSleeve[Display],RightSleeve[Pct])*$E29,2))),"")</f>
        <v/>
      </c>
      <c r="Q29" s="214" t="str">
        <f aca="false">IF('Bulk Order Details'!J39="","",SUM(F29:P29))</f>
        <v/>
      </c>
      <c r="R29" s="213" t="str">
        <f aca="false">IFERROR(E29-D29,"")</f>
        <v/>
      </c>
      <c r="S29" s="215" t="str">
        <f aca="false">IFERROR(MIN(IF(Summary!$D$11="Yes",-J29,0),IF(H29&gt;0,-J29,0)),"")</f>
        <v/>
      </c>
      <c r="T29" s="212" t="str">
        <f aca="false">IFERROR(IF(Summary!$D$10="Yes",-K29,""),"")</f>
        <v/>
      </c>
      <c r="U29" s="213" t="str">
        <f aca="false">IFERROR(IF(Summary!$D$12="Yes",-L29,""),"")</f>
        <v/>
      </c>
      <c r="V29" s="216" t="str">
        <f aca="false">IF('Bulk Order Details'!J39="","",SUM(R29:U29))</f>
        <v/>
      </c>
      <c r="W29" s="217" t="str">
        <f aca="false">IF('Bulk Order Details'!J39="","",D29+Q29)</f>
        <v/>
      </c>
      <c r="X29" s="218" t="str">
        <f aca="false">IF('Bulk Order Details'!J39="","",D29+Q29+V29)</f>
        <v/>
      </c>
      <c r="Y29" s="219" t="str">
        <f aca="false">IFERROR((W29-X29)/W29,"")</f>
        <v/>
      </c>
      <c r="Z29" s="220" t="str">
        <f aca="false">IF('Bulk Order Details'!J39="","",MAX(1,'Bulk Order Details'!D39))</f>
        <v/>
      </c>
      <c r="AA29" s="217" t="str">
        <f aca="false">IF(Pricing_Details[[#This Row],[Quantity]]="","",Pricing_Details[[#This Row],[Retail Price]]*Pricing_Details[[#This Row],[Quantity]])</f>
        <v/>
      </c>
      <c r="AB29" s="217" t="str">
        <f aca="false">IF(Pricing_Details[[#This Row],[Quantity]]="","",Pricing_Details[[#This Row],[Total Discount]]*Pricing_Details[[#This Row],[Quantity]])</f>
        <v/>
      </c>
      <c r="AC29" s="221" t="str">
        <f aca="false">IFERROR(ROUND(Pricing_Details[[#This Row],[Actual Price]]*Pricing_Details[[#This Row],[Quantity]],2),"")</f>
        <v/>
      </c>
      <c r="AE29" s="179" t="str">
        <f aca="false">IF('Bulk Order Details'!J39="","",VLOOKUP('Bulk Order Details'!H39,Collection[],3)&amp;VLOOKUP('Bulk Order Details'!J39,Collar[],4)&amp;VLOOKUP('Bulk Order Details'!I39,Sleeve[],4))</f>
        <v/>
      </c>
      <c r="AF29" s="179" t="str">
        <f aca="false">IF('Bulk Order Details'!J39="","",LOOKUP('Bulk Order Details'!E39,Cut[Display],Cut[Code])&amp;LOOKUP('Bulk Order Details'!F39,#REF!,#REF!)&amp;IF('Bulk Order Details'!G39="","",LOOKUP('Bulk Order Details'!G39,Length[Display],Length[Code])))</f>
        <v/>
      </c>
      <c r="AG29" s="179" t="str">
        <f aca="false">IF('Bulk Order Details'!J39="","",IF('Bulk Order Details'!C39="","",'Bulk Order Details'!C39))</f>
        <v/>
      </c>
      <c r="AH29" s="179" t="str">
        <f aca="false">IF('Bulk Order Details'!O39="","","-"&amp;LOOKUP('Bulk Order Details'!O39,#REF!,#REF!))</f>
        <v/>
      </c>
      <c r="AI29" s="179" t="str">
        <f aca="false">IF('Bulk Order Details'!P39="","","-"&amp;LOOKUP('Bulk Order Details'!P39,#REF!,#REF!))</f>
        <v/>
      </c>
      <c r="AJ29" s="179" t="str">
        <f aca="false">IF('Bulk Order Details'!Q39="","","-"&amp;LOOKUP('Bulk Order Details'!Q39,#REF!,#REF!))</f>
        <v/>
      </c>
      <c r="AK29" s="179" t="str">
        <f aca="false">IF('Bulk Order Details'!R39="","","-"&amp;LOOKUP('Bulk Order Details'!R39,#REF!,#REF!))</f>
        <v/>
      </c>
      <c r="AL29" s="179" t="str">
        <f aca="false">IF('Bulk Order Details'!S39="","","-"&amp;LOOKUP('Bulk Order Details'!S39,#REF!,#REF!))</f>
        <v/>
      </c>
      <c r="AM29" s="179" t="str">
        <f aca="false">IF(_xlfn.CONCAT(AH29:AL29)="","","Lo"&amp;_xlfn.CONCAT(AH29:AL29))</f>
        <v/>
      </c>
      <c r="AN29" s="179" t="str">
        <f aca="false">IF('Bulk Order Details'!K39="","","Na-"&amp;'Bulk Order Details'!K39)</f>
        <v/>
      </c>
      <c r="AO29" s="179" t="str">
        <f aca="false">IF('Bulk Order Details'!N39="","","Fo-"&amp;'Bulk Order Details'!N39)</f>
        <v/>
      </c>
      <c r="AP29" s="179" t="str">
        <f aca="false">IF(AE29="","",AE29&amp;"_"&amp;AF29&amp;"_"&amp;AG29&amp;IF(AM29="","","_"&amp;AM29)&amp;IF(AN29="","","_"&amp;AN29)&amp;IF(AO29="","","_"&amp;AO29))</f>
        <v/>
      </c>
      <c r="AQ29" s="218" t="str">
        <f aca="false">IF(X29="","",X29)</f>
        <v/>
      </c>
    </row>
    <row r="30" customFormat="false" ht="13.5" hidden="false" customHeight="true" outlineLevel="0" collapsed="false">
      <c r="B30" s="209" t="n">
        <f aca="false">'Bulk Order Details'!B40</f>
        <v>27</v>
      </c>
      <c r="C30" s="209" t="e">
        <f aca="false">IF('bulk order details'!#ref!="","",'bulk order details'!#ref!&amp;" "&amp;'bulk order details'!#ref!)</f>
        <v>#VALUE!</v>
      </c>
      <c r="D30" s="210" t="str">
        <f aca="false">IF('Bulk Order Details'!J40="","",VLOOKUP(1,Price[],3))</f>
        <v/>
      </c>
      <c r="E30" s="211" t="str">
        <f aca="false">IF('Bulk Order Details'!J40="","",Summary!$D$9)</f>
        <v/>
      </c>
      <c r="F30" s="212" t="str">
        <f aca="false">IF('Bulk Order Details'!F40="","",_xlfn.xlookup('Bulk Order Details'!F40,Size[Display],Size[Price]))</f>
        <v/>
      </c>
      <c r="G30" s="212" t="str">
        <f aca="false">IF('Bulk Order Details'!G40="","",_xlfn.xlookup('Bulk Order Details'!G40,Length[Display],Length[Price]))</f>
        <v/>
      </c>
      <c r="H30" s="212" t="str">
        <f aca="false">IF('Bulk Order Details'!H40="","",_xlfn.xlookup('Bulk Order Details'!H40,Collection[Display],Collection[Price]))</f>
        <v/>
      </c>
      <c r="I30" s="212" t="str">
        <f aca="false">IF('Bulk Order Details'!I40="","",_xlfn.xlookup('Bulk Order Details'!I40,Sleeve[Display],Sleeve[Price]))</f>
        <v/>
      </c>
      <c r="J30" s="212" t="str">
        <f aca="false">IF('Bulk Order Details'!J40="","",_xlfn.xlookup('Bulk Order Details'!J40,Collar[Display],Collar[Price]))</f>
        <v/>
      </c>
      <c r="K30" s="212" t="str">
        <f aca="false">IF('Bulk Order Details'!K40="","",_xlfn.xlookup("Name",Name[Name],Name[Price]))</f>
        <v/>
      </c>
      <c r="L30" s="213" t="str">
        <f aca="false">IFERROR(IF('Bulk Order Details'!O40="","",IF(_xlfn.xlookup('Bulk Order Details'!O40,Logos[Display],Logos[Use])="Flat",_xlfn.xlookup('Bulk Order Details'!O40,Logos[Display],Logos[Flat]),ROUND(_xlfn.xlookup('Bulk Order Details'!O40,Logos[Display],Logos[Pct])*$E30,2))),"")</f>
        <v/>
      </c>
      <c r="M30" s="222" t="str">
        <f aca="false">IFERROR(IF('Bulk Order Details'!P40="","",IF(_xlfn.xlookup('Bulk Order Details'!P40,Chest[Display],Chest[Use])="Flat",_xlfn.xlookup('Bulk Order Details'!P40,Chest[Display],Chest[Flat]),ROUND(_xlfn.xlookup('Bulk Order Details'!P40,Chest[Display],Chest[Pct])*$E30,2))),"")</f>
        <v/>
      </c>
      <c r="N30" s="222" t="str">
        <f aca="false">IFERROR(IF('Bulk Order Details'!Q40="","",IF(_xlfn.xlookup('Bulk Order Details'!Q40,Chest[Display],Chest[Use])="Flat",_xlfn.xlookup('Bulk Order Details'!Q40,Chest[Display],Chest[Flat]),ROUND(_xlfn.xlookup('Bulk Order Details'!Q40,Chest[Display],Chest[Pct])*$E30,2))),"")</f>
        <v/>
      </c>
      <c r="O30" s="222" t="str">
        <f aca="false">IFERROR(IF('Bulk Order Details'!R40="","",IF(_xlfn.xlookup('Bulk Order Details'!R40,LeftSleeve[Display],LeftSleeve[Use])="Flat",_xlfn.xlookup('Bulk Order Details'!R40,LeftSleeve[Display],LeftSleeve[Flat]),ROUND(_xlfn.xlookup('Bulk Order Details'!R40,LeftSleeve[Display],LeftSleeve[Pct])*$E30,2))),"")</f>
        <v/>
      </c>
      <c r="P30" s="222" t="str">
        <f aca="false">IFERROR(IF('Bulk Order Details'!S40="","",IF(_xlfn.xlookup('Bulk Order Details'!S40,RightSleeve[Display],RightSleeve[Use])="Flat",_xlfn.xlookup('Bulk Order Details'!S40,RightSleeve[Display],RightSleeve[Flat]),ROUND(_xlfn.xlookup('Bulk Order Details'!S40,RightSleeve[Display],RightSleeve[Pct])*$E30,2))),"")</f>
        <v/>
      </c>
      <c r="Q30" s="214" t="str">
        <f aca="false">IF('Bulk Order Details'!J40="","",SUM(F30:P30))</f>
        <v/>
      </c>
      <c r="R30" s="213" t="str">
        <f aca="false">IFERROR(E30-D30,"")</f>
        <v/>
      </c>
      <c r="S30" s="215" t="str">
        <f aca="false">IFERROR(MIN(IF(Summary!$D$11="Yes",-J30,0),IF(H30&gt;0,-J30,0)),"")</f>
        <v/>
      </c>
      <c r="T30" s="212" t="str">
        <f aca="false">IFERROR(IF(Summary!$D$10="Yes",-K30,""),"")</f>
        <v/>
      </c>
      <c r="U30" s="213" t="str">
        <f aca="false">IFERROR(IF(Summary!$D$12="Yes",-L30,""),"")</f>
        <v/>
      </c>
      <c r="V30" s="216" t="str">
        <f aca="false">IF('Bulk Order Details'!J40="","",SUM(R30:U30))</f>
        <v/>
      </c>
      <c r="W30" s="217" t="str">
        <f aca="false">IF('Bulk Order Details'!J40="","",D30+Q30)</f>
        <v/>
      </c>
      <c r="X30" s="218" t="str">
        <f aca="false">IF('Bulk Order Details'!J40="","",D30+Q30+V30)</f>
        <v/>
      </c>
      <c r="Y30" s="219" t="str">
        <f aca="false">IFERROR((W30-X30)/W30,"")</f>
        <v/>
      </c>
      <c r="Z30" s="220" t="str">
        <f aca="false">IF('Bulk Order Details'!J40="","",MAX(1,'Bulk Order Details'!D40))</f>
        <v/>
      </c>
      <c r="AA30" s="217" t="str">
        <f aca="false">IF(Pricing_Details[[#This Row],[Quantity]]="","",Pricing_Details[[#This Row],[Retail Price]]*Pricing_Details[[#This Row],[Quantity]])</f>
        <v/>
      </c>
      <c r="AB30" s="217" t="str">
        <f aca="false">IF(Pricing_Details[[#This Row],[Quantity]]="","",Pricing_Details[[#This Row],[Total Discount]]*Pricing_Details[[#This Row],[Quantity]])</f>
        <v/>
      </c>
      <c r="AC30" s="221" t="str">
        <f aca="false">IFERROR(ROUND(Pricing_Details[[#This Row],[Actual Price]]*Pricing_Details[[#This Row],[Quantity]],2),"")</f>
        <v/>
      </c>
      <c r="AE30" s="179" t="str">
        <f aca="false">IF('Bulk Order Details'!J40="","",VLOOKUP('Bulk Order Details'!H40,Collection[],3)&amp;VLOOKUP('Bulk Order Details'!J40,Collar[],4)&amp;VLOOKUP('Bulk Order Details'!I40,Sleeve[],4))</f>
        <v/>
      </c>
      <c r="AF30" s="179" t="str">
        <f aca="false">IF('Bulk Order Details'!J40="","",LOOKUP('Bulk Order Details'!E40,Cut[Display],Cut[Code])&amp;LOOKUP('Bulk Order Details'!F40,#REF!,#REF!)&amp;IF('Bulk Order Details'!G40="","",LOOKUP('Bulk Order Details'!G40,Length[Display],Length[Code])))</f>
        <v/>
      </c>
      <c r="AG30" s="179" t="str">
        <f aca="false">IF('Bulk Order Details'!J40="","",IF('Bulk Order Details'!C40="","",'Bulk Order Details'!C40))</f>
        <v/>
      </c>
      <c r="AH30" s="179" t="str">
        <f aca="false">IF('Bulk Order Details'!O40="","","-"&amp;LOOKUP('Bulk Order Details'!O40,#REF!,#REF!))</f>
        <v/>
      </c>
      <c r="AI30" s="179" t="str">
        <f aca="false">IF('Bulk Order Details'!P40="","","-"&amp;LOOKUP('Bulk Order Details'!P40,#REF!,#REF!))</f>
        <v/>
      </c>
      <c r="AJ30" s="179" t="str">
        <f aca="false">IF('Bulk Order Details'!Q40="","","-"&amp;LOOKUP('Bulk Order Details'!Q40,#REF!,#REF!))</f>
        <v/>
      </c>
      <c r="AK30" s="179" t="str">
        <f aca="false">IF('Bulk Order Details'!R40="","","-"&amp;LOOKUP('Bulk Order Details'!R40,#REF!,#REF!))</f>
        <v/>
      </c>
      <c r="AL30" s="179" t="str">
        <f aca="false">IF('Bulk Order Details'!S40="","","-"&amp;LOOKUP('Bulk Order Details'!S40,#REF!,#REF!))</f>
        <v/>
      </c>
      <c r="AM30" s="179" t="str">
        <f aca="false">IF(_xlfn.CONCAT(AH30:AL30)="","","Lo"&amp;_xlfn.CONCAT(AH30:AL30))</f>
        <v/>
      </c>
      <c r="AN30" s="179" t="str">
        <f aca="false">IF('Bulk Order Details'!K40="","","Na-"&amp;'Bulk Order Details'!K40)</f>
        <v/>
      </c>
      <c r="AO30" s="179" t="str">
        <f aca="false">IF('Bulk Order Details'!N40="","","Fo-"&amp;'Bulk Order Details'!N40)</f>
        <v/>
      </c>
      <c r="AP30" s="179" t="str">
        <f aca="false">IF(AE30="","",AE30&amp;"_"&amp;AF30&amp;"_"&amp;AG30&amp;IF(AM30="","","_"&amp;AM30)&amp;IF(AN30="","","_"&amp;AN30)&amp;IF(AO30="","","_"&amp;AO30))</f>
        <v/>
      </c>
      <c r="AQ30" s="218" t="str">
        <f aca="false">IF(X30="","",X30)</f>
        <v/>
      </c>
    </row>
    <row r="31" customFormat="false" ht="13.5" hidden="false" customHeight="true" outlineLevel="0" collapsed="false">
      <c r="B31" s="209" t="n">
        <f aca="false">'Bulk Order Details'!B41</f>
        <v>28</v>
      </c>
      <c r="C31" s="209" t="e">
        <f aca="false">IF('bulk order details'!#ref!="","",'bulk order details'!#ref!&amp;" "&amp;'bulk order details'!#ref!)</f>
        <v>#VALUE!</v>
      </c>
      <c r="D31" s="210" t="str">
        <f aca="false">IF('Bulk Order Details'!J41="","",VLOOKUP(1,Price[],3))</f>
        <v/>
      </c>
      <c r="E31" s="211" t="str">
        <f aca="false">IF('Bulk Order Details'!J41="","",Summary!$D$9)</f>
        <v/>
      </c>
      <c r="F31" s="212" t="str">
        <f aca="false">IF('Bulk Order Details'!F41="","",_xlfn.xlookup('Bulk Order Details'!F41,Size[Display],Size[Price]))</f>
        <v/>
      </c>
      <c r="G31" s="212" t="str">
        <f aca="false">IF('Bulk Order Details'!G41="","",_xlfn.xlookup('Bulk Order Details'!G41,Length[Display],Length[Price]))</f>
        <v/>
      </c>
      <c r="H31" s="212" t="str">
        <f aca="false">IF('Bulk Order Details'!H41="","",_xlfn.xlookup('Bulk Order Details'!H41,Collection[Display],Collection[Price]))</f>
        <v/>
      </c>
      <c r="I31" s="212" t="str">
        <f aca="false">IF('Bulk Order Details'!I41="","",_xlfn.xlookup('Bulk Order Details'!I41,Sleeve[Display],Sleeve[Price]))</f>
        <v/>
      </c>
      <c r="J31" s="212" t="str">
        <f aca="false">IF('Bulk Order Details'!J41="","",_xlfn.xlookup('Bulk Order Details'!J41,Collar[Display],Collar[Price]))</f>
        <v/>
      </c>
      <c r="K31" s="212" t="str">
        <f aca="false">IF('Bulk Order Details'!K41="","",_xlfn.xlookup("Name",Name[Name],Name[Price]))</f>
        <v/>
      </c>
      <c r="L31" s="213" t="str">
        <f aca="false">IFERROR(IF('Bulk Order Details'!O41="","",IF(_xlfn.xlookup('Bulk Order Details'!O41,Logos[Display],Logos[Use])="Flat",_xlfn.xlookup('Bulk Order Details'!O41,Logos[Display],Logos[Flat]),ROUND(_xlfn.xlookup('Bulk Order Details'!O41,Logos[Display],Logos[Pct])*$E31,2))),"")</f>
        <v/>
      </c>
      <c r="M31" s="222" t="str">
        <f aca="false">IFERROR(IF('Bulk Order Details'!P41="","",IF(_xlfn.xlookup('Bulk Order Details'!P41,Chest[Display],Chest[Use])="Flat",_xlfn.xlookup('Bulk Order Details'!P41,Chest[Display],Chest[Flat]),ROUND(_xlfn.xlookup('Bulk Order Details'!P41,Chest[Display],Chest[Pct])*$E31,2))),"")</f>
        <v/>
      </c>
      <c r="N31" s="222" t="str">
        <f aca="false">IFERROR(IF('Bulk Order Details'!Q41="","",IF(_xlfn.xlookup('Bulk Order Details'!Q41,Chest[Display],Chest[Use])="Flat",_xlfn.xlookup('Bulk Order Details'!Q41,Chest[Display],Chest[Flat]),ROUND(_xlfn.xlookup('Bulk Order Details'!Q41,Chest[Display],Chest[Pct])*$E31,2))),"")</f>
        <v/>
      </c>
      <c r="O31" s="222" t="str">
        <f aca="false">IFERROR(IF('Bulk Order Details'!R41="","",IF(_xlfn.xlookup('Bulk Order Details'!R41,LeftSleeve[Display],LeftSleeve[Use])="Flat",_xlfn.xlookup('Bulk Order Details'!R41,LeftSleeve[Display],LeftSleeve[Flat]),ROUND(_xlfn.xlookup('Bulk Order Details'!R41,LeftSleeve[Display],LeftSleeve[Pct])*$E31,2))),"")</f>
        <v/>
      </c>
      <c r="P31" s="222" t="str">
        <f aca="false">IFERROR(IF('Bulk Order Details'!S41="","",IF(_xlfn.xlookup('Bulk Order Details'!S41,RightSleeve[Display],RightSleeve[Use])="Flat",_xlfn.xlookup('Bulk Order Details'!S41,RightSleeve[Display],RightSleeve[Flat]),ROUND(_xlfn.xlookup('Bulk Order Details'!S41,RightSleeve[Display],RightSleeve[Pct])*$E31,2))),"")</f>
        <v/>
      </c>
      <c r="Q31" s="214" t="str">
        <f aca="false">IF('Bulk Order Details'!J41="","",SUM(F31:P31))</f>
        <v/>
      </c>
      <c r="R31" s="213" t="str">
        <f aca="false">IFERROR(E31-D31,"")</f>
        <v/>
      </c>
      <c r="S31" s="215" t="str">
        <f aca="false">IFERROR(MIN(IF(Summary!$D$11="Yes",-J31,0),IF(H31&gt;0,-J31,0)),"")</f>
        <v/>
      </c>
      <c r="T31" s="212" t="str">
        <f aca="false">IFERROR(IF(Summary!$D$10="Yes",-K31,""),"")</f>
        <v/>
      </c>
      <c r="U31" s="213" t="str">
        <f aca="false">IFERROR(IF(Summary!$D$12="Yes",-L31,""),"")</f>
        <v/>
      </c>
      <c r="V31" s="216" t="str">
        <f aca="false">IF('Bulk Order Details'!J41="","",SUM(R31:U31))</f>
        <v/>
      </c>
      <c r="W31" s="217" t="str">
        <f aca="false">IF('Bulk Order Details'!J41="","",D31+Q31)</f>
        <v/>
      </c>
      <c r="X31" s="218" t="str">
        <f aca="false">IF('Bulk Order Details'!J41="","",D31+Q31+V31)</f>
        <v/>
      </c>
      <c r="Y31" s="219" t="str">
        <f aca="false">IFERROR((W31-X31)/W31,"")</f>
        <v/>
      </c>
      <c r="Z31" s="220" t="str">
        <f aca="false">IF('Bulk Order Details'!J41="","",MAX(1,'Bulk Order Details'!D41))</f>
        <v/>
      </c>
      <c r="AA31" s="217" t="str">
        <f aca="false">IF(Pricing_Details[[#This Row],[Quantity]]="","",Pricing_Details[[#This Row],[Retail Price]]*Pricing_Details[[#This Row],[Quantity]])</f>
        <v/>
      </c>
      <c r="AB31" s="217" t="str">
        <f aca="false">IF(Pricing_Details[[#This Row],[Quantity]]="","",Pricing_Details[[#This Row],[Total Discount]]*Pricing_Details[[#This Row],[Quantity]])</f>
        <v/>
      </c>
      <c r="AC31" s="221" t="str">
        <f aca="false">IFERROR(ROUND(Pricing_Details[[#This Row],[Actual Price]]*Pricing_Details[[#This Row],[Quantity]],2),"")</f>
        <v/>
      </c>
      <c r="AE31" s="179" t="str">
        <f aca="false">IF('Bulk Order Details'!J41="","",VLOOKUP('Bulk Order Details'!H41,Collection[],3)&amp;VLOOKUP('Bulk Order Details'!J41,Collar[],4)&amp;VLOOKUP('Bulk Order Details'!I41,Sleeve[],4))</f>
        <v/>
      </c>
      <c r="AF31" s="179" t="str">
        <f aca="false">IF('Bulk Order Details'!J41="","",LOOKUP('Bulk Order Details'!E41,Cut[Display],Cut[Code])&amp;LOOKUP('Bulk Order Details'!F41,#REF!,#REF!)&amp;IF('Bulk Order Details'!G41="","",LOOKUP('Bulk Order Details'!G41,Length[Display],Length[Code])))</f>
        <v/>
      </c>
      <c r="AG31" s="179" t="str">
        <f aca="false">IF('Bulk Order Details'!J41="","",IF('Bulk Order Details'!C41="","",'Bulk Order Details'!C41))</f>
        <v/>
      </c>
      <c r="AH31" s="179" t="str">
        <f aca="false">IF('Bulk Order Details'!O41="","","-"&amp;LOOKUP('Bulk Order Details'!O41,#REF!,#REF!))</f>
        <v/>
      </c>
      <c r="AI31" s="179" t="str">
        <f aca="false">IF('Bulk Order Details'!P41="","","-"&amp;LOOKUP('Bulk Order Details'!P41,#REF!,#REF!))</f>
        <v/>
      </c>
      <c r="AJ31" s="179" t="str">
        <f aca="false">IF('Bulk Order Details'!Q41="","","-"&amp;LOOKUP('Bulk Order Details'!Q41,#REF!,#REF!))</f>
        <v/>
      </c>
      <c r="AK31" s="179" t="str">
        <f aca="false">IF('Bulk Order Details'!R41="","","-"&amp;LOOKUP('Bulk Order Details'!R41,#REF!,#REF!))</f>
        <v/>
      </c>
      <c r="AL31" s="179" t="str">
        <f aca="false">IF('Bulk Order Details'!S41="","","-"&amp;LOOKUP('Bulk Order Details'!S41,#REF!,#REF!))</f>
        <v/>
      </c>
      <c r="AM31" s="179" t="str">
        <f aca="false">IF(_xlfn.CONCAT(AH31:AL31)="","","Lo"&amp;_xlfn.CONCAT(AH31:AL31))</f>
        <v/>
      </c>
      <c r="AN31" s="179" t="str">
        <f aca="false">IF('Bulk Order Details'!K41="","","Na-"&amp;'Bulk Order Details'!K41)</f>
        <v/>
      </c>
      <c r="AO31" s="179" t="str">
        <f aca="false">IF('Bulk Order Details'!N41="","","Fo-"&amp;'Bulk Order Details'!N41)</f>
        <v/>
      </c>
      <c r="AP31" s="179" t="str">
        <f aca="false">IF(AE31="","",AE31&amp;"_"&amp;AF31&amp;"_"&amp;AG31&amp;IF(AM31="","","_"&amp;AM31)&amp;IF(AN31="","","_"&amp;AN31)&amp;IF(AO31="","","_"&amp;AO31))</f>
        <v/>
      </c>
      <c r="AQ31" s="218" t="str">
        <f aca="false">IF(X31="","",X31)</f>
        <v/>
      </c>
    </row>
    <row r="32" customFormat="false" ht="13.5" hidden="false" customHeight="true" outlineLevel="0" collapsed="false">
      <c r="B32" s="209" t="n">
        <f aca="false">'Bulk Order Details'!B42</f>
        <v>29</v>
      </c>
      <c r="C32" s="209" t="e">
        <f aca="false">IF('bulk order details'!#ref!="","",'bulk order details'!#ref!&amp;" "&amp;'bulk order details'!#ref!)</f>
        <v>#VALUE!</v>
      </c>
      <c r="D32" s="210" t="str">
        <f aca="false">IF('Bulk Order Details'!J42="","",VLOOKUP(1,Price[],3))</f>
        <v/>
      </c>
      <c r="E32" s="211" t="str">
        <f aca="false">IF('Bulk Order Details'!J42="","",Summary!$D$9)</f>
        <v/>
      </c>
      <c r="F32" s="212" t="str">
        <f aca="false">IF('Bulk Order Details'!F42="","",_xlfn.xlookup('Bulk Order Details'!F42,Size[Display],Size[Price]))</f>
        <v/>
      </c>
      <c r="G32" s="212" t="str">
        <f aca="false">IF('Bulk Order Details'!G42="","",_xlfn.xlookup('Bulk Order Details'!G42,Length[Display],Length[Price]))</f>
        <v/>
      </c>
      <c r="H32" s="212" t="str">
        <f aca="false">IF('Bulk Order Details'!H42="","",_xlfn.xlookup('Bulk Order Details'!H42,Collection[Display],Collection[Price]))</f>
        <v/>
      </c>
      <c r="I32" s="212" t="str">
        <f aca="false">IF('Bulk Order Details'!I42="","",_xlfn.xlookup('Bulk Order Details'!I42,Sleeve[Display],Sleeve[Price]))</f>
        <v/>
      </c>
      <c r="J32" s="212" t="str">
        <f aca="false">IF('Bulk Order Details'!J42="","",_xlfn.xlookup('Bulk Order Details'!J42,Collar[Display],Collar[Price]))</f>
        <v/>
      </c>
      <c r="K32" s="212" t="str">
        <f aca="false">IF('Bulk Order Details'!K42="","",_xlfn.xlookup("Name",Name[Name],Name[Price]))</f>
        <v/>
      </c>
      <c r="L32" s="213" t="str">
        <f aca="false">IFERROR(IF('Bulk Order Details'!O42="","",IF(_xlfn.xlookup('Bulk Order Details'!O42,Logos[Display],Logos[Use])="Flat",_xlfn.xlookup('Bulk Order Details'!O42,Logos[Display],Logos[Flat]),ROUND(_xlfn.xlookup('Bulk Order Details'!O42,Logos[Display],Logos[Pct])*$E32,2))),"")</f>
        <v/>
      </c>
      <c r="M32" s="222" t="str">
        <f aca="false">IFERROR(IF('Bulk Order Details'!P42="","",IF(_xlfn.xlookup('Bulk Order Details'!P42,Chest[Display],Chest[Use])="Flat",_xlfn.xlookup('Bulk Order Details'!P42,Chest[Display],Chest[Flat]),ROUND(_xlfn.xlookup('Bulk Order Details'!P42,Chest[Display],Chest[Pct])*$E32,2))),"")</f>
        <v/>
      </c>
      <c r="N32" s="222" t="str">
        <f aca="false">IFERROR(IF('Bulk Order Details'!Q42="","",IF(_xlfn.xlookup('Bulk Order Details'!Q42,Chest[Display],Chest[Use])="Flat",_xlfn.xlookup('Bulk Order Details'!Q42,Chest[Display],Chest[Flat]),ROUND(_xlfn.xlookup('Bulk Order Details'!Q42,Chest[Display],Chest[Pct])*$E32,2))),"")</f>
        <v/>
      </c>
      <c r="O32" s="222" t="str">
        <f aca="false">IFERROR(IF('Bulk Order Details'!R42="","",IF(_xlfn.xlookup('Bulk Order Details'!R42,LeftSleeve[Display],LeftSleeve[Use])="Flat",_xlfn.xlookup('Bulk Order Details'!R42,LeftSleeve[Display],LeftSleeve[Flat]),ROUND(_xlfn.xlookup('Bulk Order Details'!R42,LeftSleeve[Display],LeftSleeve[Pct])*$E32,2))),"")</f>
        <v/>
      </c>
      <c r="P32" s="222" t="str">
        <f aca="false">IFERROR(IF('Bulk Order Details'!S42="","",IF(_xlfn.xlookup('Bulk Order Details'!S42,RightSleeve[Display],RightSleeve[Use])="Flat",_xlfn.xlookup('Bulk Order Details'!S42,RightSleeve[Display],RightSleeve[Flat]),ROUND(_xlfn.xlookup('Bulk Order Details'!S42,RightSleeve[Display],RightSleeve[Pct])*$E32,2))),"")</f>
        <v/>
      </c>
      <c r="Q32" s="214" t="str">
        <f aca="false">IF('Bulk Order Details'!J42="","",SUM(F32:P32))</f>
        <v/>
      </c>
      <c r="R32" s="213" t="str">
        <f aca="false">IFERROR(E32-D32,"")</f>
        <v/>
      </c>
      <c r="S32" s="215" t="str">
        <f aca="false">IFERROR(MIN(IF(Summary!$D$11="Yes",-J32,0),IF(H32&gt;0,-J32,0)),"")</f>
        <v/>
      </c>
      <c r="T32" s="212" t="str">
        <f aca="false">IFERROR(IF(Summary!$D$10="Yes",-K32,""),"")</f>
        <v/>
      </c>
      <c r="U32" s="213" t="str">
        <f aca="false">IFERROR(IF(Summary!$D$12="Yes",-L32,""),"")</f>
        <v/>
      </c>
      <c r="V32" s="216" t="str">
        <f aca="false">IF('Bulk Order Details'!J42="","",SUM(R32:U32))</f>
        <v/>
      </c>
      <c r="W32" s="217" t="str">
        <f aca="false">IF('Bulk Order Details'!J42="","",D32+Q32)</f>
        <v/>
      </c>
      <c r="X32" s="218" t="str">
        <f aca="false">IF('Bulk Order Details'!J42="","",D32+Q32+V32)</f>
        <v/>
      </c>
      <c r="Y32" s="219" t="str">
        <f aca="false">IFERROR((W32-X32)/W32,"")</f>
        <v/>
      </c>
      <c r="Z32" s="220" t="str">
        <f aca="false">IF('Bulk Order Details'!J42="","",MAX(1,'Bulk Order Details'!D42))</f>
        <v/>
      </c>
      <c r="AA32" s="217" t="str">
        <f aca="false">IF(Pricing_Details[[#This Row],[Quantity]]="","",Pricing_Details[[#This Row],[Retail Price]]*Pricing_Details[[#This Row],[Quantity]])</f>
        <v/>
      </c>
      <c r="AB32" s="217" t="str">
        <f aca="false">IF(Pricing_Details[[#This Row],[Quantity]]="","",Pricing_Details[[#This Row],[Total Discount]]*Pricing_Details[[#This Row],[Quantity]])</f>
        <v/>
      </c>
      <c r="AC32" s="221" t="str">
        <f aca="false">IFERROR(ROUND(Pricing_Details[[#This Row],[Actual Price]]*Pricing_Details[[#This Row],[Quantity]],2),"")</f>
        <v/>
      </c>
      <c r="AE32" s="179" t="str">
        <f aca="false">IF('Bulk Order Details'!J42="","",VLOOKUP('Bulk Order Details'!H42,Collection[],3)&amp;VLOOKUP('Bulk Order Details'!J42,Collar[],4)&amp;VLOOKUP('Bulk Order Details'!I42,Sleeve[],4))</f>
        <v/>
      </c>
      <c r="AF32" s="179" t="str">
        <f aca="false">IF('Bulk Order Details'!J42="","",LOOKUP('Bulk Order Details'!E42,Cut[Display],Cut[Code])&amp;LOOKUP('Bulk Order Details'!F42,#REF!,#REF!)&amp;IF('Bulk Order Details'!G42="","",LOOKUP('Bulk Order Details'!G42,Length[Display],Length[Code])))</f>
        <v/>
      </c>
      <c r="AG32" s="179" t="str">
        <f aca="false">IF('Bulk Order Details'!J42="","",IF('Bulk Order Details'!C42="","",'Bulk Order Details'!C42))</f>
        <v/>
      </c>
      <c r="AH32" s="179" t="str">
        <f aca="false">IF('Bulk Order Details'!O42="","","-"&amp;LOOKUP('Bulk Order Details'!O42,#REF!,#REF!))</f>
        <v/>
      </c>
      <c r="AI32" s="179" t="str">
        <f aca="false">IF('Bulk Order Details'!P42="","","-"&amp;LOOKUP('Bulk Order Details'!P42,#REF!,#REF!))</f>
        <v/>
      </c>
      <c r="AJ32" s="179" t="str">
        <f aca="false">IF('Bulk Order Details'!Q42="","","-"&amp;LOOKUP('Bulk Order Details'!Q42,#REF!,#REF!))</f>
        <v/>
      </c>
      <c r="AK32" s="179" t="str">
        <f aca="false">IF('Bulk Order Details'!R42="","","-"&amp;LOOKUP('Bulk Order Details'!R42,#REF!,#REF!))</f>
        <v/>
      </c>
      <c r="AL32" s="179" t="str">
        <f aca="false">IF('Bulk Order Details'!S42="","","-"&amp;LOOKUP('Bulk Order Details'!S42,#REF!,#REF!))</f>
        <v/>
      </c>
      <c r="AM32" s="179" t="str">
        <f aca="false">IF(_xlfn.CONCAT(AH32:AL32)="","","Lo"&amp;_xlfn.CONCAT(AH32:AL32))</f>
        <v/>
      </c>
      <c r="AN32" s="179" t="str">
        <f aca="false">IF('Bulk Order Details'!K42="","","Na-"&amp;'Bulk Order Details'!K42)</f>
        <v/>
      </c>
      <c r="AO32" s="179" t="str">
        <f aca="false">IF('Bulk Order Details'!N42="","","Fo-"&amp;'Bulk Order Details'!N42)</f>
        <v/>
      </c>
      <c r="AP32" s="179" t="str">
        <f aca="false">IF(AE32="","",AE32&amp;"_"&amp;AF32&amp;"_"&amp;AG32&amp;IF(AM32="","","_"&amp;AM32)&amp;IF(AN32="","","_"&amp;AN32)&amp;IF(AO32="","","_"&amp;AO32))</f>
        <v/>
      </c>
      <c r="AQ32" s="218" t="str">
        <f aca="false">IF(X32="","",X32)</f>
        <v/>
      </c>
    </row>
    <row r="33" customFormat="false" ht="13.5" hidden="false" customHeight="true" outlineLevel="0" collapsed="false">
      <c r="B33" s="209" t="n">
        <f aca="false">'Bulk Order Details'!B43</f>
        <v>30</v>
      </c>
      <c r="C33" s="209" t="e">
        <f aca="false">IF('bulk order details'!#ref!="","",'bulk order details'!#ref!&amp;" "&amp;'bulk order details'!#ref!)</f>
        <v>#VALUE!</v>
      </c>
      <c r="D33" s="210" t="str">
        <f aca="false">IF('Bulk Order Details'!J43="","",VLOOKUP(1,Price[],3))</f>
        <v/>
      </c>
      <c r="E33" s="211" t="str">
        <f aca="false">IF('Bulk Order Details'!J43="","",Summary!$D$9)</f>
        <v/>
      </c>
      <c r="F33" s="212" t="str">
        <f aca="false">IF('Bulk Order Details'!F43="","",_xlfn.xlookup('Bulk Order Details'!F43,Size[Display],Size[Price]))</f>
        <v/>
      </c>
      <c r="G33" s="212" t="str">
        <f aca="false">IF('Bulk Order Details'!G43="","",_xlfn.xlookup('Bulk Order Details'!G43,Length[Display],Length[Price]))</f>
        <v/>
      </c>
      <c r="H33" s="212" t="str">
        <f aca="false">IF('Bulk Order Details'!H43="","",_xlfn.xlookup('Bulk Order Details'!H43,Collection[Display],Collection[Price]))</f>
        <v/>
      </c>
      <c r="I33" s="212" t="str">
        <f aca="false">IF('Bulk Order Details'!I43="","",_xlfn.xlookup('Bulk Order Details'!I43,Sleeve[Display],Sleeve[Price]))</f>
        <v/>
      </c>
      <c r="J33" s="212" t="str">
        <f aca="false">IF('Bulk Order Details'!J43="","",_xlfn.xlookup('Bulk Order Details'!J43,Collar[Display],Collar[Price]))</f>
        <v/>
      </c>
      <c r="K33" s="212" t="str">
        <f aca="false">IF('Bulk Order Details'!K43="","",_xlfn.xlookup("Name",Name[Name],Name[Price]))</f>
        <v/>
      </c>
      <c r="L33" s="213" t="str">
        <f aca="false">IFERROR(IF('Bulk Order Details'!O43="","",IF(_xlfn.xlookup('Bulk Order Details'!O43,Logos[Display],Logos[Use])="Flat",_xlfn.xlookup('Bulk Order Details'!O43,Logos[Display],Logos[Flat]),ROUND(_xlfn.xlookup('Bulk Order Details'!O43,Logos[Display],Logos[Pct])*$E33,2))),"")</f>
        <v/>
      </c>
      <c r="M33" s="222" t="str">
        <f aca="false">IFERROR(IF('Bulk Order Details'!P43="","",IF(_xlfn.xlookup('Bulk Order Details'!P43,Chest[Display],Chest[Use])="Flat",_xlfn.xlookup('Bulk Order Details'!P43,Chest[Display],Chest[Flat]),ROUND(_xlfn.xlookup('Bulk Order Details'!P43,Chest[Display],Chest[Pct])*$E33,2))),"")</f>
        <v/>
      </c>
      <c r="N33" s="222" t="str">
        <f aca="false">IFERROR(IF('Bulk Order Details'!Q43="","",IF(_xlfn.xlookup('Bulk Order Details'!Q43,Chest[Display],Chest[Use])="Flat",_xlfn.xlookup('Bulk Order Details'!Q43,Chest[Display],Chest[Flat]),ROUND(_xlfn.xlookup('Bulk Order Details'!Q43,Chest[Display],Chest[Pct])*$E33,2))),"")</f>
        <v/>
      </c>
      <c r="O33" s="222" t="str">
        <f aca="false">IFERROR(IF('Bulk Order Details'!R43="","",IF(_xlfn.xlookup('Bulk Order Details'!R43,LeftSleeve[Display],LeftSleeve[Use])="Flat",_xlfn.xlookup('Bulk Order Details'!R43,LeftSleeve[Display],LeftSleeve[Flat]),ROUND(_xlfn.xlookup('Bulk Order Details'!R43,LeftSleeve[Display],LeftSleeve[Pct])*$E33,2))),"")</f>
        <v/>
      </c>
      <c r="P33" s="222" t="str">
        <f aca="false">IFERROR(IF('Bulk Order Details'!S43="","",IF(_xlfn.xlookup('Bulk Order Details'!S43,RightSleeve[Display],RightSleeve[Use])="Flat",_xlfn.xlookup('Bulk Order Details'!S43,RightSleeve[Display],RightSleeve[Flat]),ROUND(_xlfn.xlookup('Bulk Order Details'!S43,RightSleeve[Display],RightSleeve[Pct])*$E33,2))),"")</f>
        <v/>
      </c>
      <c r="Q33" s="214" t="str">
        <f aca="false">IF('Bulk Order Details'!J43="","",SUM(F33:P33))</f>
        <v/>
      </c>
      <c r="R33" s="213" t="str">
        <f aca="false">IFERROR(E33-D33,"")</f>
        <v/>
      </c>
      <c r="S33" s="215" t="str">
        <f aca="false">IFERROR(MIN(IF(Summary!$D$11="Yes",-J33,0),IF(H33&gt;0,-J33,0)),"")</f>
        <v/>
      </c>
      <c r="T33" s="212" t="str">
        <f aca="false">IFERROR(IF(Summary!$D$10="Yes",-K33,""),"")</f>
        <v/>
      </c>
      <c r="U33" s="213" t="str">
        <f aca="false">IFERROR(IF(Summary!$D$12="Yes",-L33,""),"")</f>
        <v/>
      </c>
      <c r="V33" s="216" t="str">
        <f aca="false">IF('Bulk Order Details'!J43="","",SUM(R33:U33))</f>
        <v/>
      </c>
      <c r="W33" s="217" t="str">
        <f aca="false">IF('Bulk Order Details'!J43="","",D33+Q33)</f>
        <v/>
      </c>
      <c r="X33" s="218" t="str">
        <f aca="false">IF('Bulk Order Details'!J43="","",D33+Q33+V33)</f>
        <v/>
      </c>
      <c r="Y33" s="219" t="str">
        <f aca="false">IFERROR((W33-X33)/W33,"")</f>
        <v/>
      </c>
      <c r="Z33" s="220" t="str">
        <f aca="false">IF('Bulk Order Details'!J43="","",MAX(1,'Bulk Order Details'!D43))</f>
        <v/>
      </c>
      <c r="AA33" s="217" t="str">
        <f aca="false">IF(Pricing_Details[[#This Row],[Quantity]]="","",Pricing_Details[[#This Row],[Retail Price]]*Pricing_Details[[#This Row],[Quantity]])</f>
        <v/>
      </c>
      <c r="AB33" s="217" t="str">
        <f aca="false">IF(Pricing_Details[[#This Row],[Quantity]]="","",Pricing_Details[[#This Row],[Total Discount]]*Pricing_Details[[#This Row],[Quantity]])</f>
        <v/>
      </c>
      <c r="AC33" s="221" t="str">
        <f aca="false">IFERROR(ROUND(Pricing_Details[[#This Row],[Actual Price]]*Pricing_Details[[#This Row],[Quantity]],2),"")</f>
        <v/>
      </c>
      <c r="AE33" s="179" t="str">
        <f aca="false">IF('Bulk Order Details'!J43="","",VLOOKUP('Bulk Order Details'!H43,Collection[],3)&amp;VLOOKUP('Bulk Order Details'!J43,Collar[],4)&amp;VLOOKUP('Bulk Order Details'!I43,Sleeve[],4))</f>
        <v/>
      </c>
      <c r="AF33" s="179" t="str">
        <f aca="false">IF('Bulk Order Details'!J43="","",LOOKUP('Bulk Order Details'!E43,Cut[Display],Cut[Code])&amp;LOOKUP('Bulk Order Details'!F43,#REF!,#REF!)&amp;IF('Bulk Order Details'!G43="","",LOOKUP('Bulk Order Details'!G43,Length[Display],Length[Code])))</f>
        <v/>
      </c>
      <c r="AG33" s="179" t="str">
        <f aca="false">IF('Bulk Order Details'!J43="","",IF('Bulk Order Details'!C43="","",'Bulk Order Details'!C43))</f>
        <v/>
      </c>
      <c r="AH33" s="179" t="str">
        <f aca="false">IF('Bulk Order Details'!O43="","","-"&amp;LOOKUP('Bulk Order Details'!O43,#REF!,#REF!))</f>
        <v/>
      </c>
      <c r="AI33" s="179" t="str">
        <f aca="false">IF('Bulk Order Details'!P43="","","-"&amp;LOOKUP('Bulk Order Details'!P43,#REF!,#REF!))</f>
        <v/>
      </c>
      <c r="AJ33" s="179" t="str">
        <f aca="false">IF('Bulk Order Details'!Q43="","","-"&amp;LOOKUP('Bulk Order Details'!Q43,#REF!,#REF!))</f>
        <v/>
      </c>
      <c r="AK33" s="179" t="str">
        <f aca="false">IF('Bulk Order Details'!R43="","","-"&amp;LOOKUP('Bulk Order Details'!R43,#REF!,#REF!))</f>
        <v/>
      </c>
      <c r="AL33" s="179" t="str">
        <f aca="false">IF('Bulk Order Details'!S43="","","-"&amp;LOOKUP('Bulk Order Details'!S43,#REF!,#REF!))</f>
        <v/>
      </c>
      <c r="AM33" s="179" t="str">
        <f aca="false">IF(_xlfn.CONCAT(AH33:AL33)="","","Lo"&amp;_xlfn.CONCAT(AH33:AL33))</f>
        <v/>
      </c>
      <c r="AN33" s="179" t="str">
        <f aca="false">IF('Bulk Order Details'!K43="","","Na-"&amp;'Bulk Order Details'!K43)</f>
        <v/>
      </c>
      <c r="AO33" s="179" t="str">
        <f aca="false">IF('Bulk Order Details'!N43="","","Fo-"&amp;'Bulk Order Details'!N43)</f>
        <v/>
      </c>
      <c r="AP33" s="179" t="str">
        <f aca="false">IF(AE33="","",AE33&amp;"_"&amp;AF33&amp;"_"&amp;AG33&amp;IF(AM33="","","_"&amp;AM33)&amp;IF(AN33="","","_"&amp;AN33)&amp;IF(AO33="","","_"&amp;AO33))</f>
        <v/>
      </c>
      <c r="AQ33" s="218" t="str">
        <f aca="false">IF(X33="","",X33)</f>
        <v/>
      </c>
    </row>
    <row r="34" customFormat="false" ht="13.5" hidden="false" customHeight="true" outlineLevel="0" collapsed="false">
      <c r="B34" s="209" t="n">
        <f aca="false">'Bulk Order Details'!B44</f>
        <v>31</v>
      </c>
      <c r="C34" s="209" t="e">
        <f aca="false">IF('bulk order details'!#ref!="","",'bulk order details'!#ref!&amp;" "&amp;'bulk order details'!#ref!)</f>
        <v>#VALUE!</v>
      </c>
      <c r="D34" s="210" t="str">
        <f aca="false">IF('Bulk Order Details'!J44="","",VLOOKUP(1,Price[],3))</f>
        <v/>
      </c>
      <c r="E34" s="211" t="str">
        <f aca="false">IF('Bulk Order Details'!J44="","",Summary!$D$9)</f>
        <v/>
      </c>
      <c r="F34" s="212" t="str">
        <f aca="false">IF('Bulk Order Details'!F44="","",_xlfn.xlookup('Bulk Order Details'!F44,Size[Display],Size[Price]))</f>
        <v/>
      </c>
      <c r="G34" s="212" t="str">
        <f aca="false">IF('Bulk Order Details'!G44="","",_xlfn.xlookup('Bulk Order Details'!G44,Length[Display],Length[Price]))</f>
        <v/>
      </c>
      <c r="H34" s="212" t="str">
        <f aca="false">IF('Bulk Order Details'!H44="","",_xlfn.xlookup('Bulk Order Details'!H44,Collection[Display],Collection[Price]))</f>
        <v/>
      </c>
      <c r="I34" s="212" t="str">
        <f aca="false">IF('Bulk Order Details'!I44="","",_xlfn.xlookup('Bulk Order Details'!I44,Sleeve[Display],Sleeve[Price]))</f>
        <v/>
      </c>
      <c r="J34" s="212" t="str">
        <f aca="false">IF('Bulk Order Details'!J44="","",_xlfn.xlookup('Bulk Order Details'!J44,Collar[Display],Collar[Price]))</f>
        <v/>
      </c>
      <c r="K34" s="212" t="str">
        <f aca="false">IF('Bulk Order Details'!K44="","",_xlfn.xlookup("Name",Name[Name],Name[Price]))</f>
        <v/>
      </c>
      <c r="L34" s="213" t="str">
        <f aca="false">IFERROR(IF('Bulk Order Details'!O44="","",IF(_xlfn.xlookup('Bulk Order Details'!O44,Logos[Display],Logos[Use])="Flat",_xlfn.xlookup('Bulk Order Details'!O44,Logos[Display],Logos[Flat]),ROUND(_xlfn.xlookup('Bulk Order Details'!O44,Logos[Display],Logos[Pct])*$E34,2))),"")</f>
        <v/>
      </c>
      <c r="M34" s="222" t="str">
        <f aca="false">IFERROR(IF('Bulk Order Details'!P44="","",IF(_xlfn.xlookup('Bulk Order Details'!P44,Chest[Display],Chest[Use])="Flat",_xlfn.xlookup('Bulk Order Details'!P44,Chest[Display],Chest[Flat]),ROUND(_xlfn.xlookup('Bulk Order Details'!P44,Chest[Display],Chest[Pct])*$E34,2))),"")</f>
        <v/>
      </c>
      <c r="N34" s="222" t="str">
        <f aca="false">IFERROR(IF('Bulk Order Details'!Q44="","",IF(_xlfn.xlookup('Bulk Order Details'!Q44,Chest[Display],Chest[Use])="Flat",_xlfn.xlookup('Bulk Order Details'!Q44,Chest[Display],Chest[Flat]),ROUND(_xlfn.xlookup('Bulk Order Details'!Q44,Chest[Display],Chest[Pct])*$E34,2))),"")</f>
        <v/>
      </c>
      <c r="O34" s="222" t="str">
        <f aca="false">IFERROR(IF('Bulk Order Details'!R44="","",IF(_xlfn.xlookup('Bulk Order Details'!R44,LeftSleeve[Display],LeftSleeve[Use])="Flat",_xlfn.xlookup('Bulk Order Details'!R44,LeftSleeve[Display],LeftSleeve[Flat]),ROUND(_xlfn.xlookup('Bulk Order Details'!R44,LeftSleeve[Display],LeftSleeve[Pct])*$E34,2))),"")</f>
        <v/>
      </c>
      <c r="P34" s="222" t="str">
        <f aca="false">IFERROR(IF('Bulk Order Details'!S44="","",IF(_xlfn.xlookup('Bulk Order Details'!S44,RightSleeve[Display],RightSleeve[Use])="Flat",_xlfn.xlookup('Bulk Order Details'!S44,RightSleeve[Display],RightSleeve[Flat]),ROUND(_xlfn.xlookup('Bulk Order Details'!S44,RightSleeve[Display],RightSleeve[Pct])*$E34,2))),"")</f>
        <v/>
      </c>
      <c r="Q34" s="214" t="str">
        <f aca="false">IF('Bulk Order Details'!J44="","",SUM(F34:P34))</f>
        <v/>
      </c>
      <c r="R34" s="213" t="str">
        <f aca="false">IFERROR(E34-D34,"")</f>
        <v/>
      </c>
      <c r="S34" s="215" t="str">
        <f aca="false">IFERROR(MIN(IF(Summary!$D$11="Yes",-J34,0),IF(H34&gt;0,-J34,0)),"")</f>
        <v/>
      </c>
      <c r="T34" s="212" t="str">
        <f aca="false">IFERROR(IF(Summary!$D$10="Yes",-K34,""),"")</f>
        <v/>
      </c>
      <c r="U34" s="213" t="str">
        <f aca="false">IFERROR(IF(Summary!$D$12="Yes",-L34,""),"")</f>
        <v/>
      </c>
      <c r="V34" s="216" t="str">
        <f aca="false">IF('Bulk Order Details'!J44="","",SUM(R34:U34))</f>
        <v/>
      </c>
      <c r="W34" s="217" t="str">
        <f aca="false">IF('Bulk Order Details'!J44="","",D34+Q34)</f>
        <v/>
      </c>
      <c r="X34" s="218" t="str">
        <f aca="false">IF('Bulk Order Details'!J44="","",D34+Q34+V34)</f>
        <v/>
      </c>
      <c r="Y34" s="219" t="str">
        <f aca="false">IFERROR((W34-X34)/W34,"")</f>
        <v/>
      </c>
      <c r="Z34" s="220" t="str">
        <f aca="false">IF('Bulk Order Details'!J44="","",MAX(1,'Bulk Order Details'!D44))</f>
        <v/>
      </c>
      <c r="AA34" s="217" t="str">
        <f aca="false">IF(Pricing_Details[[#This Row],[Quantity]]="","",Pricing_Details[[#This Row],[Retail Price]]*Pricing_Details[[#This Row],[Quantity]])</f>
        <v/>
      </c>
      <c r="AB34" s="217" t="str">
        <f aca="false">IF(Pricing_Details[[#This Row],[Quantity]]="","",Pricing_Details[[#This Row],[Total Discount]]*Pricing_Details[[#This Row],[Quantity]])</f>
        <v/>
      </c>
      <c r="AC34" s="221" t="str">
        <f aca="false">IFERROR(ROUND(Pricing_Details[[#This Row],[Actual Price]]*Pricing_Details[[#This Row],[Quantity]],2),"")</f>
        <v/>
      </c>
      <c r="AE34" s="179" t="str">
        <f aca="false">IF('Bulk Order Details'!J44="","",VLOOKUP('Bulk Order Details'!H44,Collection[],3)&amp;VLOOKUP('Bulk Order Details'!J44,Collar[],4)&amp;VLOOKUP('Bulk Order Details'!I44,Sleeve[],4))</f>
        <v/>
      </c>
      <c r="AF34" s="179" t="str">
        <f aca="false">IF('Bulk Order Details'!J44="","",LOOKUP('Bulk Order Details'!E44,Cut[Display],Cut[Code])&amp;LOOKUP('Bulk Order Details'!F44,#REF!,#REF!)&amp;IF('Bulk Order Details'!G44="","",LOOKUP('Bulk Order Details'!G44,Length[Display],Length[Code])))</f>
        <v/>
      </c>
      <c r="AG34" s="179" t="str">
        <f aca="false">IF('Bulk Order Details'!J44="","",IF('Bulk Order Details'!C44="","",'Bulk Order Details'!C44))</f>
        <v/>
      </c>
      <c r="AH34" s="179" t="str">
        <f aca="false">IF('Bulk Order Details'!O44="","","-"&amp;LOOKUP('Bulk Order Details'!O44,#REF!,#REF!))</f>
        <v/>
      </c>
      <c r="AI34" s="179" t="str">
        <f aca="false">IF('Bulk Order Details'!P44="","","-"&amp;LOOKUP('Bulk Order Details'!P44,#REF!,#REF!))</f>
        <v/>
      </c>
      <c r="AJ34" s="179" t="str">
        <f aca="false">IF('Bulk Order Details'!Q44="","","-"&amp;LOOKUP('Bulk Order Details'!Q44,#REF!,#REF!))</f>
        <v/>
      </c>
      <c r="AK34" s="179" t="str">
        <f aca="false">IF('Bulk Order Details'!R44="","","-"&amp;LOOKUP('Bulk Order Details'!R44,#REF!,#REF!))</f>
        <v/>
      </c>
      <c r="AL34" s="179" t="str">
        <f aca="false">IF('Bulk Order Details'!S44="","","-"&amp;LOOKUP('Bulk Order Details'!S44,#REF!,#REF!))</f>
        <v/>
      </c>
      <c r="AM34" s="179" t="str">
        <f aca="false">IF(_xlfn.CONCAT(AH34:AL34)="","","Lo"&amp;_xlfn.CONCAT(AH34:AL34))</f>
        <v/>
      </c>
      <c r="AN34" s="179" t="str">
        <f aca="false">IF('Bulk Order Details'!K44="","","Na-"&amp;'Bulk Order Details'!K44)</f>
        <v/>
      </c>
      <c r="AO34" s="179" t="str">
        <f aca="false">IF('Bulk Order Details'!N44="","","Fo-"&amp;'Bulk Order Details'!N44)</f>
        <v/>
      </c>
      <c r="AP34" s="179" t="str">
        <f aca="false">IF(AE34="","",AE34&amp;"_"&amp;AF34&amp;"_"&amp;AG34&amp;IF(AM34="","","_"&amp;AM34)&amp;IF(AN34="","","_"&amp;AN34)&amp;IF(AO34="","","_"&amp;AO34))</f>
        <v/>
      </c>
      <c r="AQ34" s="218" t="str">
        <f aca="false">IF(X34="","",X34)</f>
        <v/>
      </c>
    </row>
    <row r="35" customFormat="false" ht="13.5" hidden="false" customHeight="true" outlineLevel="0" collapsed="false">
      <c r="B35" s="209" t="n">
        <f aca="false">'Bulk Order Details'!B45</f>
        <v>32</v>
      </c>
      <c r="C35" s="209" t="e">
        <f aca="false">IF('bulk order details'!#ref!="","",'bulk order details'!#ref!&amp;" "&amp;'bulk order details'!#ref!)</f>
        <v>#VALUE!</v>
      </c>
      <c r="D35" s="210" t="str">
        <f aca="false">IF('Bulk Order Details'!J45="","",VLOOKUP(1,Price[],3))</f>
        <v/>
      </c>
      <c r="E35" s="211" t="str">
        <f aca="false">IF('Bulk Order Details'!J45="","",Summary!$D$9)</f>
        <v/>
      </c>
      <c r="F35" s="212" t="str">
        <f aca="false">IF('Bulk Order Details'!F45="","",_xlfn.xlookup('Bulk Order Details'!F45,Size[Display],Size[Price]))</f>
        <v/>
      </c>
      <c r="G35" s="212" t="str">
        <f aca="false">IF('Bulk Order Details'!G45="","",_xlfn.xlookup('Bulk Order Details'!G45,Length[Display],Length[Price]))</f>
        <v/>
      </c>
      <c r="H35" s="212" t="str">
        <f aca="false">IF('Bulk Order Details'!H45="","",_xlfn.xlookup('Bulk Order Details'!H45,Collection[Display],Collection[Price]))</f>
        <v/>
      </c>
      <c r="I35" s="212" t="str">
        <f aca="false">IF('Bulk Order Details'!I45="","",_xlfn.xlookup('Bulk Order Details'!I45,Sleeve[Display],Sleeve[Price]))</f>
        <v/>
      </c>
      <c r="J35" s="212" t="str">
        <f aca="false">IF('Bulk Order Details'!J45="","",_xlfn.xlookup('Bulk Order Details'!J45,Collar[Display],Collar[Price]))</f>
        <v/>
      </c>
      <c r="K35" s="212" t="str">
        <f aca="false">IF('Bulk Order Details'!K45="","",_xlfn.xlookup("Name",Name[Name],Name[Price]))</f>
        <v/>
      </c>
      <c r="L35" s="213" t="str">
        <f aca="false">IFERROR(IF('Bulk Order Details'!O45="","",IF(_xlfn.xlookup('Bulk Order Details'!O45,Logos[Display],Logos[Use])="Flat",_xlfn.xlookup('Bulk Order Details'!O45,Logos[Display],Logos[Flat]),ROUND(_xlfn.xlookup('Bulk Order Details'!O45,Logos[Display],Logos[Pct])*$E35,2))),"")</f>
        <v/>
      </c>
      <c r="M35" s="222" t="str">
        <f aca="false">IFERROR(IF('Bulk Order Details'!P45="","",IF(_xlfn.xlookup('Bulk Order Details'!P45,Chest[Display],Chest[Use])="Flat",_xlfn.xlookup('Bulk Order Details'!P45,Chest[Display],Chest[Flat]),ROUND(_xlfn.xlookup('Bulk Order Details'!P45,Chest[Display],Chest[Pct])*$E35,2))),"")</f>
        <v/>
      </c>
      <c r="N35" s="222" t="str">
        <f aca="false">IFERROR(IF('Bulk Order Details'!Q45="","",IF(_xlfn.xlookup('Bulk Order Details'!Q45,Chest[Display],Chest[Use])="Flat",_xlfn.xlookup('Bulk Order Details'!Q45,Chest[Display],Chest[Flat]),ROUND(_xlfn.xlookup('Bulk Order Details'!Q45,Chest[Display],Chest[Pct])*$E35,2))),"")</f>
        <v/>
      </c>
      <c r="O35" s="222" t="str">
        <f aca="false">IFERROR(IF('Bulk Order Details'!R45="","",IF(_xlfn.xlookup('Bulk Order Details'!R45,LeftSleeve[Display],LeftSleeve[Use])="Flat",_xlfn.xlookup('Bulk Order Details'!R45,LeftSleeve[Display],LeftSleeve[Flat]),ROUND(_xlfn.xlookup('Bulk Order Details'!R45,LeftSleeve[Display],LeftSleeve[Pct])*$E35,2))),"")</f>
        <v/>
      </c>
      <c r="P35" s="222" t="str">
        <f aca="false">IFERROR(IF('Bulk Order Details'!S45="","",IF(_xlfn.xlookup('Bulk Order Details'!S45,RightSleeve[Display],RightSleeve[Use])="Flat",_xlfn.xlookup('Bulk Order Details'!S45,RightSleeve[Display],RightSleeve[Flat]),ROUND(_xlfn.xlookup('Bulk Order Details'!S45,RightSleeve[Display],RightSleeve[Pct])*$E35,2))),"")</f>
        <v/>
      </c>
      <c r="Q35" s="214" t="str">
        <f aca="false">IF('Bulk Order Details'!J45="","",SUM(F35:P35))</f>
        <v/>
      </c>
      <c r="R35" s="213" t="str">
        <f aca="false">IFERROR(E35-D35,"")</f>
        <v/>
      </c>
      <c r="S35" s="215" t="str">
        <f aca="false">IFERROR(MIN(IF(Summary!$D$11="Yes",-J35,0),IF(H35&gt;0,-J35,0)),"")</f>
        <v/>
      </c>
      <c r="T35" s="212" t="str">
        <f aca="false">IFERROR(IF(Summary!$D$10="Yes",-K35,""),"")</f>
        <v/>
      </c>
      <c r="U35" s="213" t="str">
        <f aca="false">IFERROR(IF(Summary!$D$12="Yes",-L35,""),"")</f>
        <v/>
      </c>
      <c r="V35" s="216" t="str">
        <f aca="false">IF('Bulk Order Details'!J45="","",SUM(R35:U35))</f>
        <v/>
      </c>
      <c r="W35" s="217" t="str">
        <f aca="false">IF('Bulk Order Details'!J45="","",D35+Q35)</f>
        <v/>
      </c>
      <c r="X35" s="218" t="str">
        <f aca="false">IF('Bulk Order Details'!J45="","",D35+Q35+V35)</f>
        <v/>
      </c>
      <c r="Y35" s="219" t="str">
        <f aca="false">IFERROR((W35-X35)/W35,"")</f>
        <v/>
      </c>
      <c r="Z35" s="220" t="str">
        <f aca="false">IF('Bulk Order Details'!J45="","",MAX(1,'Bulk Order Details'!D45))</f>
        <v/>
      </c>
      <c r="AA35" s="217" t="str">
        <f aca="false">IF(Pricing_Details[[#This Row],[Quantity]]="","",Pricing_Details[[#This Row],[Retail Price]]*Pricing_Details[[#This Row],[Quantity]])</f>
        <v/>
      </c>
      <c r="AB35" s="217" t="str">
        <f aca="false">IF(Pricing_Details[[#This Row],[Quantity]]="","",Pricing_Details[[#This Row],[Total Discount]]*Pricing_Details[[#This Row],[Quantity]])</f>
        <v/>
      </c>
      <c r="AC35" s="221" t="str">
        <f aca="false">IFERROR(ROUND(Pricing_Details[[#This Row],[Actual Price]]*Pricing_Details[[#This Row],[Quantity]],2),"")</f>
        <v/>
      </c>
      <c r="AE35" s="179" t="str">
        <f aca="false">IF('Bulk Order Details'!J45="","",VLOOKUP('Bulk Order Details'!H45,Collection[],3)&amp;VLOOKUP('Bulk Order Details'!J45,Collar[],4)&amp;VLOOKUP('Bulk Order Details'!I45,Sleeve[],4))</f>
        <v/>
      </c>
      <c r="AF35" s="179" t="str">
        <f aca="false">IF('Bulk Order Details'!J45="","",LOOKUP('Bulk Order Details'!E45,Cut[Display],Cut[Code])&amp;LOOKUP('Bulk Order Details'!F45,#REF!,#REF!)&amp;IF('Bulk Order Details'!G45="","",LOOKUP('Bulk Order Details'!G45,Length[Display],Length[Code])))</f>
        <v/>
      </c>
      <c r="AG35" s="179" t="str">
        <f aca="false">IF('Bulk Order Details'!J45="","",IF('Bulk Order Details'!C45="","",'Bulk Order Details'!C45))</f>
        <v/>
      </c>
      <c r="AH35" s="179" t="str">
        <f aca="false">IF('Bulk Order Details'!O45="","","-"&amp;LOOKUP('Bulk Order Details'!O45,#REF!,#REF!))</f>
        <v/>
      </c>
      <c r="AI35" s="179" t="str">
        <f aca="false">IF('Bulk Order Details'!P45="","","-"&amp;LOOKUP('Bulk Order Details'!P45,#REF!,#REF!))</f>
        <v/>
      </c>
      <c r="AJ35" s="179" t="str">
        <f aca="false">IF('Bulk Order Details'!Q45="","","-"&amp;LOOKUP('Bulk Order Details'!Q45,#REF!,#REF!))</f>
        <v/>
      </c>
      <c r="AK35" s="179" t="str">
        <f aca="false">IF('Bulk Order Details'!R45="","","-"&amp;LOOKUP('Bulk Order Details'!R45,#REF!,#REF!))</f>
        <v/>
      </c>
      <c r="AL35" s="179" t="str">
        <f aca="false">IF('Bulk Order Details'!S45="","","-"&amp;LOOKUP('Bulk Order Details'!S45,#REF!,#REF!))</f>
        <v/>
      </c>
      <c r="AM35" s="179" t="str">
        <f aca="false">IF(_xlfn.CONCAT(AH35:AL35)="","","Lo"&amp;_xlfn.CONCAT(AH35:AL35))</f>
        <v/>
      </c>
      <c r="AN35" s="179" t="str">
        <f aca="false">IF('Bulk Order Details'!K45="","","Na-"&amp;'Bulk Order Details'!K45)</f>
        <v/>
      </c>
      <c r="AO35" s="179" t="str">
        <f aca="false">IF('Bulk Order Details'!N45="","","Fo-"&amp;'Bulk Order Details'!N45)</f>
        <v/>
      </c>
      <c r="AP35" s="179" t="str">
        <f aca="false">IF(AE35="","",AE35&amp;"_"&amp;AF35&amp;"_"&amp;AG35&amp;IF(AM35="","","_"&amp;AM35)&amp;IF(AN35="","","_"&amp;AN35)&amp;IF(AO35="","","_"&amp;AO35))</f>
        <v/>
      </c>
      <c r="AQ35" s="218" t="str">
        <f aca="false">IF(X35="","",X35)</f>
        <v/>
      </c>
    </row>
    <row r="36" customFormat="false" ht="13.5" hidden="false" customHeight="true" outlineLevel="0" collapsed="false">
      <c r="B36" s="209" t="n">
        <f aca="false">'Bulk Order Details'!B46</f>
        <v>33</v>
      </c>
      <c r="C36" s="209" t="e">
        <f aca="false">IF('bulk order details'!#ref!="","",'bulk order details'!#ref!&amp;" "&amp;'bulk order details'!#ref!)</f>
        <v>#VALUE!</v>
      </c>
      <c r="D36" s="210" t="str">
        <f aca="false">IF('Bulk Order Details'!J46="","",VLOOKUP(1,Price[],3))</f>
        <v/>
      </c>
      <c r="E36" s="211" t="str">
        <f aca="false">IF('Bulk Order Details'!J46="","",Summary!$D$9)</f>
        <v/>
      </c>
      <c r="F36" s="212" t="str">
        <f aca="false">IF('Bulk Order Details'!F46="","",_xlfn.xlookup('Bulk Order Details'!F46,Size[Display],Size[Price]))</f>
        <v/>
      </c>
      <c r="G36" s="212" t="str">
        <f aca="false">IF('Bulk Order Details'!G46="","",_xlfn.xlookup('Bulk Order Details'!G46,Length[Display],Length[Price]))</f>
        <v/>
      </c>
      <c r="H36" s="212" t="str">
        <f aca="false">IF('Bulk Order Details'!H46="","",_xlfn.xlookup('Bulk Order Details'!H46,Collection[Display],Collection[Price]))</f>
        <v/>
      </c>
      <c r="I36" s="212" t="str">
        <f aca="false">IF('Bulk Order Details'!I46="","",_xlfn.xlookup('Bulk Order Details'!I46,Sleeve[Display],Sleeve[Price]))</f>
        <v/>
      </c>
      <c r="J36" s="212" t="str">
        <f aca="false">IF('Bulk Order Details'!J46="","",_xlfn.xlookup('Bulk Order Details'!J46,Collar[Display],Collar[Price]))</f>
        <v/>
      </c>
      <c r="K36" s="212" t="str">
        <f aca="false">IF('Bulk Order Details'!K46="","",_xlfn.xlookup("Name",Name[Name],Name[Price]))</f>
        <v/>
      </c>
      <c r="L36" s="213" t="str">
        <f aca="false">IFERROR(IF('Bulk Order Details'!O46="","",IF(_xlfn.xlookup('Bulk Order Details'!O46,Logos[Display],Logos[Use])="Flat",_xlfn.xlookup('Bulk Order Details'!O46,Logos[Display],Logos[Flat]),ROUND(_xlfn.xlookup('Bulk Order Details'!O46,Logos[Display],Logos[Pct])*$E36,2))),"")</f>
        <v/>
      </c>
      <c r="M36" s="222" t="str">
        <f aca="false">IFERROR(IF('Bulk Order Details'!P46="","",IF(_xlfn.xlookup('Bulk Order Details'!P46,Chest[Display],Chest[Use])="Flat",_xlfn.xlookup('Bulk Order Details'!P46,Chest[Display],Chest[Flat]),ROUND(_xlfn.xlookup('Bulk Order Details'!P46,Chest[Display],Chest[Pct])*$E36,2))),"")</f>
        <v/>
      </c>
      <c r="N36" s="222" t="str">
        <f aca="false">IFERROR(IF('Bulk Order Details'!Q46="","",IF(_xlfn.xlookup('Bulk Order Details'!Q46,Chest[Display],Chest[Use])="Flat",_xlfn.xlookup('Bulk Order Details'!Q46,Chest[Display],Chest[Flat]),ROUND(_xlfn.xlookup('Bulk Order Details'!Q46,Chest[Display],Chest[Pct])*$E36,2))),"")</f>
        <v/>
      </c>
      <c r="O36" s="222" t="str">
        <f aca="false">IFERROR(IF('Bulk Order Details'!R46="","",IF(_xlfn.xlookup('Bulk Order Details'!R46,LeftSleeve[Display],LeftSleeve[Use])="Flat",_xlfn.xlookup('Bulk Order Details'!R46,LeftSleeve[Display],LeftSleeve[Flat]),ROUND(_xlfn.xlookup('Bulk Order Details'!R46,LeftSleeve[Display],LeftSleeve[Pct])*$E36,2))),"")</f>
        <v/>
      </c>
      <c r="P36" s="222" t="str">
        <f aca="false">IFERROR(IF('Bulk Order Details'!S46="","",IF(_xlfn.xlookup('Bulk Order Details'!S46,RightSleeve[Display],RightSleeve[Use])="Flat",_xlfn.xlookup('Bulk Order Details'!S46,RightSleeve[Display],RightSleeve[Flat]),ROUND(_xlfn.xlookup('Bulk Order Details'!S46,RightSleeve[Display],RightSleeve[Pct])*$E36,2))),"")</f>
        <v/>
      </c>
      <c r="Q36" s="214" t="str">
        <f aca="false">IF('Bulk Order Details'!J46="","",SUM(F36:P36))</f>
        <v/>
      </c>
      <c r="R36" s="213" t="str">
        <f aca="false">IFERROR(E36-D36,"")</f>
        <v/>
      </c>
      <c r="S36" s="215" t="str">
        <f aca="false">IFERROR(MIN(IF(Summary!$D$11="Yes",-J36,0),IF(H36&gt;0,-J36,0)),"")</f>
        <v/>
      </c>
      <c r="T36" s="212" t="str">
        <f aca="false">IFERROR(IF(Summary!$D$10="Yes",-K36,""),"")</f>
        <v/>
      </c>
      <c r="U36" s="213" t="str">
        <f aca="false">IFERROR(IF(Summary!$D$12="Yes",-L36,""),"")</f>
        <v/>
      </c>
      <c r="V36" s="216" t="str">
        <f aca="false">IF('Bulk Order Details'!J46="","",SUM(R36:U36))</f>
        <v/>
      </c>
      <c r="W36" s="217" t="str">
        <f aca="false">IF('Bulk Order Details'!J46="","",D36+Q36)</f>
        <v/>
      </c>
      <c r="X36" s="218" t="str">
        <f aca="false">IF('Bulk Order Details'!J46="","",D36+Q36+V36)</f>
        <v/>
      </c>
      <c r="Y36" s="219" t="str">
        <f aca="false">IFERROR((W36-X36)/W36,"")</f>
        <v/>
      </c>
      <c r="Z36" s="220" t="str">
        <f aca="false">IF('Bulk Order Details'!J46="","",MAX(1,'Bulk Order Details'!D46))</f>
        <v/>
      </c>
      <c r="AA36" s="217" t="str">
        <f aca="false">IF(Pricing_Details[[#This Row],[Quantity]]="","",Pricing_Details[[#This Row],[Retail Price]]*Pricing_Details[[#This Row],[Quantity]])</f>
        <v/>
      </c>
      <c r="AB36" s="217" t="str">
        <f aca="false">IF(Pricing_Details[[#This Row],[Quantity]]="","",Pricing_Details[[#This Row],[Total Discount]]*Pricing_Details[[#This Row],[Quantity]])</f>
        <v/>
      </c>
      <c r="AC36" s="221" t="str">
        <f aca="false">IFERROR(ROUND(Pricing_Details[[#This Row],[Actual Price]]*Pricing_Details[[#This Row],[Quantity]],2),"")</f>
        <v/>
      </c>
      <c r="AE36" s="179" t="str">
        <f aca="false">IF('Bulk Order Details'!J46="","",VLOOKUP('Bulk Order Details'!H46,Collection[],3)&amp;VLOOKUP('Bulk Order Details'!J46,Collar[],4)&amp;VLOOKUP('Bulk Order Details'!I46,Sleeve[],4))</f>
        <v/>
      </c>
      <c r="AF36" s="179" t="str">
        <f aca="false">IF('Bulk Order Details'!J46="","",LOOKUP('Bulk Order Details'!E46,Cut[Display],Cut[Code])&amp;LOOKUP('Bulk Order Details'!F46,#REF!,#REF!)&amp;IF('Bulk Order Details'!G46="","",LOOKUP('Bulk Order Details'!G46,Length[Display],Length[Code])))</f>
        <v/>
      </c>
      <c r="AG36" s="179" t="str">
        <f aca="false">IF('Bulk Order Details'!J46="","",IF('Bulk Order Details'!C46="","",'Bulk Order Details'!C46))</f>
        <v/>
      </c>
      <c r="AH36" s="179" t="str">
        <f aca="false">IF('Bulk Order Details'!O46="","","-"&amp;LOOKUP('Bulk Order Details'!O46,#REF!,#REF!))</f>
        <v/>
      </c>
      <c r="AI36" s="179" t="str">
        <f aca="false">IF('Bulk Order Details'!P46="","","-"&amp;LOOKUP('Bulk Order Details'!P46,#REF!,#REF!))</f>
        <v/>
      </c>
      <c r="AJ36" s="179" t="str">
        <f aca="false">IF('Bulk Order Details'!Q46="","","-"&amp;LOOKUP('Bulk Order Details'!Q46,#REF!,#REF!))</f>
        <v/>
      </c>
      <c r="AK36" s="179" t="str">
        <f aca="false">IF('Bulk Order Details'!R46="","","-"&amp;LOOKUP('Bulk Order Details'!R46,#REF!,#REF!))</f>
        <v/>
      </c>
      <c r="AL36" s="179" t="str">
        <f aca="false">IF('Bulk Order Details'!S46="","","-"&amp;LOOKUP('Bulk Order Details'!S46,#REF!,#REF!))</f>
        <v/>
      </c>
      <c r="AM36" s="179" t="str">
        <f aca="false">IF(_xlfn.CONCAT(AH36:AL36)="","","Lo"&amp;_xlfn.CONCAT(AH36:AL36))</f>
        <v/>
      </c>
      <c r="AN36" s="179" t="str">
        <f aca="false">IF('Bulk Order Details'!K46="","","Na-"&amp;'Bulk Order Details'!K46)</f>
        <v/>
      </c>
      <c r="AO36" s="179" t="str">
        <f aca="false">IF('Bulk Order Details'!N46="","","Fo-"&amp;'Bulk Order Details'!N46)</f>
        <v/>
      </c>
      <c r="AP36" s="179" t="str">
        <f aca="false">IF(AE36="","",AE36&amp;"_"&amp;AF36&amp;"_"&amp;AG36&amp;IF(AM36="","","_"&amp;AM36)&amp;IF(AN36="","","_"&amp;AN36)&amp;IF(AO36="","","_"&amp;AO36))</f>
        <v/>
      </c>
      <c r="AQ36" s="218" t="str">
        <f aca="false">IF(X36="","",X36)</f>
        <v/>
      </c>
    </row>
    <row r="37" customFormat="false" ht="13.5" hidden="false" customHeight="true" outlineLevel="0" collapsed="false">
      <c r="B37" s="209" t="n">
        <f aca="false">'Bulk Order Details'!B47</f>
        <v>34</v>
      </c>
      <c r="C37" s="209" t="e">
        <f aca="false">IF('bulk order details'!#ref!="","",'bulk order details'!#ref!&amp;" "&amp;'bulk order details'!#ref!)</f>
        <v>#VALUE!</v>
      </c>
      <c r="D37" s="210" t="str">
        <f aca="false">IF('Bulk Order Details'!J47="","",VLOOKUP(1,Price[],3))</f>
        <v/>
      </c>
      <c r="E37" s="211" t="str">
        <f aca="false">IF('Bulk Order Details'!J47="","",Summary!$D$9)</f>
        <v/>
      </c>
      <c r="F37" s="212" t="str">
        <f aca="false">IF('Bulk Order Details'!F47="","",_xlfn.xlookup('Bulk Order Details'!F47,Size[Display],Size[Price]))</f>
        <v/>
      </c>
      <c r="G37" s="212" t="str">
        <f aca="false">IF('Bulk Order Details'!G47="","",_xlfn.xlookup('Bulk Order Details'!G47,Length[Display],Length[Price]))</f>
        <v/>
      </c>
      <c r="H37" s="212" t="str">
        <f aca="false">IF('Bulk Order Details'!H47="","",_xlfn.xlookup('Bulk Order Details'!H47,Collection[Display],Collection[Price]))</f>
        <v/>
      </c>
      <c r="I37" s="212" t="str">
        <f aca="false">IF('Bulk Order Details'!I47="","",_xlfn.xlookup('Bulk Order Details'!I47,Sleeve[Display],Sleeve[Price]))</f>
        <v/>
      </c>
      <c r="J37" s="212" t="str">
        <f aca="false">IF('Bulk Order Details'!J47="","",_xlfn.xlookup('Bulk Order Details'!J47,Collar[Display],Collar[Price]))</f>
        <v/>
      </c>
      <c r="K37" s="212" t="str">
        <f aca="false">IF('Bulk Order Details'!K47="","",_xlfn.xlookup("Name",Name[Name],Name[Price]))</f>
        <v/>
      </c>
      <c r="L37" s="213" t="str">
        <f aca="false">IFERROR(IF('Bulk Order Details'!O47="","",IF(_xlfn.xlookup('Bulk Order Details'!O47,Logos[Display],Logos[Use])="Flat",_xlfn.xlookup('Bulk Order Details'!O47,Logos[Display],Logos[Flat]),ROUND(_xlfn.xlookup('Bulk Order Details'!O47,Logos[Display],Logos[Pct])*$E37,2))),"")</f>
        <v/>
      </c>
      <c r="M37" s="222" t="str">
        <f aca="false">IFERROR(IF('Bulk Order Details'!P47="","",IF(_xlfn.xlookup('Bulk Order Details'!P47,Chest[Display],Chest[Use])="Flat",_xlfn.xlookup('Bulk Order Details'!P47,Chest[Display],Chest[Flat]),ROUND(_xlfn.xlookup('Bulk Order Details'!P47,Chest[Display],Chest[Pct])*$E37,2))),"")</f>
        <v/>
      </c>
      <c r="N37" s="222" t="str">
        <f aca="false">IFERROR(IF('Bulk Order Details'!Q47="","",IF(_xlfn.xlookup('Bulk Order Details'!Q47,Chest[Display],Chest[Use])="Flat",_xlfn.xlookup('Bulk Order Details'!Q47,Chest[Display],Chest[Flat]),ROUND(_xlfn.xlookup('Bulk Order Details'!Q47,Chest[Display],Chest[Pct])*$E37,2))),"")</f>
        <v/>
      </c>
      <c r="O37" s="222" t="str">
        <f aca="false">IFERROR(IF('Bulk Order Details'!R47="","",IF(_xlfn.xlookup('Bulk Order Details'!R47,LeftSleeve[Display],LeftSleeve[Use])="Flat",_xlfn.xlookup('Bulk Order Details'!R47,LeftSleeve[Display],LeftSleeve[Flat]),ROUND(_xlfn.xlookup('Bulk Order Details'!R47,LeftSleeve[Display],LeftSleeve[Pct])*$E37,2))),"")</f>
        <v/>
      </c>
      <c r="P37" s="222" t="str">
        <f aca="false">IFERROR(IF('Bulk Order Details'!S47="","",IF(_xlfn.xlookup('Bulk Order Details'!S47,RightSleeve[Display],RightSleeve[Use])="Flat",_xlfn.xlookup('Bulk Order Details'!S47,RightSleeve[Display],RightSleeve[Flat]),ROUND(_xlfn.xlookup('Bulk Order Details'!S47,RightSleeve[Display],RightSleeve[Pct])*$E37,2))),"")</f>
        <v/>
      </c>
      <c r="Q37" s="214" t="str">
        <f aca="false">IF('Bulk Order Details'!J47="","",SUM(F37:P37))</f>
        <v/>
      </c>
      <c r="R37" s="213" t="str">
        <f aca="false">IFERROR(E37-D37,"")</f>
        <v/>
      </c>
      <c r="S37" s="215" t="str">
        <f aca="false">IFERROR(MIN(IF(Summary!$D$11="Yes",-J37,0),IF(H37&gt;0,-J37,0)),"")</f>
        <v/>
      </c>
      <c r="T37" s="212" t="str">
        <f aca="false">IFERROR(IF(Summary!$D$10="Yes",-K37,""),"")</f>
        <v/>
      </c>
      <c r="U37" s="213" t="str">
        <f aca="false">IFERROR(IF(Summary!$D$12="Yes",-L37,""),"")</f>
        <v/>
      </c>
      <c r="V37" s="216" t="str">
        <f aca="false">IF('Bulk Order Details'!J47="","",SUM(R37:U37))</f>
        <v/>
      </c>
      <c r="W37" s="217" t="str">
        <f aca="false">IF('Bulk Order Details'!J47="","",D37+Q37)</f>
        <v/>
      </c>
      <c r="X37" s="218" t="str">
        <f aca="false">IF('Bulk Order Details'!J47="","",D37+Q37+V37)</f>
        <v/>
      </c>
      <c r="Y37" s="219" t="str">
        <f aca="false">IFERROR((W37-X37)/W37,"")</f>
        <v/>
      </c>
      <c r="Z37" s="220" t="str">
        <f aca="false">IF('Bulk Order Details'!J47="","",MAX(1,'Bulk Order Details'!D47))</f>
        <v/>
      </c>
      <c r="AA37" s="217" t="str">
        <f aca="false">IF(Pricing_Details[[#This Row],[Quantity]]="","",Pricing_Details[[#This Row],[Retail Price]]*Pricing_Details[[#This Row],[Quantity]])</f>
        <v/>
      </c>
      <c r="AB37" s="217" t="str">
        <f aca="false">IF(Pricing_Details[[#This Row],[Quantity]]="","",Pricing_Details[[#This Row],[Total Discount]]*Pricing_Details[[#This Row],[Quantity]])</f>
        <v/>
      </c>
      <c r="AC37" s="221" t="str">
        <f aca="false">IFERROR(ROUND(Pricing_Details[[#This Row],[Actual Price]]*Pricing_Details[[#This Row],[Quantity]],2),"")</f>
        <v/>
      </c>
      <c r="AE37" s="179" t="str">
        <f aca="false">IF('Bulk Order Details'!J47="","",VLOOKUP('Bulk Order Details'!H47,Collection[],3)&amp;VLOOKUP('Bulk Order Details'!J47,Collar[],4)&amp;VLOOKUP('Bulk Order Details'!I47,Sleeve[],4))</f>
        <v/>
      </c>
      <c r="AF37" s="179" t="str">
        <f aca="false">IF('Bulk Order Details'!J47="","",LOOKUP('Bulk Order Details'!E47,Cut[Display],Cut[Code])&amp;LOOKUP('Bulk Order Details'!F47,#REF!,#REF!)&amp;IF('Bulk Order Details'!G47="","",LOOKUP('Bulk Order Details'!G47,Length[Display],Length[Code])))</f>
        <v/>
      </c>
      <c r="AG37" s="179" t="str">
        <f aca="false">IF('Bulk Order Details'!J47="","",IF('Bulk Order Details'!C47="","",'Bulk Order Details'!C47))</f>
        <v/>
      </c>
      <c r="AH37" s="179" t="str">
        <f aca="false">IF('Bulk Order Details'!O47="","","-"&amp;LOOKUP('Bulk Order Details'!O47,#REF!,#REF!))</f>
        <v/>
      </c>
      <c r="AI37" s="179" t="str">
        <f aca="false">IF('Bulk Order Details'!P47="","","-"&amp;LOOKUP('Bulk Order Details'!P47,#REF!,#REF!))</f>
        <v/>
      </c>
      <c r="AJ37" s="179" t="str">
        <f aca="false">IF('Bulk Order Details'!Q47="","","-"&amp;LOOKUP('Bulk Order Details'!Q47,#REF!,#REF!))</f>
        <v/>
      </c>
      <c r="AK37" s="179" t="str">
        <f aca="false">IF('Bulk Order Details'!R47="","","-"&amp;LOOKUP('Bulk Order Details'!R47,#REF!,#REF!))</f>
        <v/>
      </c>
      <c r="AL37" s="179" t="str">
        <f aca="false">IF('Bulk Order Details'!S47="","","-"&amp;LOOKUP('Bulk Order Details'!S47,#REF!,#REF!))</f>
        <v/>
      </c>
      <c r="AM37" s="179" t="str">
        <f aca="false">IF(_xlfn.CONCAT(AH37:AL37)="","","Lo"&amp;_xlfn.CONCAT(AH37:AL37))</f>
        <v/>
      </c>
      <c r="AN37" s="179" t="str">
        <f aca="false">IF('Bulk Order Details'!K47="","","Na-"&amp;'Bulk Order Details'!K47)</f>
        <v/>
      </c>
      <c r="AO37" s="179" t="str">
        <f aca="false">IF('Bulk Order Details'!N47="","","Fo-"&amp;'Bulk Order Details'!N47)</f>
        <v/>
      </c>
      <c r="AP37" s="179" t="str">
        <f aca="false">IF(AE37="","",AE37&amp;"_"&amp;AF37&amp;"_"&amp;AG37&amp;IF(AM37="","","_"&amp;AM37)&amp;IF(AN37="","","_"&amp;AN37)&amp;IF(AO37="","","_"&amp;AO37))</f>
        <v/>
      </c>
      <c r="AQ37" s="218" t="str">
        <f aca="false">IF(X37="","",X37)</f>
        <v/>
      </c>
    </row>
    <row r="38" customFormat="false" ht="13.5" hidden="false" customHeight="true" outlineLevel="0" collapsed="false">
      <c r="B38" s="209" t="n">
        <f aca="false">'Bulk Order Details'!B48</f>
        <v>35</v>
      </c>
      <c r="C38" s="209" t="e">
        <f aca="false">IF('bulk order details'!#ref!="","",'bulk order details'!#ref!&amp;" "&amp;'bulk order details'!#ref!)</f>
        <v>#VALUE!</v>
      </c>
      <c r="D38" s="210" t="str">
        <f aca="false">IF('Bulk Order Details'!J48="","",VLOOKUP(1,Price[],3))</f>
        <v/>
      </c>
      <c r="E38" s="211" t="str">
        <f aca="false">IF('Bulk Order Details'!J48="","",Summary!$D$9)</f>
        <v/>
      </c>
      <c r="F38" s="212" t="str">
        <f aca="false">IF('Bulk Order Details'!F48="","",_xlfn.xlookup('Bulk Order Details'!F48,Size[Display],Size[Price]))</f>
        <v/>
      </c>
      <c r="G38" s="212" t="str">
        <f aca="false">IF('Bulk Order Details'!G48="","",_xlfn.xlookup('Bulk Order Details'!G48,Length[Display],Length[Price]))</f>
        <v/>
      </c>
      <c r="H38" s="212" t="str">
        <f aca="false">IF('Bulk Order Details'!H48="","",_xlfn.xlookup('Bulk Order Details'!H48,Collection[Display],Collection[Price]))</f>
        <v/>
      </c>
      <c r="I38" s="212" t="str">
        <f aca="false">IF('Bulk Order Details'!I48="","",_xlfn.xlookup('Bulk Order Details'!I48,Sleeve[Display],Sleeve[Price]))</f>
        <v/>
      </c>
      <c r="J38" s="212" t="str">
        <f aca="false">IF('Bulk Order Details'!J48="","",_xlfn.xlookup('Bulk Order Details'!J48,Collar[Display],Collar[Price]))</f>
        <v/>
      </c>
      <c r="K38" s="212" t="str">
        <f aca="false">IF('Bulk Order Details'!K48="","",_xlfn.xlookup("Name",Name[Name],Name[Price]))</f>
        <v/>
      </c>
      <c r="L38" s="213" t="str">
        <f aca="false">IFERROR(IF('Bulk Order Details'!O48="","",IF(_xlfn.xlookup('Bulk Order Details'!O48,Logos[Display],Logos[Use])="Flat",_xlfn.xlookup('Bulk Order Details'!O48,Logos[Display],Logos[Flat]),ROUND(_xlfn.xlookup('Bulk Order Details'!O48,Logos[Display],Logos[Pct])*$E38,2))),"")</f>
        <v/>
      </c>
      <c r="M38" s="222" t="str">
        <f aca="false">IFERROR(IF('Bulk Order Details'!P48="","",IF(_xlfn.xlookup('Bulk Order Details'!P48,Chest[Display],Chest[Use])="Flat",_xlfn.xlookup('Bulk Order Details'!P48,Chest[Display],Chest[Flat]),ROUND(_xlfn.xlookup('Bulk Order Details'!P48,Chest[Display],Chest[Pct])*$E38,2))),"")</f>
        <v/>
      </c>
      <c r="N38" s="222" t="str">
        <f aca="false">IFERROR(IF('Bulk Order Details'!Q48="","",IF(_xlfn.xlookup('Bulk Order Details'!Q48,Chest[Display],Chest[Use])="Flat",_xlfn.xlookup('Bulk Order Details'!Q48,Chest[Display],Chest[Flat]),ROUND(_xlfn.xlookup('Bulk Order Details'!Q48,Chest[Display],Chest[Pct])*$E38,2))),"")</f>
        <v/>
      </c>
      <c r="O38" s="222" t="str">
        <f aca="false">IFERROR(IF('Bulk Order Details'!R48="","",IF(_xlfn.xlookup('Bulk Order Details'!R48,LeftSleeve[Display],LeftSleeve[Use])="Flat",_xlfn.xlookup('Bulk Order Details'!R48,LeftSleeve[Display],LeftSleeve[Flat]),ROUND(_xlfn.xlookup('Bulk Order Details'!R48,LeftSleeve[Display],LeftSleeve[Pct])*$E38,2))),"")</f>
        <v/>
      </c>
      <c r="P38" s="222" t="str">
        <f aca="false">IFERROR(IF('Bulk Order Details'!S48="","",IF(_xlfn.xlookup('Bulk Order Details'!S48,RightSleeve[Display],RightSleeve[Use])="Flat",_xlfn.xlookup('Bulk Order Details'!S48,RightSleeve[Display],RightSleeve[Flat]),ROUND(_xlfn.xlookup('Bulk Order Details'!S48,RightSleeve[Display],RightSleeve[Pct])*$E38,2))),"")</f>
        <v/>
      </c>
      <c r="Q38" s="214" t="str">
        <f aca="false">IF('Bulk Order Details'!J48="","",SUM(F38:P38))</f>
        <v/>
      </c>
      <c r="R38" s="213" t="str">
        <f aca="false">IFERROR(E38-D38,"")</f>
        <v/>
      </c>
      <c r="S38" s="215" t="str">
        <f aca="false">IFERROR(MIN(IF(Summary!$D$11="Yes",-J38,0),IF(H38&gt;0,-J38,0)),"")</f>
        <v/>
      </c>
      <c r="T38" s="212" t="str">
        <f aca="false">IFERROR(IF(Summary!$D$10="Yes",-K38,""),"")</f>
        <v/>
      </c>
      <c r="U38" s="213" t="str">
        <f aca="false">IFERROR(IF(Summary!$D$12="Yes",-L38,""),"")</f>
        <v/>
      </c>
      <c r="V38" s="216" t="str">
        <f aca="false">IF('Bulk Order Details'!J48="","",SUM(R38:U38))</f>
        <v/>
      </c>
      <c r="W38" s="217" t="str">
        <f aca="false">IF('Bulk Order Details'!J48="","",D38+Q38)</f>
        <v/>
      </c>
      <c r="X38" s="218" t="str">
        <f aca="false">IF('Bulk Order Details'!J48="","",D38+Q38+V38)</f>
        <v/>
      </c>
      <c r="Y38" s="219" t="str">
        <f aca="false">IFERROR((W38-X38)/W38,"")</f>
        <v/>
      </c>
      <c r="Z38" s="220" t="str">
        <f aca="false">IF('Bulk Order Details'!J48="","",MAX(1,'Bulk Order Details'!D48))</f>
        <v/>
      </c>
      <c r="AA38" s="217" t="str">
        <f aca="false">IF(Pricing_Details[[#This Row],[Quantity]]="","",Pricing_Details[[#This Row],[Retail Price]]*Pricing_Details[[#This Row],[Quantity]])</f>
        <v/>
      </c>
      <c r="AB38" s="217" t="str">
        <f aca="false">IF(Pricing_Details[[#This Row],[Quantity]]="","",Pricing_Details[[#This Row],[Total Discount]]*Pricing_Details[[#This Row],[Quantity]])</f>
        <v/>
      </c>
      <c r="AC38" s="221" t="str">
        <f aca="false">IFERROR(ROUND(Pricing_Details[[#This Row],[Actual Price]]*Pricing_Details[[#This Row],[Quantity]],2),"")</f>
        <v/>
      </c>
      <c r="AE38" s="179" t="str">
        <f aca="false">IF('Bulk Order Details'!J48="","",VLOOKUP('Bulk Order Details'!H48,Collection[],3)&amp;VLOOKUP('Bulk Order Details'!J48,Collar[],4)&amp;VLOOKUP('Bulk Order Details'!I48,Sleeve[],4))</f>
        <v/>
      </c>
      <c r="AF38" s="179" t="str">
        <f aca="false">IF('Bulk Order Details'!J48="","",LOOKUP('Bulk Order Details'!E48,Cut[Display],Cut[Code])&amp;LOOKUP('Bulk Order Details'!F48,#REF!,#REF!)&amp;IF('Bulk Order Details'!G48="","",LOOKUP('Bulk Order Details'!G48,Length[Display],Length[Code])))</f>
        <v/>
      </c>
      <c r="AG38" s="179" t="str">
        <f aca="false">IF('Bulk Order Details'!J48="","",IF('Bulk Order Details'!C48="","",'Bulk Order Details'!C48))</f>
        <v/>
      </c>
      <c r="AH38" s="179" t="str">
        <f aca="false">IF('Bulk Order Details'!O48="","","-"&amp;LOOKUP('Bulk Order Details'!O48,#REF!,#REF!))</f>
        <v/>
      </c>
      <c r="AI38" s="179" t="str">
        <f aca="false">IF('Bulk Order Details'!P48="","","-"&amp;LOOKUP('Bulk Order Details'!P48,#REF!,#REF!))</f>
        <v/>
      </c>
      <c r="AJ38" s="179" t="str">
        <f aca="false">IF('Bulk Order Details'!Q48="","","-"&amp;LOOKUP('Bulk Order Details'!Q48,#REF!,#REF!))</f>
        <v/>
      </c>
      <c r="AK38" s="179" t="str">
        <f aca="false">IF('Bulk Order Details'!R48="","","-"&amp;LOOKUP('Bulk Order Details'!R48,#REF!,#REF!))</f>
        <v/>
      </c>
      <c r="AL38" s="179" t="str">
        <f aca="false">IF('Bulk Order Details'!S48="","","-"&amp;LOOKUP('Bulk Order Details'!S48,#REF!,#REF!))</f>
        <v/>
      </c>
      <c r="AM38" s="179" t="str">
        <f aca="false">IF(_xlfn.CONCAT(AH38:AL38)="","","Lo"&amp;_xlfn.CONCAT(AH38:AL38))</f>
        <v/>
      </c>
      <c r="AN38" s="179" t="str">
        <f aca="false">IF('Bulk Order Details'!K48="","","Na-"&amp;'Bulk Order Details'!K48)</f>
        <v/>
      </c>
      <c r="AO38" s="179" t="str">
        <f aca="false">IF('Bulk Order Details'!N48="","","Fo-"&amp;'Bulk Order Details'!N48)</f>
        <v/>
      </c>
      <c r="AP38" s="179" t="str">
        <f aca="false">IF(AE38="","",AE38&amp;"_"&amp;AF38&amp;"_"&amp;AG38&amp;IF(AM38="","","_"&amp;AM38)&amp;IF(AN38="","","_"&amp;AN38)&amp;IF(AO38="","","_"&amp;AO38))</f>
        <v/>
      </c>
      <c r="AQ38" s="218" t="str">
        <f aca="false">IF(X38="","",X38)</f>
        <v/>
      </c>
    </row>
    <row r="39" customFormat="false" ht="13.5" hidden="false" customHeight="true" outlineLevel="0" collapsed="false">
      <c r="B39" s="209" t="n">
        <f aca="false">'Bulk Order Details'!B49</f>
        <v>36</v>
      </c>
      <c r="C39" s="209" t="e">
        <f aca="false">IF('bulk order details'!#ref!="","",'bulk order details'!#ref!&amp;" "&amp;'bulk order details'!#ref!)</f>
        <v>#VALUE!</v>
      </c>
      <c r="D39" s="210" t="str">
        <f aca="false">IF('Bulk Order Details'!J49="","",VLOOKUP(1,Price[],3))</f>
        <v/>
      </c>
      <c r="E39" s="211" t="str">
        <f aca="false">IF('Bulk Order Details'!J49="","",Summary!$D$9)</f>
        <v/>
      </c>
      <c r="F39" s="212" t="str">
        <f aca="false">IF('Bulk Order Details'!F49="","",_xlfn.xlookup('Bulk Order Details'!F49,Size[Display],Size[Price]))</f>
        <v/>
      </c>
      <c r="G39" s="212" t="str">
        <f aca="false">IF('Bulk Order Details'!G49="","",_xlfn.xlookup('Bulk Order Details'!G49,Length[Display],Length[Price]))</f>
        <v/>
      </c>
      <c r="H39" s="212" t="str">
        <f aca="false">IF('Bulk Order Details'!H49="","",_xlfn.xlookup('Bulk Order Details'!H49,Collection[Display],Collection[Price]))</f>
        <v/>
      </c>
      <c r="I39" s="212" t="str">
        <f aca="false">IF('Bulk Order Details'!I49="","",_xlfn.xlookup('Bulk Order Details'!I49,Sleeve[Display],Sleeve[Price]))</f>
        <v/>
      </c>
      <c r="J39" s="212" t="str">
        <f aca="false">IF('Bulk Order Details'!J49="","",_xlfn.xlookup('Bulk Order Details'!J49,Collar[Display],Collar[Price]))</f>
        <v/>
      </c>
      <c r="K39" s="212" t="str">
        <f aca="false">IF('Bulk Order Details'!K49="","",_xlfn.xlookup("Name",Name[Name],Name[Price]))</f>
        <v/>
      </c>
      <c r="L39" s="213" t="str">
        <f aca="false">IFERROR(IF('Bulk Order Details'!O49="","",IF(_xlfn.xlookup('Bulk Order Details'!O49,Logos[Display],Logos[Use])="Flat",_xlfn.xlookup('Bulk Order Details'!O49,Logos[Display],Logos[Flat]),ROUND(_xlfn.xlookup('Bulk Order Details'!O49,Logos[Display],Logos[Pct])*$E39,2))),"")</f>
        <v/>
      </c>
      <c r="M39" s="222" t="str">
        <f aca="false">IFERROR(IF('Bulk Order Details'!P49="","",IF(_xlfn.xlookup('Bulk Order Details'!P49,Chest[Display],Chest[Use])="Flat",_xlfn.xlookup('Bulk Order Details'!P49,Chest[Display],Chest[Flat]),ROUND(_xlfn.xlookup('Bulk Order Details'!P49,Chest[Display],Chest[Pct])*$E39,2))),"")</f>
        <v/>
      </c>
      <c r="N39" s="222" t="str">
        <f aca="false">IFERROR(IF('Bulk Order Details'!Q49="","",IF(_xlfn.xlookup('Bulk Order Details'!Q49,Chest[Display],Chest[Use])="Flat",_xlfn.xlookup('Bulk Order Details'!Q49,Chest[Display],Chest[Flat]),ROUND(_xlfn.xlookup('Bulk Order Details'!Q49,Chest[Display],Chest[Pct])*$E39,2))),"")</f>
        <v/>
      </c>
      <c r="O39" s="222" t="str">
        <f aca="false">IFERROR(IF('Bulk Order Details'!R49="","",IF(_xlfn.xlookup('Bulk Order Details'!R49,LeftSleeve[Display],LeftSleeve[Use])="Flat",_xlfn.xlookup('Bulk Order Details'!R49,LeftSleeve[Display],LeftSleeve[Flat]),ROUND(_xlfn.xlookup('Bulk Order Details'!R49,LeftSleeve[Display],LeftSleeve[Pct])*$E39,2))),"")</f>
        <v/>
      </c>
      <c r="P39" s="222" t="str">
        <f aca="false">IFERROR(IF('Bulk Order Details'!S49="","",IF(_xlfn.xlookup('Bulk Order Details'!S49,RightSleeve[Display],RightSleeve[Use])="Flat",_xlfn.xlookup('Bulk Order Details'!S49,RightSleeve[Display],RightSleeve[Flat]),ROUND(_xlfn.xlookup('Bulk Order Details'!S49,RightSleeve[Display],RightSleeve[Pct])*$E39,2))),"")</f>
        <v/>
      </c>
      <c r="Q39" s="214" t="str">
        <f aca="false">IF('Bulk Order Details'!J49="","",SUM(F39:P39))</f>
        <v/>
      </c>
      <c r="R39" s="213" t="str">
        <f aca="false">IFERROR(E39-D39,"")</f>
        <v/>
      </c>
      <c r="S39" s="215" t="str">
        <f aca="false">IFERROR(MIN(IF(Summary!$D$11="Yes",-J39,0),IF(H39&gt;0,-J39,0)),"")</f>
        <v/>
      </c>
      <c r="T39" s="212" t="str">
        <f aca="false">IFERROR(IF(Summary!$D$10="Yes",-K39,""),"")</f>
        <v/>
      </c>
      <c r="U39" s="213" t="str">
        <f aca="false">IFERROR(IF(Summary!$D$12="Yes",-L39,""),"")</f>
        <v/>
      </c>
      <c r="V39" s="216" t="str">
        <f aca="false">IF('Bulk Order Details'!J49="","",SUM(R39:U39))</f>
        <v/>
      </c>
      <c r="W39" s="217" t="str">
        <f aca="false">IF('Bulk Order Details'!J49="","",D39+Q39)</f>
        <v/>
      </c>
      <c r="X39" s="218" t="str">
        <f aca="false">IF('Bulk Order Details'!J49="","",D39+Q39+V39)</f>
        <v/>
      </c>
      <c r="Y39" s="219" t="str">
        <f aca="false">IFERROR((W39-X39)/W39,"")</f>
        <v/>
      </c>
      <c r="Z39" s="220" t="str">
        <f aca="false">IF('Bulk Order Details'!J49="","",MAX(1,'Bulk Order Details'!D49))</f>
        <v/>
      </c>
      <c r="AA39" s="217" t="str">
        <f aca="false">IF(Pricing_Details[[#This Row],[Quantity]]="","",Pricing_Details[[#This Row],[Retail Price]]*Pricing_Details[[#This Row],[Quantity]])</f>
        <v/>
      </c>
      <c r="AB39" s="217" t="str">
        <f aca="false">IF(Pricing_Details[[#This Row],[Quantity]]="","",Pricing_Details[[#This Row],[Total Discount]]*Pricing_Details[[#This Row],[Quantity]])</f>
        <v/>
      </c>
      <c r="AC39" s="221" t="str">
        <f aca="false">IFERROR(ROUND(Pricing_Details[[#This Row],[Actual Price]]*Pricing_Details[[#This Row],[Quantity]],2),"")</f>
        <v/>
      </c>
      <c r="AE39" s="179" t="str">
        <f aca="false">IF('Bulk Order Details'!J49="","",VLOOKUP('Bulk Order Details'!H49,Collection[],3)&amp;VLOOKUP('Bulk Order Details'!J49,Collar[],4)&amp;VLOOKUP('Bulk Order Details'!I49,Sleeve[],4))</f>
        <v/>
      </c>
      <c r="AF39" s="179" t="str">
        <f aca="false">IF('Bulk Order Details'!J49="","",LOOKUP('Bulk Order Details'!E49,Cut[Display],Cut[Code])&amp;LOOKUP('Bulk Order Details'!F49,#REF!,#REF!)&amp;IF('Bulk Order Details'!G49="","",LOOKUP('Bulk Order Details'!G49,Length[Display],Length[Code])))</f>
        <v/>
      </c>
      <c r="AG39" s="179" t="str">
        <f aca="false">IF('Bulk Order Details'!J49="","",IF('Bulk Order Details'!C49="","",'Bulk Order Details'!C49))</f>
        <v/>
      </c>
      <c r="AH39" s="179" t="str">
        <f aca="false">IF('Bulk Order Details'!O49="","","-"&amp;LOOKUP('Bulk Order Details'!O49,#REF!,#REF!))</f>
        <v/>
      </c>
      <c r="AI39" s="179" t="str">
        <f aca="false">IF('Bulk Order Details'!P49="","","-"&amp;LOOKUP('Bulk Order Details'!P49,#REF!,#REF!))</f>
        <v/>
      </c>
      <c r="AJ39" s="179" t="str">
        <f aca="false">IF('Bulk Order Details'!Q49="","","-"&amp;LOOKUP('Bulk Order Details'!Q49,#REF!,#REF!))</f>
        <v/>
      </c>
      <c r="AK39" s="179" t="str">
        <f aca="false">IF('Bulk Order Details'!R49="","","-"&amp;LOOKUP('Bulk Order Details'!R49,#REF!,#REF!))</f>
        <v/>
      </c>
      <c r="AL39" s="179" t="str">
        <f aca="false">IF('Bulk Order Details'!S49="","","-"&amp;LOOKUP('Bulk Order Details'!S49,#REF!,#REF!))</f>
        <v/>
      </c>
      <c r="AM39" s="179" t="str">
        <f aca="false">IF(_xlfn.CONCAT(AH39:AL39)="","","Lo"&amp;_xlfn.CONCAT(AH39:AL39))</f>
        <v/>
      </c>
      <c r="AN39" s="179" t="str">
        <f aca="false">IF('Bulk Order Details'!K49="","","Na-"&amp;'Bulk Order Details'!K49)</f>
        <v/>
      </c>
      <c r="AO39" s="179" t="str">
        <f aca="false">IF('Bulk Order Details'!N49="","","Fo-"&amp;'Bulk Order Details'!N49)</f>
        <v/>
      </c>
      <c r="AP39" s="179" t="str">
        <f aca="false">IF(AE39="","",AE39&amp;"_"&amp;AF39&amp;"_"&amp;AG39&amp;IF(AM39="","","_"&amp;AM39)&amp;IF(AN39="","","_"&amp;AN39)&amp;IF(AO39="","","_"&amp;AO39))</f>
        <v/>
      </c>
      <c r="AQ39" s="218" t="str">
        <f aca="false">IF(X39="","",X39)</f>
        <v/>
      </c>
    </row>
    <row r="40" customFormat="false" ht="13.5" hidden="false" customHeight="true" outlineLevel="0" collapsed="false">
      <c r="B40" s="209" t="n">
        <f aca="false">'Bulk Order Details'!B50</f>
        <v>37</v>
      </c>
      <c r="C40" s="209" t="e">
        <f aca="false">IF('bulk order details'!#ref!="","",'bulk order details'!#ref!&amp;" "&amp;'bulk order details'!#ref!)</f>
        <v>#VALUE!</v>
      </c>
      <c r="D40" s="210" t="str">
        <f aca="false">IF('Bulk Order Details'!J50="","",VLOOKUP(1,Price[],3))</f>
        <v/>
      </c>
      <c r="E40" s="211" t="str">
        <f aca="false">IF('Bulk Order Details'!J50="","",Summary!$D$9)</f>
        <v/>
      </c>
      <c r="F40" s="212" t="str">
        <f aca="false">IF('Bulk Order Details'!F50="","",_xlfn.xlookup('Bulk Order Details'!F50,Size[Display],Size[Price]))</f>
        <v/>
      </c>
      <c r="G40" s="212" t="str">
        <f aca="false">IF('Bulk Order Details'!G50="","",_xlfn.xlookup('Bulk Order Details'!G50,Length[Display],Length[Price]))</f>
        <v/>
      </c>
      <c r="H40" s="212" t="str">
        <f aca="false">IF('Bulk Order Details'!H50="","",_xlfn.xlookup('Bulk Order Details'!H50,Collection[Display],Collection[Price]))</f>
        <v/>
      </c>
      <c r="I40" s="212" t="str">
        <f aca="false">IF('Bulk Order Details'!I50="","",_xlfn.xlookup('Bulk Order Details'!I50,Sleeve[Display],Sleeve[Price]))</f>
        <v/>
      </c>
      <c r="J40" s="212" t="str">
        <f aca="false">IF('Bulk Order Details'!J50="","",_xlfn.xlookup('Bulk Order Details'!J50,Collar[Display],Collar[Price]))</f>
        <v/>
      </c>
      <c r="K40" s="212" t="str">
        <f aca="false">IF('Bulk Order Details'!K50="","",_xlfn.xlookup("Name",Name[Name],Name[Price]))</f>
        <v/>
      </c>
      <c r="L40" s="213" t="str">
        <f aca="false">IFERROR(IF('Bulk Order Details'!O50="","",IF(_xlfn.xlookup('Bulk Order Details'!O50,Logos[Display],Logos[Use])="Flat",_xlfn.xlookup('Bulk Order Details'!O50,Logos[Display],Logos[Flat]),ROUND(_xlfn.xlookup('Bulk Order Details'!O50,Logos[Display],Logos[Pct])*$E40,2))),"")</f>
        <v/>
      </c>
      <c r="M40" s="222" t="str">
        <f aca="false">IFERROR(IF('Bulk Order Details'!P50="","",IF(_xlfn.xlookup('Bulk Order Details'!P50,Chest[Display],Chest[Use])="Flat",_xlfn.xlookup('Bulk Order Details'!P50,Chest[Display],Chest[Flat]),ROUND(_xlfn.xlookup('Bulk Order Details'!P50,Chest[Display],Chest[Pct])*$E40,2))),"")</f>
        <v/>
      </c>
      <c r="N40" s="222" t="str">
        <f aca="false">IFERROR(IF('Bulk Order Details'!Q50="","",IF(_xlfn.xlookup('Bulk Order Details'!Q50,Chest[Display],Chest[Use])="Flat",_xlfn.xlookup('Bulk Order Details'!Q50,Chest[Display],Chest[Flat]),ROUND(_xlfn.xlookup('Bulk Order Details'!Q50,Chest[Display],Chest[Pct])*$E40,2))),"")</f>
        <v/>
      </c>
      <c r="O40" s="222" t="str">
        <f aca="false">IFERROR(IF('Bulk Order Details'!R50="","",IF(_xlfn.xlookup('Bulk Order Details'!R50,LeftSleeve[Display],LeftSleeve[Use])="Flat",_xlfn.xlookup('Bulk Order Details'!R50,LeftSleeve[Display],LeftSleeve[Flat]),ROUND(_xlfn.xlookup('Bulk Order Details'!R50,LeftSleeve[Display],LeftSleeve[Pct])*$E40,2))),"")</f>
        <v/>
      </c>
      <c r="P40" s="222" t="str">
        <f aca="false">IFERROR(IF('Bulk Order Details'!S50="","",IF(_xlfn.xlookup('Bulk Order Details'!S50,RightSleeve[Display],RightSleeve[Use])="Flat",_xlfn.xlookup('Bulk Order Details'!S50,RightSleeve[Display],RightSleeve[Flat]),ROUND(_xlfn.xlookup('Bulk Order Details'!S50,RightSleeve[Display],RightSleeve[Pct])*$E40,2))),"")</f>
        <v/>
      </c>
      <c r="Q40" s="214" t="str">
        <f aca="false">IF('Bulk Order Details'!J50="","",SUM(F40:P40))</f>
        <v/>
      </c>
      <c r="R40" s="213" t="str">
        <f aca="false">IFERROR(E40-D40,"")</f>
        <v/>
      </c>
      <c r="S40" s="215" t="str">
        <f aca="false">IFERROR(MIN(IF(Summary!$D$11="Yes",-J40,0),IF(H40&gt;0,-J40,0)),"")</f>
        <v/>
      </c>
      <c r="T40" s="212" t="str">
        <f aca="false">IFERROR(IF(Summary!$D$10="Yes",-K40,""),"")</f>
        <v/>
      </c>
      <c r="U40" s="213" t="str">
        <f aca="false">IFERROR(IF(Summary!$D$12="Yes",-L40,""),"")</f>
        <v/>
      </c>
      <c r="V40" s="216" t="str">
        <f aca="false">IF('Bulk Order Details'!J50="","",SUM(R40:U40))</f>
        <v/>
      </c>
      <c r="W40" s="217" t="str">
        <f aca="false">IF('Bulk Order Details'!J50="","",D40+Q40)</f>
        <v/>
      </c>
      <c r="X40" s="218" t="str">
        <f aca="false">IF('Bulk Order Details'!J50="","",D40+Q40+V40)</f>
        <v/>
      </c>
      <c r="Y40" s="219" t="str">
        <f aca="false">IFERROR((W40-X40)/W40,"")</f>
        <v/>
      </c>
      <c r="Z40" s="220" t="str">
        <f aca="false">IF('Bulk Order Details'!J50="","",MAX(1,'Bulk Order Details'!D50))</f>
        <v/>
      </c>
      <c r="AA40" s="217" t="str">
        <f aca="false">IF(Pricing_Details[[#This Row],[Quantity]]="","",Pricing_Details[[#This Row],[Retail Price]]*Pricing_Details[[#This Row],[Quantity]])</f>
        <v/>
      </c>
      <c r="AB40" s="217" t="str">
        <f aca="false">IF(Pricing_Details[[#This Row],[Quantity]]="","",Pricing_Details[[#This Row],[Total Discount]]*Pricing_Details[[#This Row],[Quantity]])</f>
        <v/>
      </c>
      <c r="AC40" s="221" t="str">
        <f aca="false">IFERROR(ROUND(Pricing_Details[[#This Row],[Actual Price]]*Pricing_Details[[#This Row],[Quantity]],2),"")</f>
        <v/>
      </c>
      <c r="AE40" s="179" t="str">
        <f aca="false">IF('Bulk Order Details'!J50="","",VLOOKUP('Bulk Order Details'!H50,Collection[],3)&amp;VLOOKUP('Bulk Order Details'!J50,Collar[],4)&amp;VLOOKUP('Bulk Order Details'!I50,Sleeve[],4))</f>
        <v/>
      </c>
      <c r="AF40" s="179" t="str">
        <f aca="false">IF('Bulk Order Details'!J50="","",LOOKUP('Bulk Order Details'!E50,Cut[Display],Cut[Code])&amp;LOOKUP('Bulk Order Details'!F50,#REF!,#REF!)&amp;IF('Bulk Order Details'!G50="","",LOOKUP('Bulk Order Details'!G50,Length[Display],Length[Code])))</f>
        <v/>
      </c>
      <c r="AG40" s="179" t="str">
        <f aca="false">IF('Bulk Order Details'!J50="","",IF('Bulk Order Details'!C50="","",'Bulk Order Details'!C50))</f>
        <v/>
      </c>
      <c r="AH40" s="179" t="str">
        <f aca="false">IF('Bulk Order Details'!O50="","","-"&amp;LOOKUP('Bulk Order Details'!O50,#REF!,#REF!))</f>
        <v/>
      </c>
      <c r="AI40" s="179" t="str">
        <f aca="false">IF('Bulk Order Details'!P50="","","-"&amp;LOOKUP('Bulk Order Details'!P50,#REF!,#REF!))</f>
        <v/>
      </c>
      <c r="AJ40" s="179" t="str">
        <f aca="false">IF('Bulk Order Details'!Q50="","","-"&amp;LOOKUP('Bulk Order Details'!Q50,#REF!,#REF!))</f>
        <v/>
      </c>
      <c r="AK40" s="179" t="str">
        <f aca="false">IF('Bulk Order Details'!R50="","","-"&amp;LOOKUP('Bulk Order Details'!R50,#REF!,#REF!))</f>
        <v/>
      </c>
      <c r="AL40" s="179" t="str">
        <f aca="false">IF('Bulk Order Details'!S50="","","-"&amp;LOOKUP('Bulk Order Details'!S50,#REF!,#REF!))</f>
        <v/>
      </c>
      <c r="AM40" s="179" t="str">
        <f aca="false">IF(_xlfn.CONCAT(AH40:AL40)="","","Lo"&amp;_xlfn.CONCAT(AH40:AL40))</f>
        <v/>
      </c>
      <c r="AN40" s="179" t="str">
        <f aca="false">IF('Bulk Order Details'!K50="","","Na-"&amp;'Bulk Order Details'!K50)</f>
        <v/>
      </c>
      <c r="AO40" s="179" t="str">
        <f aca="false">IF('Bulk Order Details'!N50="","","Fo-"&amp;'Bulk Order Details'!N50)</f>
        <v/>
      </c>
      <c r="AP40" s="179" t="str">
        <f aca="false">IF(AE40="","",AE40&amp;"_"&amp;AF40&amp;"_"&amp;AG40&amp;IF(AM40="","","_"&amp;AM40)&amp;IF(AN40="","","_"&amp;AN40)&amp;IF(AO40="","","_"&amp;AO40))</f>
        <v/>
      </c>
      <c r="AQ40" s="218" t="str">
        <f aca="false">IF(X40="","",X40)</f>
        <v/>
      </c>
    </row>
    <row r="41" customFormat="false" ht="13.5" hidden="false" customHeight="true" outlineLevel="0" collapsed="false">
      <c r="B41" s="209" t="n">
        <f aca="false">'Bulk Order Details'!B51</f>
        <v>38</v>
      </c>
      <c r="C41" s="209" t="e">
        <f aca="false">IF('bulk order details'!#ref!="","",'bulk order details'!#ref!&amp;" "&amp;'bulk order details'!#ref!)</f>
        <v>#VALUE!</v>
      </c>
      <c r="D41" s="210" t="str">
        <f aca="false">IF('Bulk Order Details'!J51="","",VLOOKUP(1,Price[],3))</f>
        <v/>
      </c>
      <c r="E41" s="211" t="str">
        <f aca="false">IF('Bulk Order Details'!J51="","",Summary!$D$9)</f>
        <v/>
      </c>
      <c r="F41" s="212" t="str">
        <f aca="false">IF('Bulk Order Details'!F51="","",_xlfn.xlookup('Bulk Order Details'!F51,Size[Display],Size[Price]))</f>
        <v/>
      </c>
      <c r="G41" s="212" t="str">
        <f aca="false">IF('Bulk Order Details'!G51="","",_xlfn.xlookup('Bulk Order Details'!G51,Length[Display],Length[Price]))</f>
        <v/>
      </c>
      <c r="H41" s="212" t="str">
        <f aca="false">IF('Bulk Order Details'!H51="","",_xlfn.xlookup('Bulk Order Details'!H51,Collection[Display],Collection[Price]))</f>
        <v/>
      </c>
      <c r="I41" s="212" t="str">
        <f aca="false">IF('Bulk Order Details'!I51="","",_xlfn.xlookup('Bulk Order Details'!I51,Sleeve[Display],Sleeve[Price]))</f>
        <v/>
      </c>
      <c r="J41" s="212" t="str">
        <f aca="false">IF('Bulk Order Details'!J51="","",_xlfn.xlookup('Bulk Order Details'!J51,Collar[Display],Collar[Price]))</f>
        <v/>
      </c>
      <c r="K41" s="212" t="str">
        <f aca="false">IF('Bulk Order Details'!K51="","",_xlfn.xlookup("Name",Name[Name],Name[Price]))</f>
        <v/>
      </c>
      <c r="L41" s="213" t="str">
        <f aca="false">IFERROR(IF('Bulk Order Details'!O51="","",IF(_xlfn.xlookup('Bulk Order Details'!O51,Logos[Display],Logos[Use])="Flat",_xlfn.xlookup('Bulk Order Details'!O51,Logos[Display],Logos[Flat]),ROUND(_xlfn.xlookup('Bulk Order Details'!O51,Logos[Display],Logos[Pct])*$E41,2))),"")</f>
        <v/>
      </c>
      <c r="M41" s="222" t="str">
        <f aca="false">IFERROR(IF('Bulk Order Details'!P51="","",IF(_xlfn.xlookup('Bulk Order Details'!P51,Chest[Display],Chest[Use])="Flat",_xlfn.xlookup('Bulk Order Details'!P51,Chest[Display],Chest[Flat]),ROUND(_xlfn.xlookup('Bulk Order Details'!P51,Chest[Display],Chest[Pct])*$E41,2))),"")</f>
        <v/>
      </c>
      <c r="N41" s="222" t="str">
        <f aca="false">IFERROR(IF('Bulk Order Details'!Q51="","",IF(_xlfn.xlookup('Bulk Order Details'!Q51,Chest[Display],Chest[Use])="Flat",_xlfn.xlookup('Bulk Order Details'!Q51,Chest[Display],Chest[Flat]),ROUND(_xlfn.xlookup('Bulk Order Details'!Q51,Chest[Display],Chest[Pct])*$E41,2))),"")</f>
        <v/>
      </c>
      <c r="O41" s="222" t="str">
        <f aca="false">IFERROR(IF('Bulk Order Details'!R51="","",IF(_xlfn.xlookup('Bulk Order Details'!R51,LeftSleeve[Display],LeftSleeve[Use])="Flat",_xlfn.xlookup('Bulk Order Details'!R51,LeftSleeve[Display],LeftSleeve[Flat]),ROUND(_xlfn.xlookup('Bulk Order Details'!R51,LeftSleeve[Display],LeftSleeve[Pct])*$E41,2))),"")</f>
        <v/>
      </c>
      <c r="P41" s="222" t="str">
        <f aca="false">IFERROR(IF('Bulk Order Details'!S51="","",IF(_xlfn.xlookup('Bulk Order Details'!S51,RightSleeve[Display],RightSleeve[Use])="Flat",_xlfn.xlookup('Bulk Order Details'!S51,RightSleeve[Display],RightSleeve[Flat]),ROUND(_xlfn.xlookup('Bulk Order Details'!S51,RightSleeve[Display],RightSleeve[Pct])*$E41,2))),"")</f>
        <v/>
      </c>
      <c r="Q41" s="214" t="str">
        <f aca="false">IF('Bulk Order Details'!J51="","",SUM(F41:P41))</f>
        <v/>
      </c>
      <c r="R41" s="213" t="str">
        <f aca="false">IFERROR(E41-D41,"")</f>
        <v/>
      </c>
      <c r="S41" s="215" t="str">
        <f aca="false">IFERROR(MIN(IF(Summary!$D$11="Yes",-J41,0),IF(H41&gt;0,-J41,0)),"")</f>
        <v/>
      </c>
      <c r="T41" s="212" t="str">
        <f aca="false">IFERROR(IF(Summary!$D$10="Yes",-K41,""),"")</f>
        <v/>
      </c>
      <c r="U41" s="213" t="str">
        <f aca="false">IFERROR(IF(Summary!$D$12="Yes",-L41,""),"")</f>
        <v/>
      </c>
      <c r="V41" s="216" t="str">
        <f aca="false">IF('Bulk Order Details'!J51="","",SUM(R41:U41))</f>
        <v/>
      </c>
      <c r="W41" s="217" t="str">
        <f aca="false">IF('Bulk Order Details'!J51="","",D41+Q41)</f>
        <v/>
      </c>
      <c r="X41" s="218" t="str">
        <f aca="false">IF('Bulk Order Details'!J51="","",D41+Q41+V41)</f>
        <v/>
      </c>
      <c r="Y41" s="219" t="str">
        <f aca="false">IFERROR((W41-X41)/W41,"")</f>
        <v/>
      </c>
      <c r="Z41" s="220" t="str">
        <f aca="false">IF('Bulk Order Details'!J51="","",MAX(1,'Bulk Order Details'!D51))</f>
        <v/>
      </c>
      <c r="AA41" s="217" t="str">
        <f aca="false">IF(Pricing_Details[[#This Row],[Quantity]]="","",Pricing_Details[[#This Row],[Retail Price]]*Pricing_Details[[#This Row],[Quantity]])</f>
        <v/>
      </c>
      <c r="AB41" s="217" t="str">
        <f aca="false">IF(Pricing_Details[[#This Row],[Quantity]]="","",Pricing_Details[[#This Row],[Total Discount]]*Pricing_Details[[#This Row],[Quantity]])</f>
        <v/>
      </c>
      <c r="AC41" s="221" t="str">
        <f aca="false">IFERROR(ROUND(Pricing_Details[[#This Row],[Actual Price]]*Pricing_Details[[#This Row],[Quantity]],2),"")</f>
        <v/>
      </c>
      <c r="AE41" s="179" t="str">
        <f aca="false">IF('Bulk Order Details'!J51="","",VLOOKUP('Bulk Order Details'!H51,Collection[],3)&amp;VLOOKUP('Bulk Order Details'!J51,Collar[],4)&amp;VLOOKUP('Bulk Order Details'!I51,Sleeve[],4))</f>
        <v/>
      </c>
      <c r="AF41" s="179" t="str">
        <f aca="false">IF('Bulk Order Details'!J51="","",LOOKUP('Bulk Order Details'!E51,Cut[Display],Cut[Code])&amp;LOOKUP('Bulk Order Details'!F51,#REF!,#REF!)&amp;IF('Bulk Order Details'!G51="","",LOOKUP('Bulk Order Details'!G51,Length[Display],Length[Code])))</f>
        <v/>
      </c>
      <c r="AG41" s="179" t="str">
        <f aca="false">IF('Bulk Order Details'!J51="","",IF('Bulk Order Details'!C51="","",'Bulk Order Details'!C51))</f>
        <v/>
      </c>
      <c r="AH41" s="179" t="str">
        <f aca="false">IF('Bulk Order Details'!O51="","","-"&amp;LOOKUP('Bulk Order Details'!O51,#REF!,#REF!))</f>
        <v/>
      </c>
      <c r="AI41" s="179" t="str">
        <f aca="false">IF('Bulk Order Details'!P51="","","-"&amp;LOOKUP('Bulk Order Details'!P51,#REF!,#REF!))</f>
        <v/>
      </c>
      <c r="AJ41" s="179" t="str">
        <f aca="false">IF('Bulk Order Details'!Q51="","","-"&amp;LOOKUP('Bulk Order Details'!Q51,#REF!,#REF!))</f>
        <v/>
      </c>
      <c r="AK41" s="179" t="str">
        <f aca="false">IF('Bulk Order Details'!R51="","","-"&amp;LOOKUP('Bulk Order Details'!R51,#REF!,#REF!))</f>
        <v/>
      </c>
      <c r="AL41" s="179" t="str">
        <f aca="false">IF('Bulk Order Details'!S51="","","-"&amp;LOOKUP('Bulk Order Details'!S51,#REF!,#REF!))</f>
        <v/>
      </c>
      <c r="AM41" s="179" t="str">
        <f aca="false">IF(_xlfn.CONCAT(AH41:AL41)="","","Lo"&amp;_xlfn.CONCAT(AH41:AL41))</f>
        <v/>
      </c>
      <c r="AN41" s="179" t="str">
        <f aca="false">IF('Bulk Order Details'!K51="","","Na-"&amp;'Bulk Order Details'!K51)</f>
        <v/>
      </c>
      <c r="AO41" s="179" t="str">
        <f aca="false">IF('Bulk Order Details'!N51="","","Fo-"&amp;'Bulk Order Details'!N51)</f>
        <v/>
      </c>
      <c r="AP41" s="179" t="str">
        <f aca="false">IF(AE41="","",AE41&amp;"_"&amp;AF41&amp;"_"&amp;AG41&amp;IF(AM41="","","_"&amp;AM41)&amp;IF(AN41="","","_"&amp;AN41)&amp;IF(AO41="","","_"&amp;AO41))</f>
        <v/>
      </c>
      <c r="AQ41" s="218" t="str">
        <f aca="false">IF(X41="","",X41)</f>
        <v/>
      </c>
    </row>
    <row r="42" customFormat="false" ht="13.5" hidden="false" customHeight="true" outlineLevel="0" collapsed="false">
      <c r="B42" s="209" t="n">
        <f aca="false">'Bulk Order Details'!B52</f>
        <v>39</v>
      </c>
      <c r="C42" s="209" t="e">
        <f aca="false">IF('bulk order details'!#ref!="","",'bulk order details'!#ref!&amp;" "&amp;'bulk order details'!#ref!)</f>
        <v>#VALUE!</v>
      </c>
      <c r="D42" s="210" t="str">
        <f aca="false">IF('Bulk Order Details'!J52="","",VLOOKUP(1,Price[],3))</f>
        <v/>
      </c>
      <c r="E42" s="211" t="str">
        <f aca="false">IF('Bulk Order Details'!J52="","",Summary!$D$9)</f>
        <v/>
      </c>
      <c r="F42" s="212" t="str">
        <f aca="false">IF('Bulk Order Details'!F52="","",_xlfn.xlookup('Bulk Order Details'!F52,Size[Display],Size[Price]))</f>
        <v/>
      </c>
      <c r="G42" s="212" t="str">
        <f aca="false">IF('Bulk Order Details'!G52="","",_xlfn.xlookup('Bulk Order Details'!G52,Length[Display],Length[Price]))</f>
        <v/>
      </c>
      <c r="H42" s="212" t="str">
        <f aca="false">IF('Bulk Order Details'!H52="","",_xlfn.xlookup('Bulk Order Details'!H52,Collection[Display],Collection[Price]))</f>
        <v/>
      </c>
      <c r="I42" s="212" t="str">
        <f aca="false">IF('Bulk Order Details'!I52="","",_xlfn.xlookup('Bulk Order Details'!I52,Sleeve[Display],Sleeve[Price]))</f>
        <v/>
      </c>
      <c r="J42" s="212" t="str">
        <f aca="false">IF('Bulk Order Details'!J52="","",_xlfn.xlookup('Bulk Order Details'!J52,Collar[Display],Collar[Price]))</f>
        <v/>
      </c>
      <c r="K42" s="212" t="str">
        <f aca="false">IF('Bulk Order Details'!K52="","",_xlfn.xlookup("Name",Name[Name],Name[Price]))</f>
        <v/>
      </c>
      <c r="L42" s="213" t="str">
        <f aca="false">IFERROR(IF('Bulk Order Details'!O52="","",IF(_xlfn.xlookup('Bulk Order Details'!O52,Logos[Display],Logos[Use])="Flat",_xlfn.xlookup('Bulk Order Details'!O52,Logos[Display],Logos[Flat]),ROUND(_xlfn.xlookup('Bulk Order Details'!O52,Logos[Display],Logos[Pct])*$E42,2))),"")</f>
        <v/>
      </c>
      <c r="M42" s="222" t="str">
        <f aca="false">IFERROR(IF('Bulk Order Details'!P52="","",IF(_xlfn.xlookup('Bulk Order Details'!P52,Chest[Display],Chest[Use])="Flat",_xlfn.xlookup('Bulk Order Details'!P52,Chest[Display],Chest[Flat]),ROUND(_xlfn.xlookup('Bulk Order Details'!P52,Chest[Display],Chest[Pct])*$E42,2))),"")</f>
        <v/>
      </c>
      <c r="N42" s="222" t="str">
        <f aca="false">IFERROR(IF('Bulk Order Details'!Q52="","",IF(_xlfn.xlookup('Bulk Order Details'!Q52,Chest[Display],Chest[Use])="Flat",_xlfn.xlookup('Bulk Order Details'!Q52,Chest[Display],Chest[Flat]),ROUND(_xlfn.xlookup('Bulk Order Details'!Q52,Chest[Display],Chest[Pct])*$E42,2))),"")</f>
        <v/>
      </c>
      <c r="O42" s="222" t="str">
        <f aca="false">IFERROR(IF('Bulk Order Details'!R52="","",IF(_xlfn.xlookup('Bulk Order Details'!R52,LeftSleeve[Display],LeftSleeve[Use])="Flat",_xlfn.xlookup('Bulk Order Details'!R52,LeftSleeve[Display],LeftSleeve[Flat]),ROUND(_xlfn.xlookup('Bulk Order Details'!R52,LeftSleeve[Display],LeftSleeve[Pct])*$E42,2))),"")</f>
        <v/>
      </c>
      <c r="P42" s="222" t="str">
        <f aca="false">IFERROR(IF('Bulk Order Details'!S52="","",IF(_xlfn.xlookup('Bulk Order Details'!S52,RightSleeve[Display],RightSleeve[Use])="Flat",_xlfn.xlookup('Bulk Order Details'!S52,RightSleeve[Display],RightSleeve[Flat]),ROUND(_xlfn.xlookup('Bulk Order Details'!S52,RightSleeve[Display],RightSleeve[Pct])*$E42,2))),"")</f>
        <v/>
      </c>
      <c r="Q42" s="214" t="str">
        <f aca="false">IF('Bulk Order Details'!J52="","",SUM(F42:P42))</f>
        <v/>
      </c>
      <c r="R42" s="213" t="str">
        <f aca="false">IFERROR(E42-D42,"")</f>
        <v/>
      </c>
      <c r="S42" s="215" t="str">
        <f aca="false">IFERROR(MIN(IF(Summary!$D$11="Yes",-J42,0),IF(H42&gt;0,-J42,0)),"")</f>
        <v/>
      </c>
      <c r="T42" s="212" t="str">
        <f aca="false">IFERROR(IF(Summary!$D$10="Yes",-K42,""),"")</f>
        <v/>
      </c>
      <c r="U42" s="213" t="str">
        <f aca="false">IFERROR(IF(Summary!$D$12="Yes",-L42,""),"")</f>
        <v/>
      </c>
      <c r="V42" s="216" t="str">
        <f aca="false">IF('Bulk Order Details'!J52="","",SUM(R42:U42))</f>
        <v/>
      </c>
      <c r="W42" s="217" t="str">
        <f aca="false">IF('Bulk Order Details'!J52="","",D42+Q42)</f>
        <v/>
      </c>
      <c r="X42" s="218" t="str">
        <f aca="false">IF('Bulk Order Details'!J52="","",D42+Q42+V42)</f>
        <v/>
      </c>
      <c r="Y42" s="219" t="str">
        <f aca="false">IFERROR((W42-X42)/W42,"")</f>
        <v/>
      </c>
      <c r="Z42" s="220" t="str">
        <f aca="false">IF('Bulk Order Details'!J52="","",MAX(1,'Bulk Order Details'!D52))</f>
        <v/>
      </c>
      <c r="AA42" s="217" t="str">
        <f aca="false">IF(Pricing_Details[[#This Row],[Quantity]]="","",Pricing_Details[[#This Row],[Retail Price]]*Pricing_Details[[#This Row],[Quantity]])</f>
        <v/>
      </c>
      <c r="AB42" s="217" t="str">
        <f aca="false">IF(Pricing_Details[[#This Row],[Quantity]]="","",Pricing_Details[[#This Row],[Total Discount]]*Pricing_Details[[#This Row],[Quantity]])</f>
        <v/>
      </c>
      <c r="AC42" s="221" t="str">
        <f aca="false">IFERROR(ROUND(Pricing_Details[[#This Row],[Actual Price]]*Pricing_Details[[#This Row],[Quantity]],2),"")</f>
        <v/>
      </c>
      <c r="AE42" s="179" t="str">
        <f aca="false">IF('Bulk Order Details'!J52="","",VLOOKUP('Bulk Order Details'!H52,Collection[],3)&amp;VLOOKUP('Bulk Order Details'!J52,Collar[],4)&amp;VLOOKUP('Bulk Order Details'!I52,Sleeve[],4))</f>
        <v/>
      </c>
      <c r="AF42" s="179" t="str">
        <f aca="false">IF('Bulk Order Details'!J52="","",LOOKUP('Bulk Order Details'!E52,Cut[Display],Cut[Code])&amp;LOOKUP('Bulk Order Details'!F52,#REF!,#REF!)&amp;IF('Bulk Order Details'!G52="","",LOOKUP('Bulk Order Details'!G52,Length[Display],Length[Code])))</f>
        <v/>
      </c>
      <c r="AG42" s="179" t="str">
        <f aca="false">IF('Bulk Order Details'!J52="","",IF('Bulk Order Details'!C52="","",'Bulk Order Details'!C52))</f>
        <v/>
      </c>
      <c r="AH42" s="179" t="str">
        <f aca="false">IF('Bulk Order Details'!O52="","","-"&amp;LOOKUP('Bulk Order Details'!O52,#REF!,#REF!))</f>
        <v/>
      </c>
      <c r="AI42" s="179" t="str">
        <f aca="false">IF('Bulk Order Details'!P52="","","-"&amp;LOOKUP('Bulk Order Details'!P52,#REF!,#REF!))</f>
        <v/>
      </c>
      <c r="AJ42" s="179" t="str">
        <f aca="false">IF('Bulk Order Details'!Q52="","","-"&amp;LOOKUP('Bulk Order Details'!Q52,#REF!,#REF!))</f>
        <v/>
      </c>
      <c r="AK42" s="179" t="str">
        <f aca="false">IF('Bulk Order Details'!R52="","","-"&amp;LOOKUP('Bulk Order Details'!R52,#REF!,#REF!))</f>
        <v/>
      </c>
      <c r="AL42" s="179" t="str">
        <f aca="false">IF('Bulk Order Details'!S52="","","-"&amp;LOOKUP('Bulk Order Details'!S52,#REF!,#REF!))</f>
        <v/>
      </c>
      <c r="AM42" s="179" t="str">
        <f aca="false">IF(_xlfn.CONCAT(AH42:AL42)="","","Lo"&amp;_xlfn.CONCAT(AH42:AL42))</f>
        <v/>
      </c>
      <c r="AN42" s="179" t="str">
        <f aca="false">IF('Bulk Order Details'!K52="","","Na-"&amp;'Bulk Order Details'!K52)</f>
        <v/>
      </c>
      <c r="AO42" s="179" t="str">
        <f aca="false">IF('Bulk Order Details'!N52="","","Fo-"&amp;'Bulk Order Details'!N52)</f>
        <v/>
      </c>
      <c r="AP42" s="179" t="str">
        <f aca="false">IF(AE42="","",AE42&amp;"_"&amp;AF42&amp;"_"&amp;AG42&amp;IF(AM42="","","_"&amp;AM42)&amp;IF(AN42="","","_"&amp;AN42)&amp;IF(AO42="","","_"&amp;AO42))</f>
        <v/>
      </c>
      <c r="AQ42" s="218" t="str">
        <f aca="false">IF(X42="","",X42)</f>
        <v/>
      </c>
    </row>
    <row r="43" customFormat="false" ht="13.5" hidden="false" customHeight="true" outlineLevel="0" collapsed="false">
      <c r="B43" s="209" t="n">
        <f aca="false">'Bulk Order Details'!B53</f>
        <v>40</v>
      </c>
      <c r="C43" s="209" t="e">
        <f aca="false">IF('bulk order details'!#ref!="","",'bulk order details'!#ref!&amp;" "&amp;'bulk order details'!#ref!)</f>
        <v>#VALUE!</v>
      </c>
      <c r="D43" s="210" t="str">
        <f aca="false">IF('Bulk Order Details'!J53="","",VLOOKUP(1,Price[],3))</f>
        <v/>
      </c>
      <c r="E43" s="211" t="str">
        <f aca="false">IF('Bulk Order Details'!J53="","",Summary!$D$9)</f>
        <v/>
      </c>
      <c r="F43" s="212" t="str">
        <f aca="false">IF('Bulk Order Details'!F53="","",_xlfn.xlookup('Bulk Order Details'!F53,Size[Display],Size[Price]))</f>
        <v/>
      </c>
      <c r="G43" s="212" t="str">
        <f aca="false">IF('Bulk Order Details'!G53="","",_xlfn.xlookup('Bulk Order Details'!G53,Length[Display],Length[Price]))</f>
        <v/>
      </c>
      <c r="H43" s="212" t="str">
        <f aca="false">IF('Bulk Order Details'!H53="","",_xlfn.xlookup('Bulk Order Details'!H53,Collection[Display],Collection[Price]))</f>
        <v/>
      </c>
      <c r="I43" s="212" t="str">
        <f aca="false">IF('Bulk Order Details'!I53="","",_xlfn.xlookup('Bulk Order Details'!I53,Sleeve[Display],Sleeve[Price]))</f>
        <v/>
      </c>
      <c r="J43" s="212" t="str">
        <f aca="false">IF('Bulk Order Details'!J53="","",_xlfn.xlookup('Bulk Order Details'!J53,Collar[Display],Collar[Price]))</f>
        <v/>
      </c>
      <c r="K43" s="212" t="str">
        <f aca="false">IF('Bulk Order Details'!K53="","",_xlfn.xlookup("Name",Name[Name],Name[Price]))</f>
        <v/>
      </c>
      <c r="L43" s="213" t="str">
        <f aca="false">IFERROR(IF('Bulk Order Details'!O53="","",IF(_xlfn.xlookup('Bulk Order Details'!O53,Logos[Display],Logos[Use])="Flat",_xlfn.xlookup('Bulk Order Details'!O53,Logos[Display],Logos[Flat]),ROUND(_xlfn.xlookup('Bulk Order Details'!O53,Logos[Display],Logos[Pct])*$E43,2))),"")</f>
        <v/>
      </c>
      <c r="M43" s="222" t="str">
        <f aca="false">IFERROR(IF('Bulk Order Details'!P53="","",IF(_xlfn.xlookup('Bulk Order Details'!P53,Chest[Display],Chest[Use])="Flat",_xlfn.xlookup('Bulk Order Details'!P53,Chest[Display],Chest[Flat]),ROUND(_xlfn.xlookup('Bulk Order Details'!P53,Chest[Display],Chest[Pct])*$E43,2))),"")</f>
        <v/>
      </c>
      <c r="N43" s="222" t="str">
        <f aca="false">IFERROR(IF('Bulk Order Details'!Q53="","",IF(_xlfn.xlookup('Bulk Order Details'!Q53,Chest[Display],Chest[Use])="Flat",_xlfn.xlookup('Bulk Order Details'!Q53,Chest[Display],Chest[Flat]),ROUND(_xlfn.xlookup('Bulk Order Details'!Q53,Chest[Display],Chest[Pct])*$E43,2))),"")</f>
        <v/>
      </c>
      <c r="O43" s="222" t="str">
        <f aca="false">IFERROR(IF('Bulk Order Details'!R53="","",IF(_xlfn.xlookup('Bulk Order Details'!R53,LeftSleeve[Display],LeftSleeve[Use])="Flat",_xlfn.xlookup('Bulk Order Details'!R53,LeftSleeve[Display],LeftSleeve[Flat]),ROUND(_xlfn.xlookup('Bulk Order Details'!R53,LeftSleeve[Display],LeftSleeve[Pct])*$E43,2))),"")</f>
        <v/>
      </c>
      <c r="P43" s="222" t="str">
        <f aca="false">IFERROR(IF('Bulk Order Details'!S53="","",IF(_xlfn.xlookup('Bulk Order Details'!S53,RightSleeve[Display],RightSleeve[Use])="Flat",_xlfn.xlookup('Bulk Order Details'!S53,RightSleeve[Display],RightSleeve[Flat]),ROUND(_xlfn.xlookup('Bulk Order Details'!S53,RightSleeve[Display],RightSleeve[Pct])*$E43,2))),"")</f>
        <v/>
      </c>
      <c r="Q43" s="214" t="str">
        <f aca="false">IF('Bulk Order Details'!J53="","",SUM(F43:P43))</f>
        <v/>
      </c>
      <c r="R43" s="213" t="str">
        <f aca="false">IFERROR(E43-D43,"")</f>
        <v/>
      </c>
      <c r="S43" s="215" t="str">
        <f aca="false">IFERROR(MIN(IF(Summary!$D$11="Yes",-J43,0),IF(H43&gt;0,-J43,0)),"")</f>
        <v/>
      </c>
      <c r="T43" s="212" t="str">
        <f aca="false">IFERROR(IF(Summary!$D$10="Yes",-K43,""),"")</f>
        <v/>
      </c>
      <c r="U43" s="213" t="str">
        <f aca="false">IFERROR(IF(Summary!$D$12="Yes",-L43,""),"")</f>
        <v/>
      </c>
      <c r="V43" s="216" t="str">
        <f aca="false">IF('Bulk Order Details'!J53="","",SUM(R43:U43))</f>
        <v/>
      </c>
      <c r="W43" s="217" t="str">
        <f aca="false">IF('Bulk Order Details'!J53="","",D43+Q43)</f>
        <v/>
      </c>
      <c r="X43" s="218" t="str">
        <f aca="false">IF('Bulk Order Details'!J53="","",D43+Q43+V43)</f>
        <v/>
      </c>
      <c r="Y43" s="219" t="str">
        <f aca="false">IFERROR((W43-X43)/W43,"")</f>
        <v/>
      </c>
      <c r="Z43" s="220" t="str">
        <f aca="false">IF('Bulk Order Details'!J53="","",MAX(1,'Bulk Order Details'!D53))</f>
        <v/>
      </c>
      <c r="AA43" s="217" t="str">
        <f aca="false">IF(Pricing_Details[[#This Row],[Quantity]]="","",Pricing_Details[[#This Row],[Retail Price]]*Pricing_Details[[#This Row],[Quantity]])</f>
        <v/>
      </c>
      <c r="AB43" s="217" t="str">
        <f aca="false">IF(Pricing_Details[[#This Row],[Quantity]]="","",Pricing_Details[[#This Row],[Total Discount]]*Pricing_Details[[#This Row],[Quantity]])</f>
        <v/>
      </c>
      <c r="AC43" s="221" t="str">
        <f aca="false">IFERROR(ROUND(Pricing_Details[[#This Row],[Actual Price]]*Pricing_Details[[#This Row],[Quantity]],2),"")</f>
        <v/>
      </c>
      <c r="AE43" s="179" t="str">
        <f aca="false">IF('Bulk Order Details'!J53="","",VLOOKUP('Bulk Order Details'!H53,Collection[],3)&amp;VLOOKUP('Bulk Order Details'!J53,Collar[],4)&amp;VLOOKUP('Bulk Order Details'!I53,Sleeve[],4))</f>
        <v/>
      </c>
      <c r="AF43" s="179" t="str">
        <f aca="false">IF('Bulk Order Details'!J53="","",LOOKUP('Bulk Order Details'!E53,Cut[Display],Cut[Code])&amp;LOOKUP('Bulk Order Details'!F53,#REF!,#REF!)&amp;IF('Bulk Order Details'!G53="","",LOOKUP('Bulk Order Details'!G53,Length[Display],Length[Code])))</f>
        <v/>
      </c>
      <c r="AG43" s="179" t="str">
        <f aca="false">IF('Bulk Order Details'!J53="","",IF('Bulk Order Details'!C53="","",'Bulk Order Details'!C53))</f>
        <v/>
      </c>
      <c r="AH43" s="179" t="str">
        <f aca="false">IF('Bulk Order Details'!O53="","","-"&amp;LOOKUP('Bulk Order Details'!O53,#REF!,#REF!))</f>
        <v/>
      </c>
      <c r="AI43" s="179" t="str">
        <f aca="false">IF('Bulk Order Details'!P53="","","-"&amp;LOOKUP('Bulk Order Details'!P53,#REF!,#REF!))</f>
        <v/>
      </c>
      <c r="AJ43" s="179" t="str">
        <f aca="false">IF('Bulk Order Details'!Q53="","","-"&amp;LOOKUP('Bulk Order Details'!Q53,#REF!,#REF!))</f>
        <v/>
      </c>
      <c r="AK43" s="179" t="str">
        <f aca="false">IF('Bulk Order Details'!R53="","","-"&amp;LOOKUP('Bulk Order Details'!R53,#REF!,#REF!))</f>
        <v/>
      </c>
      <c r="AL43" s="179" t="str">
        <f aca="false">IF('Bulk Order Details'!S53="","","-"&amp;LOOKUP('Bulk Order Details'!S53,#REF!,#REF!))</f>
        <v/>
      </c>
      <c r="AM43" s="179" t="str">
        <f aca="false">IF(_xlfn.CONCAT(AH43:AL43)="","","Lo"&amp;_xlfn.CONCAT(AH43:AL43))</f>
        <v/>
      </c>
      <c r="AN43" s="179" t="str">
        <f aca="false">IF('Bulk Order Details'!K53="","","Na-"&amp;'Bulk Order Details'!K53)</f>
        <v/>
      </c>
      <c r="AO43" s="179" t="str">
        <f aca="false">IF('Bulk Order Details'!N53="","","Fo-"&amp;'Bulk Order Details'!N53)</f>
        <v/>
      </c>
      <c r="AP43" s="179" t="str">
        <f aca="false">IF(AE43="","",AE43&amp;"_"&amp;AF43&amp;"_"&amp;AG43&amp;IF(AM43="","","_"&amp;AM43)&amp;IF(AN43="","","_"&amp;AN43)&amp;IF(AO43="","","_"&amp;AO43))</f>
        <v/>
      </c>
      <c r="AQ43" s="218" t="str">
        <f aca="false">IF(X43="","",X43)</f>
        <v/>
      </c>
    </row>
    <row r="44" customFormat="false" ht="13.5" hidden="false" customHeight="true" outlineLevel="0" collapsed="false">
      <c r="B44" s="209" t="n">
        <f aca="false">'Bulk Order Details'!B54</f>
        <v>41</v>
      </c>
      <c r="C44" s="209" t="e">
        <f aca="false">IF('bulk order details'!#ref!="","",'bulk order details'!#ref!&amp;" "&amp;'bulk order details'!#ref!)</f>
        <v>#VALUE!</v>
      </c>
      <c r="D44" s="210" t="str">
        <f aca="false">IF('Bulk Order Details'!J54="","",VLOOKUP(1,Price[],3))</f>
        <v/>
      </c>
      <c r="E44" s="211" t="str">
        <f aca="false">IF('Bulk Order Details'!J54="","",Summary!$D$9)</f>
        <v/>
      </c>
      <c r="F44" s="212" t="str">
        <f aca="false">IF('Bulk Order Details'!F54="","",_xlfn.xlookup('Bulk Order Details'!F54,Size[Display],Size[Price]))</f>
        <v/>
      </c>
      <c r="G44" s="212" t="str">
        <f aca="false">IF('Bulk Order Details'!G54="","",_xlfn.xlookup('Bulk Order Details'!G54,Length[Display],Length[Price]))</f>
        <v/>
      </c>
      <c r="H44" s="212" t="str">
        <f aca="false">IF('Bulk Order Details'!H54="","",_xlfn.xlookup('Bulk Order Details'!H54,Collection[Display],Collection[Price]))</f>
        <v/>
      </c>
      <c r="I44" s="212" t="str">
        <f aca="false">IF('Bulk Order Details'!I54="","",_xlfn.xlookup('Bulk Order Details'!I54,Sleeve[Display],Sleeve[Price]))</f>
        <v/>
      </c>
      <c r="J44" s="212" t="str">
        <f aca="false">IF('Bulk Order Details'!J54="","",_xlfn.xlookup('Bulk Order Details'!J54,Collar[Display],Collar[Price]))</f>
        <v/>
      </c>
      <c r="K44" s="212" t="str">
        <f aca="false">IF('Bulk Order Details'!K54="","",_xlfn.xlookup("Name",Name[Name],Name[Price]))</f>
        <v/>
      </c>
      <c r="L44" s="213" t="str">
        <f aca="false">IFERROR(IF('Bulk Order Details'!O54="","",IF(_xlfn.xlookup('Bulk Order Details'!O54,Logos[Display],Logos[Use])="Flat",_xlfn.xlookup('Bulk Order Details'!O54,Logos[Display],Logos[Flat]),ROUND(_xlfn.xlookup('Bulk Order Details'!O54,Logos[Display],Logos[Pct])*$E44,2))),"")</f>
        <v/>
      </c>
      <c r="M44" s="222" t="str">
        <f aca="false">IFERROR(IF('Bulk Order Details'!P54="","",IF(_xlfn.xlookup('Bulk Order Details'!P54,Chest[Display],Chest[Use])="Flat",_xlfn.xlookup('Bulk Order Details'!P54,Chest[Display],Chest[Flat]),ROUND(_xlfn.xlookup('Bulk Order Details'!P54,Chest[Display],Chest[Pct])*$E44,2))),"")</f>
        <v/>
      </c>
      <c r="N44" s="222" t="str">
        <f aca="false">IFERROR(IF('Bulk Order Details'!Q54="","",IF(_xlfn.xlookup('Bulk Order Details'!Q54,Chest[Display],Chest[Use])="Flat",_xlfn.xlookup('Bulk Order Details'!Q54,Chest[Display],Chest[Flat]),ROUND(_xlfn.xlookup('Bulk Order Details'!Q54,Chest[Display],Chest[Pct])*$E44,2))),"")</f>
        <v/>
      </c>
      <c r="O44" s="222" t="str">
        <f aca="false">IFERROR(IF('Bulk Order Details'!R54="","",IF(_xlfn.xlookup('Bulk Order Details'!R54,LeftSleeve[Display],LeftSleeve[Use])="Flat",_xlfn.xlookup('Bulk Order Details'!R54,LeftSleeve[Display],LeftSleeve[Flat]),ROUND(_xlfn.xlookup('Bulk Order Details'!R54,LeftSleeve[Display],LeftSleeve[Pct])*$E44,2))),"")</f>
        <v/>
      </c>
      <c r="P44" s="222" t="str">
        <f aca="false">IFERROR(IF('Bulk Order Details'!S54="","",IF(_xlfn.xlookup('Bulk Order Details'!S54,RightSleeve[Display],RightSleeve[Use])="Flat",_xlfn.xlookup('Bulk Order Details'!S54,RightSleeve[Display],RightSleeve[Flat]),ROUND(_xlfn.xlookup('Bulk Order Details'!S54,RightSleeve[Display],RightSleeve[Pct])*$E44,2))),"")</f>
        <v/>
      </c>
      <c r="Q44" s="214" t="str">
        <f aca="false">IF('Bulk Order Details'!J54="","",SUM(F44:P44))</f>
        <v/>
      </c>
      <c r="R44" s="213" t="str">
        <f aca="false">IFERROR(E44-D44,"")</f>
        <v/>
      </c>
      <c r="S44" s="215" t="str">
        <f aca="false">IFERROR(MIN(IF(Summary!$D$11="Yes",-J44,0),IF(H44&gt;0,-J44,0)),"")</f>
        <v/>
      </c>
      <c r="T44" s="212" t="str">
        <f aca="false">IFERROR(IF(Summary!$D$10="Yes",-K44,""),"")</f>
        <v/>
      </c>
      <c r="U44" s="213" t="str">
        <f aca="false">IFERROR(IF(Summary!$D$12="Yes",-L44,""),"")</f>
        <v/>
      </c>
      <c r="V44" s="216" t="str">
        <f aca="false">IF('Bulk Order Details'!J54="","",SUM(R44:U44))</f>
        <v/>
      </c>
      <c r="W44" s="217" t="str">
        <f aca="false">IF('Bulk Order Details'!J54="","",D44+Q44)</f>
        <v/>
      </c>
      <c r="X44" s="218" t="str">
        <f aca="false">IF('Bulk Order Details'!J54="","",D44+Q44+V44)</f>
        <v/>
      </c>
      <c r="Y44" s="219" t="str">
        <f aca="false">IFERROR((W44-X44)/W44,"")</f>
        <v/>
      </c>
      <c r="Z44" s="220" t="str">
        <f aca="false">IF('Bulk Order Details'!J54="","",MAX(1,'Bulk Order Details'!D54))</f>
        <v/>
      </c>
      <c r="AA44" s="217" t="str">
        <f aca="false">IF(Pricing_Details[[#This Row],[Quantity]]="","",Pricing_Details[[#This Row],[Retail Price]]*Pricing_Details[[#This Row],[Quantity]])</f>
        <v/>
      </c>
      <c r="AB44" s="217" t="str">
        <f aca="false">IF(Pricing_Details[[#This Row],[Quantity]]="","",Pricing_Details[[#This Row],[Total Discount]]*Pricing_Details[[#This Row],[Quantity]])</f>
        <v/>
      </c>
      <c r="AC44" s="221" t="str">
        <f aca="false">IFERROR(ROUND(Pricing_Details[[#This Row],[Actual Price]]*Pricing_Details[[#This Row],[Quantity]],2),"")</f>
        <v/>
      </c>
      <c r="AE44" s="179" t="str">
        <f aca="false">IF('Bulk Order Details'!J54="","",VLOOKUP('Bulk Order Details'!H54,Collection[],3)&amp;VLOOKUP('Bulk Order Details'!J54,Collar[],4)&amp;VLOOKUP('Bulk Order Details'!I54,Sleeve[],4))</f>
        <v/>
      </c>
      <c r="AF44" s="179" t="str">
        <f aca="false">IF('Bulk Order Details'!J54="","",LOOKUP('Bulk Order Details'!E54,Cut[Display],Cut[Code])&amp;LOOKUP('Bulk Order Details'!F54,#REF!,#REF!)&amp;IF('Bulk Order Details'!G54="","",LOOKUP('Bulk Order Details'!G54,Length[Display],Length[Code])))</f>
        <v/>
      </c>
      <c r="AG44" s="179" t="str">
        <f aca="false">IF('Bulk Order Details'!J54="","",IF('Bulk Order Details'!C54="","",'Bulk Order Details'!C54))</f>
        <v/>
      </c>
      <c r="AH44" s="179" t="str">
        <f aca="false">IF('Bulk Order Details'!O54="","","-"&amp;LOOKUP('Bulk Order Details'!O54,#REF!,#REF!))</f>
        <v/>
      </c>
      <c r="AI44" s="179" t="str">
        <f aca="false">IF('Bulk Order Details'!P54="","","-"&amp;LOOKUP('Bulk Order Details'!P54,#REF!,#REF!))</f>
        <v/>
      </c>
      <c r="AJ44" s="179" t="str">
        <f aca="false">IF('Bulk Order Details'!Q54="","","-"&amp;LOOKUP('Bulk Order Details'!Q54,#REF!,#REF!))</f>
        <v/>
      </c>
      <c r="AK44" s="179" t="str">
        <f aca="false">IF('Bulk Order Details'!R54="","","-"&amp;LOOKUP('Bulk Order Details'!R54,#REF!,#REF!))</f>
        <v/>
      </c>
      <c r="AL44" s="179" t="str">
        <f aca="false">IF('Bulk Order Details'!S54="","","-"&amp;LOOKUP('Bulk Order Details'!S54,#REF!,#REF!))</f>
        <v/>
      </c>
      <c r="AM44" s="179" t="str">
        <f aca="false">IF(_xlfn.CONCAT(AH44:AL44)="","","Lo"&amp;_xlfn.CONCAT(AH44:AL44))</f>
        <v/>
      </c>
      <c r="AN44" s="179" t="str">
        <f aca="false">IF('Bulk Order Details'!K54="","","Na-"&amp;'Bulk Order Details'!K54)</f>
        <v/>
      </c>
      <c r="AO44" s="179" t="str">
        <f aca="false">IF('Bulk Order Details'!N54="","","Fo-"&amp;'Bulk Order Details'!N54)</f>
        <v/>
      </c>
      <c r="AP44" s="179" t="str">
        <f aca="false">IF(AE44="","",AE44&amp;"_"&amp;AF44&amp;"_"&amp;AG44&amp;IF(AM44="","","_"&amp;AM44)&amp;IF(AN44="","","_"&amp;AN44)&amp;IF(AO44="","","_"&amp;AO44))</f>
        <v/>
      </c>
      <c r="AQ44" s="218" t="str">
        <f aca="false">IF(X44="","",X44)</f>
        <v/>
      </c>
    </row>
    <row r="45" customFormat="false" ht="13.5" hidden="false" customHeight="true" outlineLevel="0" collapsed="false">
      <c r="B45" s="209" t="n">
        <f aca="false">'Bulk Order Details'!B55</f>
        <v>42</v>
      </c>
      <c r="C45" s="209" t="e">
        <f aca="false">IF('bulk order details'!#ref!="","",'bulk order details'!#ref!&amp;" "&amp;'bulk order details'!#ref!)</f>
        <v>#VALUE!</v>
      </c>
      <c r="D45" s="210" t="str">
        <f aca="false">IF('Bulk Order Details'!J55="","",VLOOKUP(1,Price[],3))</f>
        <v/>
      </c>
      <c r="E45" s="211" t="str">
        <f aca="false">IF('Bulk Order Details'!J55="","",Summary!$D$9)</f>
        <v/>
      </c>
      <c r="F45" s="212" t="str">
        <f aca="false">IF('Bulk Order Details'!F55="","",_xlfn.xlookup('Bulk Order Details'!F55,Size[Display],Size[Price]))</f>
        <v/>
      </c>
      <c r="G45" s="212" t="str">
        <f aca="false">IF('Bulk Order Details'!G55="","",_xlfn.xlookup('Bulk Order Details'!G55,Length[Display],Length[Price]))</f>
        <v/>
      </c>
      <c r="H45" s="212" t="str">
        <f aca="false">IF('Bulk Order Details'!H55="","",_xlfn.xlookup('Bulk Order Details'!H55,Collection[Display],Collection[Price]))</f>
        <v/>
      </c>
      <c r="I45" s="212" t="str">
        <f aca="false">IF('Bulk Order Details'!I55="","",_xlfn.xlookup('Bulk Order Details'!I55,Sleeve[Display],Sleeve[Price]))</f>
        <v/>
      </c>
      <c r="J45" s="212" t="str">
        <f aca="false">IF('Bulk Order Details'!J55="","",_xlfn.xlookup('Bulk Order Details'!J55,Collar[Display],Collar[Price]))</f>
        <v/>
      </c>
      <c r="K45" s="212" t="str">
        <f aca="false">IF('Bulk Order Details'!K55="","",_xlfn.xlookup("Name",Name[Name],Name[Price]))</f>
        <v/>
      </c>
      <c r="L45" s="213" t="str">
        <f aca="false">IFERROR(IF('Bulk Order Details'!O55="","",IF(_xlfn.xlookup('Bulk Order Details'!O55,Logos[Display],Logos[Use])="Flat",_xlfn.xlookup('Bulk Order Details'!O55,Logos[Display],Logos[Flat]),ROUND(_xlfn.xlookup('Bulk Order Details'!O55,Logos[Display],Logos[Pct])*$E45,2))),"")</f>
        <v/>
      </c>
      <c r="M45" s="222" t="str">
        <f aca="false">IFERROR(IF('Bulk Order Details'!P55="","",IF(_xlfn.xlookup('Bulk Order Details'!P55,Chest[Display],Chest[Use])="Flat",_xlfn.xlookup('Bulk Order Details'!P55,Chest[Display],Chest[Flat]),ROUND(_xlfn.xlookup('Bulk Order Details'!P55,Chest[Display],Chest[Pct])*$E45,2))),"")</f>
        <v/>
      </c>
      <c r="N45" s="222" t="str">
        <f aca="false">IFERROR(IF('Bulk Order Details'!Q55="","",IF(_xlfn.xlookup('Bulk Order Details'!Q55,Chest[Display],Chest[Use])="Flat",_xlfn.xlookup('Bulk Order Details'!Q55,Chest[Display],Chest[Flat]),ROUND(_xlfn.xlookup('Bulk Order Details'!Q55,Chest[Display],Chest[Pct])*$E45,2))),"")</f>
        <v/>
      </c>
      <c r="O45" s="222" t="str">
        <f aca="false">IFERROR(IF('Bulk Order Details'!R55="","",IF(_xlfn.xlookup('Bulk Order Details'!R55,LeftSleeve[Display],LeftSleeve[Use])="Flat",_xlfn.xlookup('Bulk Order Details'!R55,LeftSleeve[Display],LeftSleeve[Flat]),ROUND(_xlfn.xlookup('Bulk Order Details'!R55,LeftSleeve[Display],LeftSleeve[Pct])*$E45,2))),"")</f>
        <v/>
      </c>
      <c r="P45" s="222" t="str">
        <f aca="false">IFERROR(IF('Bulk Order Details'!S55="","",IF(_xlfn.xlookup('Bulk Order Details'!S55,RightSleeve[Display],RightSleeve[Use])="Flat",_xlfn.xlookup('Bulk Order Details'!S55,RightSleeve[Display],RightSleeve[Flat]),ROUND(_xlfn.xlookup('Bulk Order Details'!S55,RightSleeve[Display],RightSleeve[Pct])*$E45,2))),"")</f>
        <v/>
      </c>
      <c r="Q45" s="214" t="str">
        <f aca="false">IF('Bulk Order Details'!J55="","",SUM(F45:P45))</f>
        <v/>
      </c>
      <c r="R45" s="213" t="str">
        <f aca="false">IFERROR(E45-D45,"")</f>
        <v/>
      </c>
      <c r="S45" s="215" t="str">
        <f aca="false">IFERROR(MIN(IF(Summary!$D$11="Yes",-J45,0),IF(H45&gt;0,-J45,0)),"")</f>
        <v/>
      </c>
      <c r="T45" s="212" t="str">
        <f aca="false">IFERROR(IF(Summary!$D$10="Yes",-K45,""),"")</f>
        <v/>
      </c>
      <c r="U45" s="213" t="str">
        <f aca="false">IFERROR(IF(Summary!$D$12="Yes",-L45,""),"")</f>
        <v/>
      </c>
      <c r="V45" s="216" t="str">
        <f aca="false">IF('Bulk Order Details'!J55="","",SUM(R45:U45))</f>
        <v/>
      </c>
      <c r="W45" s="217" t="str">
        <f aca="false">IF('Bulk Order Details'!J55="","",D45+Q45)</f>
        <v/>
      </c>
      <c r="X45" s="218" t="str">
        <f aca="false">IF('Bulk Order Details'!J55="","",D45+Q45+V45)</f>
        <v/>
      </c>
      <c r="Y45" s="219" t="str">
        <f aca="false">IFERROR((W45-X45)/W45,"")</f>
        <v/>
      </c>
      <c r="Z45" s="220" t="str">
        <f aca="false">IF('Bulk Order Details'!J55="","",MAX(1,'Bulk Order Details'!D55))</f>
        <v/>
      </c>
      <c r="AA45" s="217" t="str">
        <f aca="false">IF(Pricing_Details[[#This Row],[Quantity]]="","",Pricing_Details[[#This Row],[Retail Price]]*Pricing_Details[[#This Row],[Quantity]])</f>
        <v/>
      </c>
      <c r="AB45" s="217" t="str">
        <f aca="false">IF(Pricing_Details[[#This Row],[Quantity]]="","",Pricing_Details[[#This Row],[Total Discount]]*Pricing_Details[[#This Row],[Quantity]])</f>
        <v/>
      </c>
      <c r="AC45" s="221" t="str">
        <f aca="false">IFERROR(ROUND(Pricing_Details[[#This Row],[Actual Price]]*Pricing_Details[[#This Row],[Quantity]],2),"")</f>
        <v/>
      </c>
      <c r="AE45" s="179" t="str">
        <f aca="false">IF('Bulk Order Details'!J55="","",VLOOKUP('Bulk Order Details'!H55,Collection[],3)&amp;VLOOKUP('Bulk Order Details'!J55,Collar[],4)&amp;VLOOKUP('Bulk Order Details'!I55,Sleeve[],4))</f>
        <v/>
      </c>
      <c r="AF45" s="179" t="str">
        <f aca="false">IF('Bulk Order Details'!J55="","",LOOKUP('Bulk Order Details'!E55,Cut[Display],Cut[Code])&amp;LOOKUP('Bulk Order Details'!F55,#REF!,#REF!)&amp;IF('Bulk Order Details'!G55="","",LOOKUP('Bulk Order Details'!G55,Length[Display],Length[Code])))</f>
        <v/>
      </c>
      <c r="AG45" s="179" t="str">
        <f aca="false">IF('Bulk Order Details'!J55="","",IF('Bulk Order Details'!C55="","",'Bulk Order Details'!C55))</f>
        <v/>
      </c>
      <c r="AH45" s="179" t="str">
        <f aca="false">IF('Bulk Order Details'!O55="","","-"&amp;LOOKUP('Bulk Order Details'!O55,#REF!,#REF!))</f>
        <v/>
      </c>
      <c r="AI45" s="179" t="str">
        <f aca="false">IF('Bulk Order Details'!P55="","","-"&amp;LOOKUP('Bulk Order Details'!P55,#REF!,#REF!))</f>
        <v/>
      </c>
      <c r="AJ45" s="179" t="str">
        <f aca="false">IF('Bulk Order Details'!Q55="","","-"&amp;LOOKUP('Bulk Order Details'!Q55,#REF!,#REF!))</f>
        <v/>
      </c>
      <c r="AK45" s="179" t="str">
        <f aca="false">IF('Bulk Order Details'!R55="","","-"&amp;LOOKUP('Bulk Order Details'!R55,#REF!,#REF!))</f>
        <v/>
      </c>
      <c r="AL45" s="179" t="str">
        <f aca="false">IF('Bulk Order Details'!S55="","","-"&amp;LOOKUP('Bulk Order Details'!S55,#REF!,#REF!))</f>
        <v/>
      </c>
      <c r="AM45" s="179" t="str">
        <f aca="false">IF(_xlfn.CONCAT(AH45:AL45)="","","Lo"&amp;_xlfn.CONCAT(AH45:AL45))</f>
        <v/>
      </c>
      <c r="AN45" s="179" t="str">
        <f aca="false">IF('Bulk Order Details'!K55="","","Na-"&amp;'Bulk Order Details'!K55)</f>
        <v/>
      </c>
      <c r="AO45" s="179" t="str">
        <f aca="false">IF('Bulk Order Details'!N55="","","Fo-"&amp;'Bulk Order Details'!N55)</f>
        <v/>
      </c>
      <c r="AP45" s="179" t="str">
        <f aca="false">IF(AE45="","",AE45&amp;"_"&amp;AF45&amp;"_"&amp;AG45&amp;IF(AM45="","","_"&amp;AM45)&amp;IF(AN45="","","_"&amp;AN45)&amp;IF(AO45="","","_"&amp;AO45))</f>
        <v/>
      </c>
      <c r="AQ45" s="218" t="str">
        <f aca="false">IF(X45="","",X45)</f>
        <v/>
      </c>
    </row>
    <row r="46" customFormat="false" ht="13.5" hidden="false" customHeight="true" outlineLevel="0" collapsed="false">
      <c r="B46" s="209" t="n">
        <f aca="false">'Bulk Order Details'!B56</f>
        <v>43</v>
      </c>
      <c r="C46" s="209" t="e">
        <f aca="false">IF('bulk order details'!#ref!="","",'bulk order details'!#ref!&amp;" "&amp;'bulk order details'!#ref!)</f>
        <v>#VALUE!</v>
      </c>
      <c r="D46" s="210" t="str">
        <f aca="false">IF('Bulk Order Details'!J56="","",VLOOKUP(1,Price[],3))</f>
        <v/>
      </c>
      <c r="E46" s="211" t="str">
        <f aca="false">IF('Bulk Order Details'!J56="","",Summary!$D$9)</f>
        <v/>
      </c>
      <c r="F46" s="212" t="str">
        <f aca="false">IF('Bulk Order Details'!F56="","",_xlfn.xlookup('Bulk Order Details'!F56,Size[Display],Size[Price]))</f>
        <v/>
      </c>
      <c r="G46" s="212" t="str">
        <f aca="false">IF('Bulk Order Details'!G56="","",_xlfn.xlookup('Bulk Order Details'!G56,Length[Display],Length[Price]))</f>
        <v/>
      </c>
      <c r="H46" s="212" t="str">
        <f aca="false">IF('Bulk Order Details'!H56="","",_xlfn.xlookup('Bulk Order Details'!H56,Collection[Display],Collection[Price]))</f>
        <v/>
      </c>
      <c r="I46" s="212" t="str">
        <f aca="false">IF('Bulk Order Details'!I56="","",_xlfn.xlookup('Bulk Order Details'!I56,Sleeve[Display],Sleeve[Price]))</f>
        <v/>
      </c>
      <c r="J46" s="212" t="str">
        <f aca="false">IF('Bulk Order Details'!J56="","",_xlfn.xlookup('Bulk Order Details'!J56,Collar[Display],Collar[Price]))</f>
        <v/>
      </c>
      <c r="K46" s="212" t="str">
        <f aca="false">IF('Bulk Order Details'!K56="","",_xlfn.xlookup("Name",Name[Name],Name[Price]))</f>
        <v/>
      </c>
      <c r="L46" s="213" t="str">
        <f aca="false">IFERROR(IF('Bulk Order Details'!O56="","",IF(_xlfn.xlookup('Bulk Order Details'!O56,Logos[Display],Logos[Use])="Flat",_xlfn.xlookup('Bulk Order Details'!O56,Logos[Display],Logos[Flat]),ROUND(_xlfn.xlookup('Bulk Order Details'!O56,Logos[Display],Logos[Pct])*$E46,2))),"")</f>
        <v/>
      </c>
      <c r="M46" s="222" t="str">
        <f aca="false">IFERROR(IF('Bulk Order Details'!P56="","",IF(_xlfn.xlookup('Bulk Order Details'!P56,Chest[Display],Chest[Use])="Flat",_xlfn.xlookup('Bulk Order Details'!P56,Chest[Display],Chest[Flat]),ROUND(_xlfn.xlookup('Bulk Order Details'!P56,Chest[Display],Chest[Pct])*$E46,2))),"")</f>
        <v/>
      </c>
      <c r="N46" s="222" t="str">
        <f aca="false">IFERROR(IF('Bulk Order Details'!Q56="","",IF(_xlfn.xlookup('Bulk Order Details'!Q56,Chest[Display],Chest[Use])="Flat",_xlfn.xlookup('Bulk Order Details'!Q56,Chest[Display],Chest[Flat]),ROUND(_xlfn.xlookup('Bulk Order Details'!Q56,Chest[Display],Chest[Pct])*$E46,2))),"")</f>
        <v/>
      </c>
      <c r="O46" s="222" t="str">
        <f aca="false">IFERROR(IF('Bulk Order Details'!R56="","",IF(_xlfn.xlookup('Bulk Order Details'!R56,LeftSleeve[Display],LeftSleeve[Use])="Flat",_xlfn.xlookup('Bulk Order Details'!R56,LeftSleeve[Display],LeftSleeve[Flat]),ROUND(_xlfn.xlookup('Bulk Order Details'!R56,LeftSleeve[Display],LeftSleeve[Pct])*$E46,2))),"")</f>
        <v/>
      </c>
      <c r="P46" s="222" t="str">
        <f aca="false">IFERROR(IF('Bulk Order Details'!S56="","",IF(_xlfn.xlookup('Bulk Order Details'!S56,RightSleeve[Display],RightSleeve[Use])="Flat",_xlfn.xlookup('Bulk Order Details'!S56,RightSleeve[Display],RightSleeve[Flat]),ROUND(_xlfn.xlookup('Bulk Order Details'!S56,RightSleeve[Display],RightSleeve[Pct])*$E46,2))),"")</f>
        <v/>
      </c>
      <c r="Q46" s="214" t="str">
        <f aca="false">IF('Bulk Order Details'!J56="","",SUM(F46:P46))</f>
        <v/>
      </c>
      <c r="R46" s="213" t="str">
        <f aca="false">IFERROR(E46-D46,"")</f>
        <v/>
      </c>
      <c r="S46" s="215" t="str">
        <f aca="false">IFERROR(MIN(IF(Summary!$D$11="Yes",-J46,0),IF(H46&gt;0,-J46,0)),"")</f>
        <v/>
      </c>
      <c r="T46" s="212" t="str">
        <f aca="false">IFERROR(IF(Summary!$D$10="Yes",-K46,""),"")</f>
        <v/>
      </c>
      <c r="U46" s="213" t="str">
        <f aca="false">IFERROR(IF(Summary!$D$12="Yes",-L46,""),"")</f>
        <v/>
      </c>
      <c r="V46" s="216" t="str">
        <f aca="false">IF('Bulk Order Details'!J56="","",SUM(R46:U46))</f>
        <v/>
      </c>
      <c r="W46" s="217" t="str">
        <f aca="false">IF('Bulk Order Details'!J56="","",D46+Q46)</f>
        <v/>
      </c>
      <c r="X46" s="218" t="str">
        <f aca="false">IF('Bulk Order Details'!J56="","",D46+Q46+V46)</f>
        <v/>
      </c>
      <c r="Y46" s="219" t="str">
        <f aca="false">IFERROR((W46-X46)/W46,"")</f>
        <v/>
      </c>
      <c r="Z46" s="220" t="str">
        <f aca="false">IF('Bulk Order Details'!J56="","",MAX(1,'Bulk Order Details'!D56))</f>
        <v/>
      </c>
      <c r="AA46" s="217" t="str">
        <f aca="false">IF(Pricing_Details[[#This Row],[Quantity]]="","",Pricing_Details[[#This Row],[Retail Price]]*Pricing_Details[[#This Row],[Quantity]])</f>
        <v/>
      </c>
      <c r="AB46" s="217" t="str">
        <f aca="false">IF(Pricing_Details[[#This Row],[Quantity]]="","",Pricing_Details[[#This Row],[Total Discount]]*Pricing_Details[[#This Row],[Quantity]])</f>
        <v/>
      </c>
      <c r="AC46" s="221" t="str">
        <f aca="false">IFERROR(ROUND(Pricing_Details[[#This Row],[Actual Price]]*Pricing_Details[[#This Row],[Quantity]],2),"")</f>
        <v/>
      </c>
      <c r="AE46" s="179" t="str">
        <f aca="false">IF('Bulk Order Details'!J56="","",VLOOKUP('Bulk Order Details'!H56,Collection[],3)&amp;VLOOKUP('Bulk Order Details'!J56,Collar[],4)&amp;VLOOKUP('Bulk Order Details'!I56,Sleeve[],4))</f>
        <v/>
      </c>
      <c r="AF46" s="179" t="str">
        <f aca="false">IF('Bulk Order Details'!J56="","",LOOKUP('Bulk Order Details'!E56,Cut[Display],Cut[Code])&amp;LOOKUP('Bulk Order Details'!F56,#REF!,#REF!)&amp;IF('Bulk Order Details'!G56="","",LOOKUP('Bulk Order Details'!G56,Length[Display],Length[Code])))</f>
        <v/>
      </c>
      <c r="AG46" s="179" t="str">
        <f aca="false">IF('Bulk Order Details'!J56="","",IF('Bulk Order Details'!C56="","",'Bulk Order Details'!C56))</f>
        <v/>
      </c>
      <c r="AH46" s="179" t="str">
        <f aca="false">IF('Bulk Order Details'!O56="","","-"&amp;LOOKUP('Bulk Order Details'!O56,#REF!,#REF!))</f>
        <v/>
      </c>
      <c r="AI46" s="179" t="str">
        <f aca="false">IF('Bulk Order Details'!P56="","","-"&amp;LOOKUP('Bulk Order Details'!P56,#REF!,#REF!))</f>
        <v/>
      </c>
      <c r="AJ46" s="179" t="str">
        <f aca="false">IF('Bulk Order Details'!Q56="","","-"&amp;LOOKUP('Bulk Order Details'!Q56,#REF!,#REF!))</f>
        <v/>
      </c>
      <c r="AK46" s="179" t="str">
        <f aca="false">IF('Bulk Order Details'!R56="","","-"&amp;LOOKUP('Bulk Order Details'!R56,#REF!,#REF!))</f>
        <v/>
      </c>
      <c r="AL46" s="179" t="str">
        <f aca="false">IF('Bulk Order Details'!S56="","","-"&amp;LOOKUP('Bulk Order Details'!S56,#REF!,#REF!))</f>
        <v/>
      </c>
      <c r="AM46" s="179" t="str">
        <f aca="false">IF(_xlfn.CONCAT(AH46:AL46)="","","Lo"&amp;_xlfn.CONCAT(AH46:AL46))</f>
        <v/>
      </c>
      <c r="AN46" s="179" t="str">
        <f aca="false">IF('Bulk Order Details'!K56="","","Na-"&amp;'Bulk Order Details'!K56)</f>
        <v/>
      </c>
      <c r="AO46" s="179" t="str">
        <f aca="false">IF('Bulk Order Details'!N56="","","Fo-"&amp;'Bulk Order Details'!N56)</f>
        <v/>
      </c>
      <c r="AP46" s="179" t="str">
        <f aca="false">IF(AE46="","",AE46&amp;"_"&amp;AF46&amp;"_"&amp;AG46&amp;IF(AM46="","","_"&amp;AM46)&amp;IF(AN46="","","_"&amp;AN46)&amp;IF(AO46="","","_"&amp;AO46))</f>
        <v/>
      </c>
      <c r="AQ46" s="218" t="str">
        <f aca="false">IF(X46="","",X46)</f>
        <v/>
      </c>
    </row>
    <row r="47" customFormat="false" ht="13.5" hidden="false" customHeight="true" outlineLevel="0" collapsed="false">
      <c r="B47" s="209" t="n">
        <f aca="false">'Bulk Order Details'!B57</f>
        <v>44</v>
      </c>
      <c r="C47" s="209" t="e">
        <f aca="false">IF('bulk order details'!#ref!="","",'bulk order details'!#ref!&amp;" "&amp;'bulk order details'!#ref!)</f>
        <v>#VALUE!</v>
      </c>
      <c r="D47" s="210" t="str">
        <f aca="false">IF('Bulk Order Details'!J57="","",VLOOKUP(1,Price[],3))</f>
        <v/>
      </c>
      <c r="E47" s="211" t="str">
        <f aca="false">IF('Bulk Order Details'!J57="","",Summary!$D$9)</f>
        <v/>
      </c>
      <c r="F47" s="212" t="str">
        <f aca="false">IF('Bulk Order Details'!F57="","",_xlfn.xlookup('Bulk Order Details'!F57,Size[Display],Size[Price]))</f>
        <v/>
      </c>
      <c r="G47" s="212" t="str">
        <f aca="false">IF('Bulk Order Details'!G57="","",_xlfn.xlookup('Bulk Order Details'!G57,Length[Display],Length[Price]))</f>
        <v/>
      </c>
      <c r="H47" s="212" t="str">
        <f aca="false">IF('Bulk Order Details'!H57="","",_xlfn.xlookup('Bulk Order Details'!H57,Collection[Display],Collection[Price]))</f>
        <v/>
      </c>
      <c r="I47" s="212" t="str">
        <f aca="false">IF('Bulk Order Details'!I57="","",_xlfn.xlookup('Bulk Order Details'!I57,Sleeve[Display],Sleeve[Price]))</f>
        <v/>
      </c>
      <c r="J47" s="212" t="str">
        <f aca="false">IF('Bulk Order Details'!J57="","",_xlfn.xlookup('Bulk Order Details'!J57,Collar[Display],Collar[Price]))</f>
        <v/>
      </c>
      <c r="K47" s="212" t="str">
        <f aca="false">IF('Bulk Order Details'!K57="","",_xlfn.xlookup("Name",Name[Name],Name[Price]))</f>
        <v/>
      </c>
      <c r="L47" s="213" t="str">
        <f aca="false">IFERROR(IF('Bulk Order Details'!O57="","",IF(_xlfn.xlookup('Bulk Order Details'!O57,Logos[Display],Logos[Use])="Flat",_xlfn.xlookup('Bulk Order Details'!O57,Logos[Display],Logos[Flat]),ROUND(_xlfn.xlookup('Bulk Order Details'!O57,Logos[Display],Logos[Pct])*$E47,2))),"")</f>
        <v/>
      </c>
      <c r="M47" s="222" t="str">
        <f aca="false">IFERROR(IF('Bulk Order Details'!P57="","",IF(_xlfn.xlookup('Bulk Order Details'!P57,Chest[Display],Chest[Use])="Flat",_xlfn.xlookup('Bulk Order Details'!P57,Chest[Display],Chest[Flat]),ROUND(_xlfn.xlookup('Bulk Order Details'!P57,Chest[Display],Chest[Pct])*$E47,2))),"")</f>
        <v/>
      </c>
      <c r="N47" s="222" t="str">
        <f aca="false">IFERROR(IF('Bulk Order Details'!Q57="","",IF(_xlfn.xlookup('Bulk Order Details'!Q57,Chest[Display],Chest[Use])="Flat",_xlfn.xlookup('Bulk Order Details'!Q57,Chest[Display],Chest[Flat]),ROUND(_xlfn.xlookup('Bulk Order Details'!Q57,Chest[Display],Chest[Pct])*$E47,2))),"")</f>
        <v/>
      </c>
      <c r="O47" s="222" t="str">
        <f aca="false">IFERROR(IF('Bulk Order Details'!R57="","",IF(_xlfn.xlookup('Bulk Order Details'!R57,LeftSleeve[Display],LeftSleeve[Use])="Flat",_xlfn.xlookup('Bulk Order Details'!R57,LeftSleeve[Display],LeftSleeve[Flat]),ROUND(_xlfn.xlookup('Bulk Order Details'!R57,LeftSleeve[Display],LeftSleeve[Pct])*$E47,2))),"")</f>
        <v/>
      </c>
      <c r="P47" s="222" t="str">
        <f aca="false">IFERROR(IF('Bulk Order Details'!S57="","",IF(_xlfn.xlookup('Bulk Order Details'!S57,RightSleeve[Display],RightSleeve[Use])="Flat",_xlfn.xlookup('Bulk Order Details'!S57,RightSleeve[Display],RightSleeve[Flat]),ROUND(_xlfn.xlookup('Bulk Order Details'!S57,RightSleeve[Display],RightSleeve[Pct])*$E47,2))),"")</f>
        <v/>
      </c>
      <c r="Q47" s="214" t="str">
        <f aca="false">IF('Bulk Order Details'!J57="","",SUM(F47:P47))</f>
        <v/>
      </c>
      <c r="R47" s="213" t="str">
        <f aca="false">IFERROR(E47-D47,"")</f>
        <v/>
      </c>
      <c r="S47" s="215" t="str">
        <f aca="false">IFERROR(MIN(IF(Summary!$D$11="Yes",-J47,0),IF(H47&gt;0,-J47,0)),"")</f>
        <v/>
      </c>
      <c r="T47" s="212" t="str">
        <f aca="false">IFERROR(IF(Summary!$D$10="Yes",-K47,""),"")</f>
        <v/>
      </c>
      <c r="U47" s="213" t="str">
        <f aca="false">IFERROR(IF(Summary!$D$12="Yes",-L47,""),"")</f>
        <v/>
      </c>
      <c r="V47" s="216" t="str">
        <f aca="false">IF('Bulk Order Details'!J57="","",SUM(R47:U47))</f>
        <v/>
      </c>
      <c r="W47" s="217" t="str">
        <f aca="false">IF('Bulk Order Details'!J57="","",D47+Q47)</f>
        <v/>
      </c>
      <c r="X47" s="218" t="str">
        <f aca="false">IF('Bulk Order Details'!J57="","",D47+Q47+V47)</f>
        <v/>
      </c>
      <c r="Y47" s="219" t="str">
        <f aca="false">IFERROR((W47-X47)/W47,"")</f>
        <v/>
      </c>
      <c r="Z47" s="220" t="str">
        <f aca="false">IF('Bulk Order Details'!J57="","",MAX(1,'Bulk Order Details'!D57))</f>
        <v/>
      </c>
      <c r="AA47" s="217" t="str">
        <f aca="false">IF(Pricing_Details[[#This Row],[Quantity]]="","",Pricing_Details[[#This Row],[Retail Price]]*Pricing_Details[[#This Row],[Quantity]])</f>
        <v/>
      </c>
      <c r="AB47" s="217" t="str">
        <f aca="false">IF(Pricing_Details[[#This Row],[Quantity]]="","",Pricing_Details[[#This Row],[Total Discount]]*Pricing_Details[[#This Row],[Quantity]])</f>
        <v/>
      </c>
      <c r="AC47" s="221" t="str">
        <f aca="false">IFERROR(ROUND(Pricing_Details[[#This Row],[Actual Price]]*Pricing_Details[[#This Row],[Quantity]],2),"")</f>
        <v/>
      </c>
      <c r="AE47" s="179" t="str">
        <f aca="false">IF('Bulk Order Details'!J57="","",VLOOKUP('Bulk Order Details'!H57,Collection[],3)&amp;VLOOKUP('Bulk Order Details'!J57,Collar[],4)&amp;VLOOKUP('Bulk Order Details'!I57,Sleeve[],4))</f>
        <v/>
      </c>
      <c r="AF47" s="179" t="str">
        <f aca="false">IF('Bulk Order Details'!J57="","",LOOKUP('Bulk Order Details'!E57,Cut[Display],Cut[Code])&amp;LOOKUP('Bulk Order Details'!F57,#REF!,#REF!)&amp;IF('Bulk Order Details'!G57="","",LOOKUP('Bulk Order Details'!G57,Length[Display],Length[Code])))</f>
        <v/>
      </c>
      <c r="AG47" s="179" t="str">
        <f aca="false">IF('Bulk Order Details'!J57="","",IF('Bulk Order Details'!C57="","",'Bulk Order Details'!C57))</f>
        <v/>
      </c>
      <c r="AH47" s="179" t="str">
        <f aca="false">IF('Bulk Order Details'!O57="","","-"&amp;LOOKUP('Bulk Order Details'!O57,#REF!,#REF!))</f>
        <v/>
      </c>
      <c r="AI47" s="179" t="str">
        <f aca="false">IF('Bulk Order Details'!P57="","","-"&amp;LOOKUP('Bulk Order Details'!P57,#REF!,#REF!))</f>
        <v/>
      </c>
      <c r="AJ47" s="179" t="str">
        <f aca="false">IF('Bulk Order Details'!Q57="","","-"&amp;LOOKUP('Bulk Order Details'!Q57,#REF!,#REF!))</f>
        <v/>
      </c>
      <c r="AK47" s="179" t="str">
        <f aca="false">IF('Bulk Order Details'!R57="","","-"&amp;LOOKUP('Bulk Order Details'!R57,#REF!,#REF!))</f>
        <v/>
      </c>
      <c r="AL47" s="179" t="str">
        <f aca="false">IF('Bulk Order Details'!S57="","","-"&amp;LOOKUP('Bulk Order Details'!S57,#REF!,#REF!))</f>
        <v/>
      </c>
      <c r="AM47" s="179" t="str">
        <f aca="false">IF(_xlfn.CONCAT(AH47:AL47)="","","Lo"&amp;_xlfn.CONCAT(AH47:AL47))</f>
        <v/>
      </c>
      <c r="AN47" s="179" t="str">
        <f aca="false">IF('Bulk Order Details'!K57="","","Na-"&amp;'Bulk Order Details'!K57)</f>
        <v/>
      </c>
      <c r="AO47" s="179" t="str">
        <f aca="false">IF('Bulk Order Details'!N57="","","Fo-"&amp;'Bulk Order Details'!N57)</f>
        <v/>
      </c>
      <c r="AP47" s="179" t="str">
        <f aca="false">IF(AE47="","",AE47&amp;"_"&amp;AF47&amp;"_"&amp;AG47&amp;IF(AM47="","","_"&amp;AM47)&amp;IF(AN47="","","_"&amp;AN47)&amp;IF(AO47="","","_"&amp;AO47))</f>
        <v/>
      </c>
      <c r="AQ47" s="218" t="str">
        <f aca="false">IF(X47="","",X47)</f>
        <v/>
      </c>
    </row>
    <row r="48" customFormat="false" ht="13.5" hidden="false" customHeight="true" outlineLevel="0" collapsed="false">
      <c r="B48" s="209" t="n">
        <f aca="false">'Bulk Order Details'!B58</f>
        <v>45</v>
      </c>
      <c r="C48" s="209" t="e">
        <f aca="false">IF('bulk order details'!#ref!="","",'bulk order details'!#ref!&amp;" "&amp;'bulk order details'!#ref!)</f>
        <v>#VALUE!</v>
      </c>
      <c r="D48" s="210" t="str">
        <f aca="false">IF('Bulk Order Details'!J58="","",VLOOKUP(1,Price[],3))</f>
        <v/>
      </c>
      <c r="E48" s="211" t="str">
        <f aca="false">IF('Bulk Order Details'!J58="","",Summary!$D$9)</f>
        <v/>
      </c>
      <c r="F48" s="212" t="str">
        <f aca="false">IF('Bulk Order Details'!F58="","",_xlfn.xlookup('Bulk Order Details'!F58,Size[Display],Size[Price]))</f>
        <v/>
      </c>
      <c r="G48" s="212" t="str">
        <f aca="false">IF('Bulk Order Details'!G58="","",_xlfn.xlookup('Bulk Order Details'!G58,Length[Display],Length[Price]))</f>
        <v/>
      </c>
      <c r="H48" s="212" t="str">
        <f aca="false">IF('Bulk Order Details'!H58="","",_xlfn.xlookup('Bulk Order Details'!H58,Collection[Display],Collection[Price]))</f>
        <v/>
      </c>
      <c r="I48" s="212" t="str">
        <f aca="false">IF('Bulk Order Details'!I58="","",_xlfn.xlookup('Bulk Order Details'!I58,Sleeve[Display],Sleeve[Price]))</f>
        <v/>
      </c>
      <c r="J48" s="212" t="str">
        <f aca="false">IF('Bulk Order Details'!J58="","",_xlfn.xlookup('Bulk Order Details'!J58,Collar[Display],Collar[Price]))</f>
        <v/>
      </c>
      <c r="K48" s="212" t="str">
        <f aca="false">IF('Bulk Order Details'!K58="","",_xlfn.xlookup("Name",Name[Name],Name[Price]))</f>
        <v/>
      </c>
      <c r="L48" s="213" t="str">
        <f aca="false">IFERROR(IF('Bulk Order Details'!O58="","",IF(_xlfn.xlookup('Bulk Order Details'!O58,Logos[Display],Logos[Use])="Flat",_xlfn.xlookup('Bulk Order Details'!O58,Logos[Display],Logos[Flat]),ROUND(_xlfn.xlookup('Bulk Order Details'!O58,Logos[Display],Logos[Pct])*$E48,2))),"")</f>
        <v/>
      </c>
      <c r="M48" s="222" t="str">
        <f aca="false">IFERROR(IF('Bulk Order Details'!P58="","",IF(_xlfn.xlookup('Bulk Order Details'!P58,Chest[Display],Chest[Use])="Flat",_xlfn.xlookup('Bulk Order Details'!P58,Chest[Display],Chest[Flat]),ROUND(_xlfn.xlookup('Bulk Order Details'!P58,Chest[Display],Chest[Pct])*$E48,2))),"")</f>
        <v/>
      </c>
      <c r="N48" s="222" t="str">
        <f aca="false">IFERROR(IF('Bulk Order Details'!Q58="","",IF(_xlfn.xlookup('Bulk Order Details'!Q58,Chest[Display],Chest[Use])="Flat",_xlfn.xlookup('Bulk Order Details'!Q58,Chest[Display],Chest[Flat]),ROUND(_xlfn.xlookup('Bulk Order Details'!Q58,Chest[Display],Chest[Pct])*$E48,2))),"")</f>
        <v/>
      </c>
      <c r="O48" s="222" t="str">
        <f aca="false">IFERROR(IF('Bulk Order Details'!R58="","",IF(_xlfn.xlookup('Bulk Order Details'!R58,LeftSleeve[Display],LeftSleeve[Use])="Flat",_xlfn.xlookup('Bulk Order Details'!R58,LeftSleeve[Display],LeftSleeve[Flat]),ROUND(_xlfn.xlookup('Bulk Order Details'!R58,LeftSleeve[Display],LeftSleeve[Pct])*$E48,2))),"")</f>
        <v/>
      </c>
      <c r="P48" s="222" t="str">
        <f aca="false">IFERROR(IF('Bulk Order Details'!S58="","",IF(_xlfn.xlookup('Bulk Order Details'!S58,RightSleeve[Display],RightSleeve[Use])="Flat",_xlfn.xlookup('Bulk Order Details'!S58,RightSleeve[Display],RightSleeve[Flat]),ROUND(_xlfn.xlookup('Bulk Order Details'!S58,RightSleeve[Display],RightSleeve[Pct])*$E48,2))),"")</f>
        <v/>
      </c>
      <c r="Q48" s="214" t="str">
        <f aca="false">IF('Bulk Order Details'!J58="","",SUM(F48:P48))</f>
        <v/>
      </c>
      <c r="R48" s="213" t="str">
        <f aca="false">IFERROR(E48-D48,"")</f>
        <v/>
      </c>
      <c r="S48" s="215" t="str">
        <f aca="false">IFERROR(MIN(IF(Summary!$D$11="Yes",-J48,0),IF(H48&gt;0,-J48,0)),"")</f>
        <v/>
      </c>
      <c r="T48" s="212" t="str">
        <f aca="false">IFERROR(IF(Summary!$D$10="Yes",-K48,""),"")</f>
        <v/>
      </c>
      <c r="U48" s="213" t="str">
        <f aca="false">IFERROR(IF(Summary!$D$12="Yes",-L48,""),"")</f>
        <v/>
      </c>
      <c r="V48" s="216" t="str">
        <f aca="false">IF('Bulk Order Details'!J58="","",SUM(R48:U48))</f>
        <v/>
      </c>
      <c r="W48" s="217" t="str">
        <f aca="false">IF('Bulk Order Details'!J58="","",D48+Q48)</f>
        <v/>
      </c>
      <c r="X48" s="218" t="str">
        <f aca="false">IF('Bulk Order Details'!J58="","",D48+Q48+V48)</f>
        <v/>
      </c>
      <c r="Y48" s="219" t="str">
        <f aca="false">IFERROR((W48-X48)/W48,"")</f>
        <v/>
      </c>
      <c r="Z48" s="220" t="str">
        <f aca="false">IF('Bulk Order Details'!J58="","",MAX(1,'Bulk Order Details'!D58))</f>
        <v/>
      </c>
      <c r="AA48" s="217" t="str">
        <f aca="false">IF(Pricing_Details[[#This Row],[Quantity]]="","",Pricing_Details[[#This Row],[Retail Price]]*Pricing_Details[[#This Row],[Quantity]])</f>
        <v/>
      </c>
      <c r="AB48" s="217" t="str">
        <f aca="false">IF(Pricing_Details[[#This Row],[Quantity]]="","",Pricing_Details[[#This Row],[Total Discount]]*Pricing_Details[[#This Row],[Quantity]])</f>
        <v/>
      </c>
      <c r="AC48" s="221" t="str">
        <f aca="false">IFERROR(ROUND(Pricing_Details[[#This Row],[Actual Price]]*Pricing_Details[[#This Row],[Quantity]],2),"")</f>
        <v/>
      </c>
      <c r="AE48" s="179" t="str">
        <f aca="false">IF('Bulk Order Details'!J58="","",VLOOKUP('Bulk Order Details'!H58,Collection[],3)&amp;VLOOKUP('Bulk Order Details'!J58,Collar[],4)&amp;VLOOKUP('Bulk Order Details'!I58,Sleeve[],4))</f>
        <v/>
      </c>
      <c r="AF48" s="179" t="str">
        <f aca="false">IF('Bulk Order Details'!J58="","",LOOKUP('Bulk Order Details'!E58,Cut[Display],Cut[Code])&amp;LOOKUP('Bulk Order Details'!F58,#REF!,#REF!)&amp;IF('Bulk Order Details'!G58="","",LOOKUP('Bulk Order Details'!G58,Length[Display],Length[Code])))</f>
        <v/>
      </c>
      <c r="AG48" s="179" t="str">
        <f aca="false">IF('Bulk Order Details'!J58="","",IF('Bulk Order Details'!C58="","",'Bulk Order Details'!C58))</f>
        <v/>
      </c>
      <c r="AH48" s="179" t="str">
        <f aca="false">IF('Bulk Order Details'!O58="","","-"&amp;LOOKUP('Bulk Order Details'!O58,#REF!,#REF!))</f>
        <v/>
      </c>
      <c r="AI48" s="179" t="str">
        <f aca="false">IF('Bulk Order Details'!P58="","","-"&amp;LOOKUP('Bulk Order Details'!P58,#REF!,#REF!))</f>
        <v/>
      </c>
      <c r="AJ48" s="179" t="str">
        <f aca="false">IF('Bulk Order Details'!Q58="","","-"&amp;LOOKUP('Bulk Order Details'!Q58,#REF!,#REF!))</f>
        <v/>
      </c>
      <c r="AK48" s="179" t="str">
        <f aca="false">IF('Bulk Order Details'!R58="","","-"&amp;LOOKUP('Bulk Order Details'!R58,#REF!,#REF!))</f>
        <v/>
      </c>
      <c r="AL48" s="179" t="str">
        <f aca="false">IF('Bulk Order Details'!S58="","","-"&amp;LOOKUP('Bulk Order Details'!S58,#REF!,#REF!))</f>
        <v/>
      </c>
      <c r="AM48" s="179" t="str">
        <f aca="false">IF(_xlfn.CONCAT(AH48:AL48)="","","Lo"&amp;_xlfn.CONCAT(AH48:AL48))</f>
        <v/>
      </c>
      <c r="AN48" s="179" t="str">
        <f aca="false">IF('Bulk Order Details'!K58="","","Na-"&amp;'Bulk Order Details'!K58)</f>
        <v/>
      </c>
      <c r="AO48" s="179" t="str">
        <f aca="false">IF('Bulk Order Details'!N58="","","Fo-"&amp;'Bulk Order Details'!N58)</f>
        <v/>
      </c>
      <c r="AP48" s="179" t="str">
        <f aca="false">IF(AE48="","",AE48&amp;"_"&amp;AF48&amp;"_"&amp;AG48&amp;IF(AM48="","","_"&amp;AM48)&amp;IF(AN48="","","_"&amp;AN48)&amp;IF(AO48="","","_"&amp;AO48))</f>
        <v/>
      </c>
      <c r="AQ48" s="218" t="str">
        <f aca="false">IF(X48="","",X48)</f>
        <v/>
      </c>
    </row>
    <row r="49" customFormat="false" ht="13.5" hidden="false" customHeight="true" outlineLevel="0" collapsed="false">
      <c r="B49" s="209" t="n">
        <f aca="false">'Bulk Order Details'!B59</f>
        <v>46</v>
      </c>
      <c r="C49" s="209" t="e">
        <f aca="false">IF('bulk order details'!#ref!="","",'bulk order details'!#ref!&amp;" "&amp;'bulk order details'!#ref!)</f>
        <v>#VALUE!</v>
      </c>
      <c r="D49" s="210" t="str">
        <f aca="false">IF('Bulk Order Details'!J59="","",VLOOKUP(1,Price[],3))</f>
        <v/>
      </c>
      <c r="E49" s="211" t="str">
        <f aca="false">IF('Bulk Order Details'!J59="","",Summary!$D$9)</f>
        <v/>
      </c>
      <c r="F49" s="212" t="str">
        <f aca="false">IF('Bulk Order Details'!F59="","",_xlfn.xlookup('Bulk Order Details'!F59,Size[Display],Size[Price]))</f>
        <v/>
      </c>
      <c r="G49" s="212" t="str">
        <f aca="false">IF('Bulk Order Details'!G59="","",_xlfn.xlookup('Bulk Order Details'!G59,Length[Display],Length[Price]))</f>
        <v/>
      </c>
      <c r="H49" s="212" t="str">
        <f aca="false">IF('Bulk Order Details'!H59="","",_xlfn.xlookup('Bulk Order Details'!H59,Collection[Display],Collection[Price]))</f>
        <v/>
      </c>
      <c r="I49" s="212" t="str">
        <f aca="false">IF('Bulk Order Details'!I59="","",_xlfn.xlookup('Bulk Order Details'!I59,Sleeve[Display],Sleeve[Price]))</f>
        <v/>
      </c>
      <c r="J49" s="212" t="str">
        <f aca="false">IF('Bulk Order Details'!J59="","",_xlfn.xlookup('Bulk Order Details'!J59,Collar[Display],Collar[Price]))</f>
        <v/>
      </c>
      <c r="K49" s="212" t="str">
        <f aca="false">IF('Bulk Order Details'!K59="","",_xlfn.xlookup("Name",Name[Name],Name[Price]))</f>
        <v/>
      </c>
      <c r="L49" s="213" t="str">
        <f aca="false">IFERROR(IF('Bulk Order Details'!O59="","",IF(_xlfn.xlookup('Bulk Order Details'!O59,Logos[Display],Logos[Use])="Flat",_xlfn.xlookup('Bulk Order Details'!O59,Logos[Display],Logos[Flat]),ROUND(_xlfn.xlookup('Bulk Order Details'!O59,Logos[Display],Logos[Pct])*$E49,2))),"")</f>
        <v/>
      </c>
      <c r="M49" s="222" t="str">
        <f aca="false">IFERROR(IF('Bulk Order Details'!P59="","",IF(_xlfn.xlookup('Bulk Order Details'!P59,Chest[Display],Chest[Use])="Flat",_xlfn.xlookup('Bulk Order Details'!P59,Chest[Display],Chest[Flat]),ROUND(_xlfn.xlookup('Bulk Order Details'!P59,Chest[Display],Chest[Pct])*$E49,2))),"")</f>
        <v/>
      </c>
      <c r="N49" s="222" t="str">
        <f aca="false">IFERROR(IF('Bulk Order Details'!Q59="","",IF(_xlfn.xlookup('Bulk Order Details'!Q59,Chest[Display],Chest[Use])="Flat",_xlfn.xlookup('Bulk Order Details'!Q59,Chest[Display],Chest[Flat]),ROUND(_xlfn.xlookup('Bulk Order Details'!Q59,Chest[Display],Chest[Pct])*$E49,2))),"")</f>
        <v/>
      </c>
      <c r="O49" s="222" t="str">
        <f aca="false">IFERROR(IF('Bulk Order Details'!R59="","",IF(_xlfn.xlookup('Bulk Order Details'!R59,LeftSleeve[Display],LeftSleeve[Use])="Flat",_xlfn.xlookup('Bulk Order Details'!R59,LeftSleeve[Display],LeftSleeve[Flat]),ROUND(_xlfn.xlookup('Bulk Order Details'!R59,LeftSleeve[Display],LeftSleeve[Pct])*$E49,2))),"")</f>
        <v/>
      </c>
      <c r="P49" s="222" t="str">
        <f aca="false">IFERROR(IF('Bulk Order Details'!S59="","",IF(_xlfn.xlookup('Bulk Order Details'!S59,RightSleeve[Display],RightSleeve[Use])="Flat",_xlfn.xlookup('Bulk Order Details'!S59,RightSleeve[Display],RightSleeve[Flat]),ROUND(_xlfn.xlookup('Bulk Order Details'!S59,RightSleeve[Display],RightSleeve[Pct])*$E49,2))),"")</f>
        <v/>
      </c>
      <c r="Q49" s="214" t="str">
        <f aca="false">IF('Bulk Order Details'!J59="","",SUM(F49:P49))</f>
        <v/>
      </c>
      <c r="R49" s="213" t="str">
        <f aca="false">IFERROR(E49-D49,"")</f>
        <v/>
      </c>
      <c r="S49" s="215" t="str">
        <f aca="false">IFERROR(MIN(IF(Summary!$D$11="Yes",-J49,0),IF(H49&gt;0,-J49,0)),"")</f>
        <v/>
      </c>
      <c r="T49" s="212" t="str">
        <f aca="false">IFERROR(IF(Summary!$D$10="Yes",-K49,""),"")</f>
        <v/>
      </c>
      <c r="U49" s="213" t="str">
        <f aca="false">IFERROR(IF(Summary!$D$12="Yes",-L49,""),"")</f>
        <v/>
      </c>
      <c r="V49" s="216" t="str">
        <f aca="false">IF('Bulk Order Details'!J59="","",SUM(R49:U49))</f>
        <v/>
      </c>
      <c r="W49" s="217" t="str">
        <f aca="false">IF('Bulk Order Details'!J59="","",D49+Q49)</f>
        <v/>
      </c>
      <c r="X49" s="218" t="str">
        <f aca="false">IF('Bulk Order Details'!J59="","",D49+Q49+V49)</f>
        <v/>
      </c>
      <c r="Y49" s="219" t="str">
        <f aca="false">IFERROR((W49-X49)/W49,"")</f>
        <v/>
      </c>
      <c r="Z49" s="220" t="str">
        <f aca="false">IF('Bulk Order Details'!J59="","",MAX(1,'Bulk Order Details'!D59))</f>
        <v/>
      </c>
      <c r="AA49" s="217" t="str">
        <f aca="false">IF(Pricing_Details[[#This Row],[Quantity]]="","",Pricing_Details[[#This Row],[Retail Price]]*Pricing_Details[[#This Row],[Quantity]])</f>
        <v/>
      </c>
      <c r="AB49" s="217" t="str">
        <f aca="false">IF(Pricing_Details[[#This Row],[Quantity]]="","",Pricing_Details[[#This Row],[Total Discount]]*Pricing_Details[[#This Row],[Quantity]])</f>
        <v/>
      </c>
      <c r="AC49" s="221" t="str">
        <f aca="false">IFERROR(ROUND(Pricing_Details[[#This Row],[Actual Price]]*Pricing_Details[[#This Row],[Quantity]],2),"")</f>
        <v/>
      </c>
      <c r="AE49" s="179" t="str">
        <f aca="false">IF('Bulk Order Details'!J59="","",VLOOKUP('Bulk Order Details'!H59,Collection[],3)&amp;VLOOKUP('Bulk Order Details'!J59,Collar[],4)&amp;VLOOKUP('Bulk Order Details'!I59,Sleeve[],4))</f>
        <v/>
      </c>
      <c r="AF49" s="179" t="str">
        <f aca="false">IF('Bulk Order Details'!J59="","",LOOKUP('Bulk Order Details'!E59,Cut[Display],Cut[Code])&amp;LOOKUP('Bulk Order Details'!F59,#REF!,#REF!)&amp;IF('Bulk Order Details'!G59="","",LOOKUP('Bulk Order Details'!G59,Length[Display],Length[Code])))</f>
        <v/>
      </c>
      <c r="AG49" s="179" t="str">
        <f aca="false">IF('Bulk Order Details'!J59="","",IF('Bulk Order Details'!C59="","",'Bulk Order Details'!C59))</f>
        <v/>
      </c>
      <c r="AH49" s="179" t="str">
        <f aca="false">IF('Bulk Order Details'!O59="","","-"&amp;LOOKUP('Bulk Order Details'!O59,#REF!,#REF!))</f>
        <v/>
      </c>
      <c r="AI49" s="179" t="str">
        <f aca="false">IF('Bulk Order Details'!P59="","","-"&amp;LOOKUP('Bulk Order Details'!P59,#REF!,#REF!))</f>
        <v/>
      </c>
      <c r="AJ49" s="179" t="str">
        <f aca="false">IF('Bulk Order Details'!Q59="","","-"&amp;LOOKUP('Bulk Order Details'!Q59,#REF!,#REF!))</f>
        <v/>
      </c>
      <c r="AK49" s="179" t="str">
        <f aca="false">IF('Bulk Order Details'!R59="","","-"&amp;LOOKUP('Bulk Order Details'!R59,#REF!,#REF!))</f>
        <v/>
      </c>
      <c r="AL49" s="179" t="str">
        <f aca="false">IF('Bulk Order Details'!S59="","","-"&amp;LOOKUP('Bulk Order Details'!S59,#REF!,#REF!))</f>
        <v/>
      </c>
      <c r="AM49" s="179" t="str">
        <f aca="false">IF(_xlfn.CONCAT(AH49:AL49)="","","Lo"&amp;_xlfn.CONCAT(AH49:AL49))</f>
        <v/>
      </c>
      <c r="AN49" s="179" t="str">
        <f aca="false">IF('Bulk Order Details'!K59="","","Na-"&amp;'Bulk Order Details'!K59)</f>
        <v/>
      </c>
      <c r="AO49" s="179" t="str">
        <f aca="false">IF('Bulk Order Details'!N59="","","Fo-"&amp;'Bulk Order Details'!N59)</f>
        <v/>
      </c>
      <c r="AP49" s="179" t="str">
        <f aca="false">IF(AE49="","",AE49&amp;"_"&amp;AF49&amp;"_"&amp;AG49&amp;IF(AM49="","","_"&amp;AM49)&amp;IF(AN49="","","_"&amp;AN49)&amp;IF(AO49="","","_"&amp;AO49))</f>
        <v/>
      </c>
      <c r="AQ49" s="218" t="str">
        <f aca="false">IF(X49="","",X49)</f>
        <v/>
      </c>
    </row>
    <row r="50" customFormat="false" ht="13.5" hidden="false" customHeight="true" outlineLevel="0" collapsed="false">
      <c r="B50" s="209" t="n">
        <f aca="false">'Bulk Order Details'!B60</f>
        <v>47</v>
      </c>
      <c r="C50" s="209" t="e">
        <f aca="false">IF('bulk order details'!#ref!="","",'bulk order details'!#ref!&amp;" "&amp;'bulk order details'!#ref!)</f>
        <v>#VALUE!</v>
      </c>
      <c r="D50" s="210" t="str">
        <f aca="false">IF('Bulk Order Details'!J60="","",VLOOKUP(1,Price[],3))</f>
        <v/>
      </c>
      <c r="E50" s="211" t="str">
        <f aca="false">IF('Bulk Order Details'!J60="","",Summary!$D$9)</f>
        <v/>
      </c>
      <c r="F50" s="212" t="str">
        <f aca="false">IF('Bulk Order Details'!F60="","",_xlfn.xlookup('Bulk Order Details'!F60,Size[Display],Size[Price]))</f>
        <v/>
      </c>
      <c r="G50" s="212" t="str">
        <f aca="false">IF('Bulk Order Details'!G60="","",_xlfn.xlookup('Bulk Order Details'!G60,Length[Display],Length[Price]))</f>
        <v/>
      </c>
      <c r="H50" s="212" t="str">
        <f aca="false">IF('Bulk Order Details'!H60="","",_xlfn.xlookup('Bulk Order Details'!H60,Collection[Display],Collection[Price]))</f>
        <v/>
      </c>
      <c r="I50" s="212" t="str">
        <f aca="false">IF('Bulk Order Details'!I60="","",_xlfn.xlookup('Bulk Order Details'!I60,Sleeve[Display],Sleeve[Price]))</f>
        <v/>
      </c>
      <c r="J50" s="212" t="str">
        <f aca="false">IF('Bulk Order Details'!J60="","",_xlfn.xlookup('Bulk Order Details'!J60,Collar[Display],Collar[Price]))</f>
        <v/>
      </c>
      <c r="K50" s="212" t="str">
        <f aca="false">IF('Bulk Order Details'!K60="","",_xlfn.xlookup("Name",Name[Name],Name[Price]))</f>
        <v/>
      </c>
      <c r="L50" s="213" t="str">
        <f aca="false">IFERROR(IF('Bulk Order Details'!O60="","",IF(_xlfn.xlookup('Bulk Order Details'!O60,Logos[Display],Logos[Use])="Flat",_xlfn.xlookup('Bulk Order Details'!O60,Logos[Display],Logos[Flat]),ROUND(_xlfn.xlookup('Bulk Order Details'!O60,Logos[Display],Logos[Pct])*$E50,2))),"")</f>
        <v/>
      </c>
      <c r="M50" s="222" t="str">
        <f aca="false">IFERROR(IF('Bulk Order Details'!P60="","",IF(_xlfn.xlookup('Bulk Order Details'!P60,Chest[Display],Chest[Use])="Flat",_xlfn.xlookup('Bulk Order Details'!P60,Chest[Display],Chest[Flat]),ROUND(_xlfn.xlookup('Bulk Order Details'!P60,Chest[Display],Chest[Pct])*$E50,2))),"")</f>
        <v/>
      </c>
      <c r="N50" s="222" t="str">
        <f aca="false">IFERROR(IF('Bulk Order Details'!Q60="","",IF(_xlfn.xlookup('Bulk Order Details'!Q60,Chest[Display],Chest[Use])="Flat",_xlfn.xlookup('Bulk Order Details'!Q60,Chest[Display],Chest[Flat]),ROUND(_xlfn.xlookup('Bulk Order Details'!Q60,Chest[Display],Chest[Pct])*$E50,2))),"")</f>
        <v/>
      </c>
      <c r="O50" s="222" t="str">
        <f aca="false">IFERROR(IF('Bulk Order Details'!R60="","",IF(_xlfn.xlookup('Bulk Order Details'!R60,LeftSleeve[Display],LeftSleeve[Use])="Flat",_xlfn.xlookup('Bulk Order Details'!R60,LeftSleeve[Display],LeftSleeve[Flat]),ROUND(_xlfn.xlookup('Bulk Order Details'!R60,LeftSleeve[Display],LeftSleeve[Pct])*$E50,2))),"")</f>
        <v/>
      </c>
      <c r="P50" s="222" t="str">
        <f aca="false">IFERROR(IF('Bulk Order Details'!S60="","",IF(_xlfn.xlookup('Bulk Order Details'!S60,RightSleeve[Display],RightSleeve[Use])="Flat",_xlfn.xlookup('Bulk Order Details'!S60,RightSleeve[Display],RightSleeve[Flat]),ROUND(_xlfn.xlookup('Bulk Order Details'!S60,RightSleeve[Display],RightSleeve[Pct])*$E50,2))),"")</f>
        <v/>
      </c>
      <c r="Q50" s="214" t="str">
        <f aca="false">IF('Bulk Order Details'!J60="","",SUM(F50:P50))</f>
        <v/>
      </c>
      <c r="R50" s="213" t="str">
        <f aca="false">IFERROR(E50-D50,"")</f>
        <v/>
      </c>
      <c r="S50" s="215" t="str">
        <f aca="false">IFERROR(MIN(IF(Summary!$D$11="Yes",-J50,0),IF(H50&gt;0,-J50,0)),"")</f>
        <v/>
      </c>
      <c r="T50" s="212" t="str">
        <f aca="false">IFERROR(IF(Summary!$D$10="Yes",-K50,""),"")</f>
        <v/>
      </c>
      <c r="U50" s="213" t="str">
        <f aca="false">IFERROR(IF(Summary!$D$12="Yes",-L50,""),"")</f>
        <v/>
      </c>
      <c r="V50" s="216" t="str">
        <f aca="false">IF('Bulk Order Details'!J60="","",SUM(R50:U50))</f>
        <v/>
      </c>
      <c r="W50" s="217" t="str">
        <f aca="false">IF('Bulk Order Details'!J60="","",D50+Q50)</f>
        <v/>
      </c>
      <c r="X50" s="218" t="str">
        <f aca="false">IF('Bulk Order Details'!J60="","",D50+Q50+V50)</f>
        <v/>
      </c>
      <c r="Y50" s="219" t="str">
        <f aca="false">IFERROR((W50-X50)/W50,"")</f>
        <v/>
      </c>
      <c r="Z50" s="220" t="str">
        <f aca="false">IF('Bulk Order Details'!J60="","",MAX(1,'Bulk Order Details'!D60))</f>
        <v/>
      </c>
      <c r="AA50" s="217" t="str">
        <f aca="false">IF(Pricing_Details[[#This Row],[Quantity]]="","",Pricing_Details[[#This Row],[Retail Price]]*Pricing_Details[[#This Row],[Quantity]])</f>
        <v/>
      </c>
      <c r="AB50" s="217" t="str">
        <f aca="false">IF(Pricing_Details[[#This Row],[Quantity]]="","",Pricing_Details[[#This Row],[Total Discount]]*Pricing_Details[[#This Row],[Quantity]])</f>
        <v/>
      </c>
      <c r="AC50" s="221" t="str">
        <f aca="false">IFERROR(ROUND(Pricing_Details[[#This Row],[Actual Price]]*Pricing_Details[[#This Row],[Quantity]],2),"")</f>
        <v/>
      </c>
      <c r="AE50" s="179" t="str">
        <f aca="false">IF('Bulk Order Details'!J60="","",VLOOKUP('Bulk Order Details'!H60,Collection[],3)&amp;VLOOKUP('Bulk Order Details'!J60,Collar[],4)&amp;VLOOKUP('Bulk Order Details'!I60,Sleeve[],4))</f>
        <v/>
      </c>
      <c r="AF50" s="179" t="str">
        <f aca="false">IF('Bulk Order Details'!J60="","",LOOKUP('Bulk Order Details'!E60,Cut[Display],Cut[Code])&amp;LOOKUP('Bulk Order Details'!F60,#REF!,#REF!)&amp;IF('Bulk Order Details'!G60="","",LOOKUP('Bulk Order Details'!G60,Length[Display],Length[Code])))</f>
        <v/>
      </c>
      <c r="AG50" s="179" t="str">
        <f aca="false">IF('Bulk Order Details'!J60="","",IF('Bulk Order Details'!C60="","",'Bulk Order Details'!C60))</f>
        <v/>
      </c>
      <c r="AH50" s="179" t="str">
        <f aca="false">IF('Bulk Order Details'!O60="","","-"&amp;LOOKUP('Bulk Order Details'!O60,#REF!,#REF!))</f>
        <v/>
      </c>
      <c r="AI50" s="179" t="str">
        <f aca="false">IF('Bulk Order Details'!P60="","","-"&amp;LOOKUP('Bulk Order Details'!P60,#REF!,#REF!))</f>
        <v/>
      </c>
      <c r="AJ50" s="179" t="str">
        <f aca="false">IF('Bulk Order Details'!Q60="","","-"&amp;LOOKUP('Bulk Order Details'!Q60,#REF!,#REF!))</f>
        <v/>
      </c>
      <c r="AK50" s="179" t="str">
        <f aca="false">IF('Bulk Order Details'!R60="","","-"&amp;LOOKUP('Bulk Order Details'!R60,#REF!,#REF!))</f>
        <v/>
      </c>
      <c r="AL50" s="179" t="str">
        <f aca="false">IF('Bulk Order Details'!S60="","","-"&amp;LOOKUP('Bulk Order Details'!S60,#REF!,#REF!))</f>
        <v/>
      </c>
      <c r="AM50" s="179" t="str">
        <f aca="false">IF(_xlfn.CONCAT(AH50:AL50)="","","Lo"&amp;_xlfn.CONCAT(AH50:AL50))</f>
        <v/>
      </c>
      <c r="AN50" s="179" t="str">
        <f aca="false">IF('Bulk Order Details'!K60="","","Na-"&amp;'Bulk Order Details'!K60)</f>
        <v/>
      </c>
      <c r="AO50" s="179" t="str">
        <f aca="false">IF('Bulk Order Details'!N60="","","Fo-"&amp;'Bulk Order Details'!N60)</f>
        <v/>
      </c>
      <c r="AP50" s="179" t="str">
        <f aca="false">IF(AE50="","",AE50&amp;"_"&amp;AF50&amp;"_"&amp;AG50&amp;IF(AM50="","","_"&amp;AM50)&amp;IF(AN50="","","_"&amp;AN50)&amp;IF(AO50="","","_"&amp;AO50))</f>
        <v/>
      </c>
      <c r="AQ50" s="218" t="str">
        <f aca="false">IF(X50="","",X50)</f>
        <v/>
      </c>
    </row>
    <row r="51" customFormat="false" ht="15" hidden="false" customHeight="true" outlineLevel="0" collapsed="false">
      <c r="B51" s="209" t="n">
        <f aca="false">'Bulk Order Details'!B61</f>
        <v>48</v>
      </c>
      <c r="C51" s="209" t="e">
        <f aca="false">IF('bulk order details'!#ref!="","",'bulk order details'!#ref!&amp;" "&amp;'bulk order details'!#ref!)</f>
        <v>#VALUE!</v>
      </c>
      <c r="D51" s="210" t="str">
        <f aca="false">IF('Bulk Order Details'!J61="","",VLOOKUP(1,Price[],3))</f>
        <v/>
      </c>
      <c r="E51" s="211" t="str">
        <f aca="false">IF('Bulk Order Details'!J61="","",Summary!$D$9)</f>
        <v/>
      </c>
      <c r="F51" s="212" t="str">
        <f aca="false">IF('Bulk Order Details'!F61="","",_xlfn.xlookup('Bulk Order Details'!F61,Size[Display],Size[Price]))</f>
        <v/>
      </c>
      <c r="G51" s="212" t="str">
        <f aca="false">IF('Bulk Order Details'!G61="","",_xlfn.xlookup('Bulk Order Details'!G61,Length[Display],Length[Price]))</f>
        <v/>
      </c>
      <c r="H51" s="212" t="str">
        <f aca="false">IF('Bulk Order Details'!H61="","",_xlfn.xlookup('Bulk Order Details'!H61,Collection[Display],Collection[Price]))</f>
        <v/>
      </c>
      <c r="I51" s="212" t="str">
        <f aca="false">IF('Bulk Order Details'!I61="","",_xlfn.xlookup('Bulk Order Details'!I61,Sleeve[Display],Sleeve[Price]))</f>
        <v/>
      </c>
      <c r="J51" s="212" t="str">
        <f aca="false">IF('Bulk Order Details'!J61="","",_xlfn.xlookup('Bulk Order Details'!J61,Collar[Display],Collar[Price]))</f>
        <v/>
      </c>
      <c r="K51" s="212" t="str">
        <f aca="false">IF('Bulk Order Details'!K61="","",_xlfn.xlookup("Name",Name[Name],Name[Price]))</f>
        <v/>
      </c>
      <c r="L51" s="213" t="str">
        <f aca="false">IFERROR(IF('Bulk Order Details'!O61="","",IF(_xlfn.xlookup('Bulk Order Details'!O61,Logos[Display],Logos[Use])="Flat",_xlfn.xlookup('Bulk Order Details'!O61,Logos[Display],Logos[Flat]),ROUND(_xlfn.xlookup('Bulk Order Details'!O61,Logos[Display],Logos[Pct])*$E51,2))),"")</f>
        <v/>
      </c>
      <c r="M51" s="222" t="str">
        <f aca="false">IFERROR(IF('Bulk Order Details'!P61="","",IF(_xlfn.xlookup('Bulk Order Details'!P61,Chest[Display],Chest[Use])="Flat",_xlfn.xlookup('Bulk Order Details'!P61,Chest[Display],Chest[Flat]),ROUND(_xlfn.xlookup('Bulk Order Details'!P61,Chest[Display],Chest[Pct])*$E51,2))),"")</f>
        <v/>
      </c>
      <c r="N51" s="222" t="str">
        <f aca="false">IFERROR(IF('Bulk Order Details'!Q61="","",IF(_xlfn.xlookup('Bulk Order Details'!Q61,Chest[Display],Chest[Use])="Flat",_xlfn.xlookup('Bulk Order Details'!Q61,Chest[Display],Chest[Flat]),ROUND(_xlfn.xlookup('Bulk Order Details'!Q61,Chest[Display],Chest[Pct])*$E51,2))),"")</f>
        <v/>
      </c>
      <c r="O51" s="222" t="str">
        <f aca="false">IFERROR(IF('Bulk Order Details'!R61="","",IF(_xlfn.xlookup('Bulk Order Details'!R61,LeftSleeve[Display],LeftSleeve[Use])="Flat",_xlfn.xlookup('Bulk Order Details'!R61,LeftSleeve[Display],LeftSleeve[Flat]),ROUND(_xlfn.xlookup('Bulk Order Details'!R61,LeftSleeve[Display],LeftSleeve[Pct])*$E51,2))),"")</f>
        <v/>
      </c>
      <c r="P51" s="222" t="str">
        <f aca="false">IFERROR(IF('Bulk Order Details'!S61="","",IF(_xlfn.xlookup('Bulk Order Details'!S61,RightSleeve[Display],RightSleeve[Use])="Flat",_xlfn.xlookup('Bulk Order Details'!S61,RightSleeve[Display],RightSleeve[Flat]),ROUND(_xlfn.xlookup('Bulk Order Details'!S61,RightSleeve[Display],RightSleeve[Pct])*$E51,2))),"")</f>
        <v/>
      </c>
      <c r="Q51" s="214" t="str">
        <f aca="false">IF('Bulk Order Details'!J61="","",SUM(F51:P51))</f>
        <v/>
      </c>
      <c r="R51" s="213" t="str">
        <f aca="false">IFERROR(E51-D51,"")</f>
        <v/>
      </c>
      <c r="S51" s="215" t="str">
        <f aca="false">IFERROR(MIN(IF(Summary!$D$11="Yes",-J51,0),IF(H51&gt;0,-J51,0)),"")</f>
        <v/>
      </c>
      <c r="T51" s="212" t="str">
        <f aca="false">IFERROR(IF(Summary!$D$10="Yes",-K51,""),"")</f>
        <v/>
      </c>
      <c r="U51" s="213" t="str">
        <f aca="false">IFERROR(IF(Summary!$D$12="Yes",-L51,""),"")</f>
        <v/>
      </c>
      <c r="V51" s="216" t="str">
        <f aca="false">IF('Bulk Order Details'!J61="","",SUM(R51:U51))</f>
        <v/>
      </c>
      <c r="W51" s="217" t="str">
        <f aca="false">IF('Bulk Order Details'!J61="","",D51+Q51)</f>
        <v/>
      </c>
      <c r="X51" s="218" t="str">
        <f aca="false">IF('Bulk Order Details'!J61="","",D51+Q51+V51)</f>
        <v/>
      </c>
      <c r="Y51" s="219" t="str">
        <f aca="false">IFERROR((W51-X51)/W51,"")</f>
        <v/>
      </c>
      <c r="Z51" s="220" t="str">
        <f aca="false">IF('Bulk Order Details'!J61="","",MAX(1,'Bulk Order Details'!D61))</f>
        <v/>
      </c>
      <c r="AA51" s="217" t="str">
        <f aca="false">IF(Pricing_Details[[#This Row],[Quantity]]="","",Pricing_Details[[#This Row],[Retail Price]]*Pricing_Details[[#This Row],[Quantity]])</f>
        <v/>
      </c>
      <c r="AB51" s="217" t="str">
        <f aca="false">IF(Pricing_Details[[#This Row],[Quantity]]="","",Pricing_Details[[#This Row],[Total Discount]]*Pricing_Details[[#This Row],[Quantity]])</f>
        <v/>
      </c>
      <c r="AC51" s="221" t="str">
        <f aca="false">IFERROR(ROUND(Pricing_Details[[#This Row],[Actual Price]]*Pricing_Details[[#This Row],[Quantity]],2),"")</f>
        <v/>
      </c>
      <c r="AE51" s="179" t="str">
        <f aca="false">IF('Bulk Order Details'!J61="","",VLOOKUP('Bulk Order Details'!H61,Collection[],3)&amp;VLOOKUP('Bulk Order Details'!J61,Collar[],4)&amp;VLOOKUP('Bulk Order Details'!I61,Sleeve[],4))</f>
        <v/>
      </c>
      <c r="AF51" s="179" t="str">
        <f aca="false">IF('Bulk Order Details'!J61="","",LOOKUP('Bulk Order Details'!E61,Cut[Display],Cut[Code])&amp;LOOKUP('Bulk Order Details'!F61,#REF!,#REF!)&amp;IF('Bulk Order Details'!G61="","",LOOKUP('Bulk Order Details'!G61,Length[Display],Length[Code])))</f>
        <v/>
      </c>
      <c r="AG51" s="179" t="str">
        <f aca="false">IF('Bulk Order Details'!J61="","",IF('Bulk Order Details'!C61="","",'Bulk Order Details'!C61))</f>
        <v/>
      </c>
      <c r="AH51" s="179" t="str">
        <f aca="false">IF('Bulk Order Details'!O61="","","-"&amp;LOOKUP('Bulk Order Details'!O61,#REF!,#REF!))</f>
        <v/>
      </c>
      <c r="AI51" s="179" t="str">
        <f aca="false">IF('Bulk Order Details'!P61="","","-"&amp;LOOKUP('Bulk Order Details'!P61,#REF!,#REF!))</f>
        <v/>
      </c>
      <c r="AJ51" s="179" t="str">
        <f aca="false">IF('Bulk Order Details'!Q61="","","-"&amp;LOOKUP('Bulk Order Details'!Q61,#REF!,#REF!))</f>
        <v/>
      </c>
      <c r="AK51" s="179" t="str">
        <f aca="false">IF('Bulk Order Details'!R61="","","-"&amp;LOOKUP('Bulk Order Details'!R61,#REF!,#REF!))</f>
        <v/>
      </c>
      <c r="AL51" s="179" t="str">
        <f aca="false">IF('Bulk Order Details'!S61="","","-"&amp;LOOKUP('Bulk Order Details'!S61,#REF!,#REF!))</f>
        <v/>
      </c>
      <c r="AM51" s="179" t="str">
        <f aca="false">IF(_xlfn.CONCAT(AH51:AL51)="","","Lo"&amp;_xlfn.CONCAT(AH51:AL51))</f>
        <v/>
      </c>
      <c r="AN51" s="179" t="str">
        <f aca="false">IF('Bulk Order Details'!K61="","","Na-"&amp;'Bulk Order Details'!K61)</f>
        <v/>
      </c>
      <c r="AO51" s="179" t="str">
        <f aca="false">IF('Bulk Order Details'!N61="","","Fo-"&amp;'Bulk Order Details'!N61)</f>
        <v/>
      </c>
      <c r="AP51" s="179" t="str">
        <f aca="false">IF(AE51="","",AE51&amp;"_"&amp;AF51&amp;"_"&amp;AG51&amp;IF(AM51="","","_"&amp;AM51)&amp;IF(AN51="","","_"&amp;AN51)&amp;IF(AO51="","","_"&amp;AO51))</f>
        <v/>
      </c>
      <c r="AQ51" s="218" t="str">
        <f aca="false">IF(X51="","",X51)</f>
        <v/>
      </c>
    </row>
    <row r="52" customFormat="false" ht="15" hidden="false" customHeight="true" outlineLevel="0" collapsed="false">
      <c r="B52" s="209" t="n">
        <f aca="false">'Bulk Order Details'!B62</f>
        <v>49</v>
      </c>
      <c r="C52" s="209" t="e">
        <f aca="false">IF('bulk order details'!#ref!="","",'bulk order details'!#ref!&amp;" "&amp;'bulk order details'!#ref!)</f>
        <v>#VALUE!</v>
      </c>
      <c r="D52" s="210" t="str">
        <f aca="false">IF('Bulk Order Details'!J62="","",VLOOKUP(1,Price[],3))</f>
        <v/>
      </c>
      <c r="E52" s="211" t="str">
        <f aca="false">IF('Bulk Order Details'!J62="","",Summary!$D$9)</f>
        <v/>
      </c>
      <c r="F52" s="212" t="str">
        <f aca="false">IF('Bulk Order Details'!F62="","",_xlfn.xlookup('Bulk Order Details'!F62,Size[Display],Size[Price]))</f>
        <v/>
      </c>
      <c r="G52" s="212" t="str">
        <f aca="false">IF('Bulk Order Details'!G62="","",_xlfn.xlookup('Bulk Order Details'!G62,Length[Display],Length[Price]))</f>
        <v/>
      </c>
      <c r="H52" s="212" t="str">
        <f aca="false">IF('Bulk Order Details'!H62="","",_xlfn.xlookup('Bulk Order Details'!H62,Collection[Display],Collection[Price]))</f>
        <v/>
      </c>
      <c r="I52" s="212" t="str">
        <f aca="false">IF('Bulk Order Details'!I62="","",_xlfn.xlookup('Bulk Order Details'!I62,Sleeve[Display],Sleeve[Price]))</f>
        <v/>
      </c>
      <c r="J52" s="212" t="str">
        <f aca="false">IF('Bulk Order Details'!J62="","",_xlfn.xlookup('Bulk Order Details'!J62,Collar[Display],Collar[Price]))</f>
        <v/>
      </c>
      <c r="K52" s="212" t="str">
        <f aca="false">IF('Bulk Order Details'!K62="","",_xlfn.xlookup("Name",Name[Name],Name[Price]))</f>
        <v/>
      </c>
      <c r="L52" s="213" t="str">
        <f aca="false">IFERROR(IF('Bulk Order Details'!O62="","",IF(_xlfn.xlookup('Bulk Order Details'!O62,Logos[Display],Logos[Use])="Flat",_xlfn.xlookup('Bulk Order Details'!O62,Logos[Display],Logos[Flat]),ROUND(_xlfn.xlookup('Bulk Order Details'!O62,Logos[Display],Logos[Pct])*$E52,2))),"")</f>
        <v/>
      </c>
      <c r="M52" s="222" t="str">
        <f aca="false">IFERROR(IF('Bulk Order Details'!P62="","",IF(_xlfn.xlookup('Bulk Order Details'!P62,Chest[Display],Chest[Use])="Flat",_xlfn.xlookup('Bulk Order Details'!P62,Chest[Display],Chest[Flat]),ROUND(_xlfn.xlookup('Bulk Order Details'!P62,Chest[Display],Chest[Pct])*$E52,2))),"")</f>
        <v/>
      </c>
      <c r="N52" s="222" t="str">
        <f aca="false">IFERROR(IF('Bulk Order Details'!Q62="","",IF(_xlfn.xlookup('Bulk Order Details'!Q62,Chest[Display],Chest[Use])="Flat",_xlfn.xlookup('Bulk Order Details'!Q62,Chest[Display],Chest[Flat]),ROUND(_xlfn.xlookup('Bulk Order Details'!Q62,Chest[Display],Chest[Pct])*$E52,2))),"")</f>
        <v/>
      </c>
      <c r="O52" s="222" t="str">
        <f aca="false">IFERROR(IF('Bulk Order Details'!R62="","",IF(_xlfn.xlookup('Bulk Order Details'!R62,LeftSleeve[Display],LeftSleeve[Use])="Flat",_xlfn.xlookup('Bulk Order Details'!R62,LeftSleeve[Display],LeftSleeve[Flat]),ROUND(_xlfn.xlookup('Bulk Order Details'!R62,LeftSleeve[Display],LeftSleeve[Pct])*$E52,2))),"")</f>
        <v/>
      </c>
      <c r="P52" s="222" t="str">
        <f aca="false">IFERROR(IF('Bulk Order Details'!S62="","",IF(_xlfn.xlookup('Bulk Order Details'!S62,RightSleeve[Display],RightSleeve[Use])="Flat",_xlfn.xlookup('Bulk Order Details'!S62,RightSleeve[Display],RightSleeve[Flat]),ROUND(_xlfn.xlookup('Bulk Order Details'!S62,RightSleeve[Display],RightSleeve[Pct])*$E52,2))),"")</f>
        <v/>
      </c>
      <c r="Q52" s="214" t="str">
        <f aca="false">IF('Bulk Order Details'!J62="","",SUM(F52:P52))</f>
        <v/>
      </c>
      <c r="R52" s="213" t="str">
        <f aca="false">IFERROR(E52-D52,"")</f>
        <v/>
      </c>
      <c r="S52" s="215" t="str">
        <f aca="false">IFERROR(MIN(IF(Summary!$D$11="Yes",-J52,0),IF(H52&gt;0,-J52,0)),"")</f>
        <v/>
      </c>
      <c r="T52" s="212" t="str">
        <f aca="false">IFERROR(IF(Summary!$D$10="Yes",-K52,""),"")</f>
        <v/>
      </c>
      <c r="U52" s="213" t="str">
        <f aca="false">IFERROR(IF(Summary!$D$12="Yes",-L52,""),"")</f>
        <v/>
      </c>
      <c r="V52" s="216" t="str">
        <f aca="false">IF('Bulk Order Details'!J62="","",SUM(R52:U52))</f>
        <v/>
      </c>
      <c r="W52" s="217" t="str">
        <f aca="false">IF('Bulk Order Details'!J62="","",D52+Q52)</f>
        <v/>
      </c>
      <c r="X52" s="218" t="str">
        <f aca="false">IF('Bulk Order Details'!J62="","",D52+Q52+V52)</f>
        <v/>
      </c>
      <c r="Y52" s="219" t="str">
        <f aca="false">IFERROR((W52-X52)/W52,"")</f>
        <v/>
      </c>
      <c r="Z52" s="220" t="str">
        <f aca="false">IF('Bulk Order Details'!J62="","",MAX(1,'Bulk Order Details'!D62))</f>
        <v/>
      </c>
      <c r="AA52" s="217" t="str">
        <f aca="false">IF(Pricing_Details[[#This Row],[Quantity]]="","",Pricing_Details[[#This Row],[Retail Price]]*Pricing_Details[[#This Row],[Quantity]])</f>
        <v/>
      </c>
      <c r="AB52" s="217" t="str">
        <f aca="false">IF(Pricing_Details[[#This Row],[Quantity]]="","",Pricing_Details[[#This Row],[Total Discount]]*Pricing_Details[[#This Row],[Quantity]])</f>
        <v/>
      </c>
      <c r="AC52" s="221" t="str">
        <f aca="false">IFERROR(ROUND(Pricing_Details[[#This Row],[Actual Price]]*Pricing_Details[[#This Row],[Quantity]],2),"")</f>
        <v/>
      </c>
      <c r="AE52" s="179" t="str">
        <f aca="false">IF('Bulk Order Details'!J62="","",VLOOKUP('Bulk Order Details'!H62,Collection[],3)&amp;VLOOKUP('Bulk Order Details'!J62,Collar[],4)&amp;VLOOKUP('Bulk Order Details'!I62,Sleeve[],4))</f>
        <v/>
      </c>
      <c r="AF52" s="179" t="str">
        <f aca="false">IF('Bulk Order Details'!J62="","",LOOKUP('Bulk Order Details'!E62,Cut[Display],Cut[Code])&amp;LOOKUP('Bulk Order Details'!F62,#REF!,#REF!)&amp;IF('Bulk Order Details'!G62="","",LOOKUP('Bulk Order Details'!G62,Length[Display],Length[Code])))</f>
        <v/>
      </c>
      <c r="AG52" s="179" t="str">
        <f aca="false">IF('Bulk Order Details'!J62="","",IF('Bulk Order Details'!C62="","",'Bulk Order Details'!C62))</f>
        <v/>
      </c>
      <c r="AH52" s="179" t="str">
        <f aca="false">IF('Bulk Order Details'!O62="","","-"&amp;LOOKUP('Bulk Order Details'!O62,#REF!,#REF!))</f>
        <v/>
      </c>
      <c r="AI52" s="179" t="str">
        <f aca="false">IF('Bulk Order Details'!P62="","","-"&amp;LOOKUP('Bulk Order Details'!P62,#REF!,#REF!))</f>
        <v/>
      </c>
      <c r="AJ52" s="179" t="str">
        <f aca="false">IF('Bulk Order Details'!Q62="","","-"&amp;LOOKUP('Bulk Order Details'!Q62,#REF!,#REF!))</f>
        <v/>
      </c>
      <c r="AK52" s="179" t="str">
        <f aca="false">IF('Bulk Order Details'!R62="","","-"&amp;LOOKUP('Bulk Order Details'!R62,#REF!,#REF!))</f>
        <v/>
      </c>
      <c r="AL52" s="179" t="str">
        <f aca="false">IF('Bulk Order Details'!S62="","","-"&amp;LOOKUP('Bulk Order Details'!S62,#REF!,#REF!))</f>
        <v/>
      </c>
      <c r="AM52" s="179" t="str">
        <f aca="false">IF(_xlfn.CONCAT(AH52:AL52)="","","Lo"&amp;_xlfn.CONCAT(AH52:AL52))</f>
        <v/>
      </c>
      <c r="AN52" s="179" t="str">
        <f aca="false">IF('Bulk Order Details'!K62="","","Na-"&amp;'Bulk Order Details'!K62)</f>
        <v/>
      </c>
      <c r="AO52" s="179" t="str">
        <f aca="false">IF('Bulk Order Details'!N62="","","Fo-"&amp;'Bulk Order Details'!N62)</f>
        <v/>
      </c>
      <c r="AP52" s="179" t="str">
        <f aca="false">IF(AE52="","",AE52&amp;"_"&amp;AF52&amp;"_"&amp;AG52&amp;IF(AM52="","","_"&amp;AM52)&amp;IF(AN52="","","_"&amp;AN52)&amp;IF(AO52="","","_"&amp;AO52))</f>
        <v/>
      </c>
      <c r="AQ52" s="218" t="str">
        <f aca="false">IF(X52="","",X52)</f>
        <v/>
      </c>
    </row>
    <row r="53" customFormat="false" ht="15" hidden="false" customHeight="true" outlineLevel="0" collapsed="false">
      <c r="B53" s="209" t="n">
        <f aca="false">'Bulk Order Details'!B63</f>
        <v>50</v>
      </c>
      <c r="C53" s="209" t="e">
        <f aca="false">IF('bulk order details'!#ref!="","",'bulk order details'!#ref!&amp;" "&amp;'bulk order details'!#ref!)</f>
        <v>#VALUE!</v>
      </c>
      <c r="D53" s="210" t="str">
        <f aca="false">IF('Bulk Order Details'!J63="","",VLOOKUP(1,Price[],3))</f>
        <v/>
      </c>
      <c r="E53" s="211" t="str">
        <f aca="false">IF('Bulk Order Details'!J63="","",Summary!$D$9)</f>
        <v/>
      </c>
      <c r="F53" s="212" t="str">
        <f aca="false">IF('Bulk Order Details'!F63="","",_xlfn.xlookup('Bulk Order Details'!F63,Size[Display],Size[Price]))</f>
        <v/>
      </c>
      <c r="G53" s="212" t="str">
        <f aca="false">IF('Bulk Order Details'!G63="","",_xlfn.xlookup('Bulk Order Details'!G63,Length[Display],Length[Price]))</f>
        <v/>
      </c>
      <c r="H53" s="212" t="str">
        <f aca="false">IF('Bulk Order Details'!H63="","",_xlfn.xlookup('Bulk Order Details'!H63,Collection[Display],Collection[Price]))</f>
        <v/>
      </c>
      <c r="I53" s="212" t="str">
        <f aca="false">IF('Bulk Order Details'!I63="","",_xlfn.xlookup('Bulk Order Details'!I63,Sleeve[Display],Sleeve[Price]))</f>
        <v/>
      </c>
      <c r="J53" s="212" t="str">
        <f aca="false">IF('Bulk Order Details'!J63="","",_xlfn.xlookup('Bulk Order Details'!J63,Collar[Display],Collar[Price]))</f>
        <v/>
      </c>
      <c r="K53" s="212" t="str">
        <f aca="false">IF('Bulk Order Details'!K63="","",_xlfn.xlookup("Name",Name[Name],Name[Price]))</f>
        <v/>
      </c>
      <c r="L53" s="213" t="str">
        <f aca="false">IFERROR(IF('Bulk Order Details'!O63="","",IF(_xlfn.xlookup('Bulk Order Details'!O63,Logos[Display],Logos[Use])="Flat",_xlfn.xlookup('Bulk Order Details'!O63,Logos[Display],Logos[Flat]),ROUND(_xlfn.xlookup('Bulk Order Details'!O63,Logos[Display],Logos[Pct])*$E53,2))),"")</f>
        <v/>
      </c>
      <c r="M53" s="222" t="str">
        <f aca="false">IFERROR(IF('Bulk Order Details'!P63="","",IF(_xlfn.xlookup('Bulk Order Details'!P63,Chest[Display],Chest[Use])="Flat",_xlfn.xlookup('Bulk Order Details'!P63,Chest[Display],Chest[Flat]),ROUND(_xlfn.xlookup('Bulk Order Details'!P63,Chest[Display],Chest[Pct])*$E53,2))),"")</f>
        <v/>
      </c>
      <c r="N53" s="222" t="str">
        <f aca="false">IFERROR(IF('Bulk Order Details'!Q63="","",IF(_xlfn.xlookup('Bulk Order Details'!Q63,Chest[Display],Chest[Use])="Flat",_xlfn.xlookup('Bulk Order Details'!Q63,Chest[Display],Chest[Flat]),ROUND(_xlfn.xlookup('Bulk Order Details'!Q63,Chest[Display],Chest[Pct])*$E53,2))),"")</f>
        <v/>
      </c>
      <c r="O53" s="222" t="str">
        <f aca="false">IFERROR(IF('Bulk Order Details'!R63="","",IF(_xlfn.xlookup('Bulk Order Details'!R63,LeftSleeve[Display],LeftSleeve[Use])="Flat",_xlfn.xlookup('Bulk Order Details'!R63,LeftSleeve[Display],LeftSleeve[Flat]),ROUND(_xlfn.xlookup('Bulk Order Details'!R63,LeftSleeve[Display],LeftSleeve[Pct])*$E53,2))),"")</f>
        <v/>
      </c>
      <c r="P53" s="222" t="str">
        <f aca="false">IFERROR(IF('Bulk Order Details'!S63="","",IF(_xlfn.xlookup('Bulk Order Details'!S63,RightSleeve[Display],RightSleeve[Use])="Flat",_xlfn.xlookup('Bulk Order Details'!S63,RightSleeve[Display],RightSleeve[Flat]),ROUND(_xlfn.xlookup('Bulk Order Details'!S63,RightSleeve[Display],RightSleeve[Pct])*$E53,2))),"")</f>
        <v/>
      </c>
      <c r="Q53" s="214" t="str">
        <f aca="false">IF('Bulk Order Details'!J63="","",SUM(F53:P53))</f>
        <v/>
      </c>
      <c r="R53" s="213" t="str">
        <f aca="false">IFERROR(E53-D53,"")</f>
        <v/>
      </c>
      <c r="S53" s="215" t="str">
        <f aca="false">IFERROR(MIN(IF(Summary!$D$11="Yes",-J53,0),IF(H53&gt;0,-J53,0)),"")</f>
        <v/>
      </c>
      <c r="T53" s="212" t="str">
        <f aca="false">IFERROR(IF(Summary!$D$10="Yes",-K53,""),"")</f>
        <v/>
      </c>
      <c r="U53" s="213" t="str">
        <f aca="false">IFERROR(IF(Summary!$D$12="Yes",-L53,""),"")</f>
        <v/>
      </c>
      <c r="V53" s="216" t="str">
        <f aca="false">IF('Bulk Order Details'!J63="","",SUM(R53:U53))</f>
        <v/>
      </c>
      <c r="W53" s="217" t="str">
        <f aca="false">IF('Bulk Order Details'!J63="","",D53+Q53)</f>
        <v/>
      </c>
      <c r="X53" s="218" t="str">
        <f aca="false">IF('Bulk Order Details'!J63="","",D53+Q53+V53)</f>
        <v/>
      </c>
      <c r="Y53" s="219" t="str">
        <f aca="false">IFERROR((W53-X53)/W53,"")</f>
        <v/>
      </c>
      <c r="Z53" s="220" t="str">
        <f aca="false">IF('Bulk Order Details'!J63="","",MAX(1,'Bulk Order Details'!D63))</f>
        <v/>
      </c>
      <c r="AA53" s="217" t="str">
        <f aca="false">IF(Pricing_Details[[#This Row],[Quantity]]="","",Pricing_Details[[#This Row],[Retail Price]]*Pricing_Details[[#This Row],[Quantity]])</f>
        <v/>
      </c>
      <c r="AB53" s="217" t="str">
        <f aca="false">IF(Pricing_Details[[#This Row],[Quantity]]="","",Pricing_Details[[#This Row],[Total Discount]]*Pricing_Details[[#This Row],[Quantity]])</f>
        <v/>
      </c>
      <c r="AC53" s="221" t="str">
        <f aca="false">IFERROR(ROUND(Pricing_Details[[#This Row],[Actual Price]]*Pricing_Details[[#This Row],[Quantity]],2),"")</f>
        <v/>
      </c>
      <c r="AE53" s="179" t="str">
        <f aca="false">IF('Bulk Order Details'!J63="","",VLOOKUP('Bulk Order Details'!H63,Collection[],3)&amp;VLOOKUP('Bulk Order Details'!J63,Collar[],4)&amp;VLOOKUP('Bulk Order Details'!I63,Sleeve[],4))</f>
        <v/>
      </c>
      <c r="AF53" s="179" t="str">
        <f aca="false">IF('Bulk Order Details'!J63="","",LOOKUP('Bulk Order Details'!E63,Cut[Display],Cut[Code])&amp;LOOKUP('Bulk Order Details'!F63,#REF!,#REF!)&amp;IF('Bulk Order Details'!G63="","",LOOKUP('Bulk Order Details'!G63,Length[Display],Length[Code])))</f>
        <v/>
      </c>
      <c r="AG53" s="179" t="str">
        <f aca="false">IF('Bulk Order Details'!J63="","",IF('Bulk Order Details'!C63="","",'Bulk Order Details'!C63))</f>
        <v/>
      </c>
      <c r="AH53" s="179" t="str">
        <f aca="false">IF('Bulk Order Details'!O63="","","-"&amp;LOOKUP('Bulk Order Details'!O63,#REF!,#REF!))</f>
        <v/>
      </c>
      <c r="AI53" s="179" t="str">
        <f aca="false">IF('Bulk Order Details'!P63="","","-"&amp;LOOKUP('Bulk Order Details'!P63,#REF!,#REF!))</f>
        <v/>
      </c>
      <c r="AJ53" s="179" t="str">
        <f aca="false">IF('Bulk Order Details'!Q63="","","-"&amp;LOOKUP('Bulk Order Details'!Q63,#REF!,#REF!))</f>
        <v/>
      </c>
      <c r="AK53" s="179" t="str">
        <f aca="false">IF('Bulk Order Details'!R63="","","-"&amp;LOOKUP('Bulk Order Details'!R63,#REF!,#REF!))</f>
        <v/>
      </c>
      <c r="AL53" s="179" t="str">
        <f aca="false">IF('Bulk Order Details'!S63="","","-"&amp;LOOKUP('Bulk Order Details'!S63,#REF!,#REF!))</f>
        <v/>
      </c>
      <c r="AM53" s="179" t="str">
        <f aca="false">IF(_xlfn.CONCAT(AH53:AL53)="","","Lo"&amp;_xlfn.CONCAT(AH53:AL53))</f>
        <v/>
      </c>
      <c r="AN53" s="179" t="str">
        <f aca="false">IF('Bulk Order Details'!K63="","","Na-"&amp;'Bulk Order Details'!K63)</f>
        <v/>
      </c>
      <c r="AO53" s="179" t="str">
        <f aca="false">IF('Bulk Order Details'!N63="","","Fo-"&amp;'Bulk Order Details'!N63)</f>
        <v/>
      </c>
      <c r="AP53" s="179" t="str">
        <f aca="false">IF(AE53="","",AE53&amp;"_"&amp;AF53&amp;"_"&amp;AG53&amp;IF(AM53="","","_"&amp;AM53)&amp;IF(AN53="","","_"&amp;AN53)&amp;IF(AO53="","","_"&amp;AO53))</f>
        <v/>
      </c>
      <c r="AQ53" s="218" t="str">
        <f aca="false">IF(X53="","",X53)</f>
        <v/>
      </c>
    </row>
    <row r="54" customFormat="false" ht="15" hidden="false" customHeight="true" outlineLevel="0" collapsed="false">
      <c r="B54" s="209" t="n">
        <f aca="false">'Bulk Order Details'!B64</f>
        <v>51</v>
      </c>
      <c r="C54" s="209" t="e">
        <f aca="false">IF('bulk order details'!#ref!="","",'bulk order details'!#ref!&amp;" "&amp;'bulk order details'!#ref!)</f>
        <v>#VALUE!</v>
      </c>
      <c r="D54" s="210" t="str">
        <f aca="false">IF('Bulk Order Details'!J64="","",VLOOKUP(1,Price[],3))</f>
        <v/>
      </c>
      <c r="E54" s="211" t="str">
        <f aca="false">IF('Bulk Order Details'!J64="","",Summary!$D$9)</f>
        <v/>
      </c>
      <c r="F54" s="212" t="str">
        <f aca="false">IF('Bulk Order Details'!F64="","",_xlfn.xlookup('Bulk Order Details'!F64,Size[Display],Size[Price]))</f>
        <v/>
      </c>
      <c r="G54" s="212" t="str">
        <f aca="false">IF('Bulk Order Details'!G64="","",_xlfn.xlookup('Bulk Order Details'!G64,Length[Display],Length[Price]))</f>
        <v/>
      </c>
      <c r="H54" s="212" t="str">
        <f aca="false">IF('Bulk Order Details'!H64="","",_xlfn.xlookup('Bulk Order Details'!H64,Collection[Display],Collection[Price]))</f>
        <v/>
      </c>
      <c r="I54" s="212" t="str">
        <f aca="false">IF('Bulk Order Details'!I64="","",_xlfn.xlookup('Bulk Order Details'!I64,Sleeve[Display],Sleeve[Price]))</f>
        <v/>
      </c>
      <c r="J54" s="212" t="str">
        <f aca="false">IF('Bulk Order Details'!J64="","",_xlfn.xlookup('Bulk Order Details'!J64,Collar[Display],Collar[Price]))</f>
        <v/>
      </c>
      <c r="K54" s="212" t="str">
        <f aca="false">IF('Bulk Order Details'!K64="","",_xlfn.xlookup("Name",Name[Name],Name[Price]))</f>
        <v/>
      </c>
      <c r="L54" s="213" t="str">
        <f aca="false">IFERROR(IF('Bulk Order Details'!O64="","",IF(_xlfn.xlookup('Bulk Order Details'!O64,Logos[Display],Logos[Use])="Flat",_xlfn.xlookup('Bulk Order Details'!O64,Logos[Display],Logos[Flat]),ROUND(_xlfn.xlookup('Bulk Order Details'!O64,Logos[Display],Logos[Pct])*$E54,2))),"")</f>
        <v/>
      </c>
      <c r="M54" s="222" t="str">
        <f aca="false">IFERROR(IF('Bulk Order Details'!P64="","",IF(_xlfn.xlookup('Bulk Order Details'!P64,Chest[Display],Chest[Use])="Flat",_xlfn.xlookup('Bulk Order Details'!P64,Chest[Display],Chest[Flat]),ROUND(_xlfn.xlookup('Bulk Order Details'!P64,Chest[Display],Chest[Pct])*$E54,2))),"")</f>
        <v/>
      </c>
      <c r="N54" s="222" t="str">
        <f aca="false">IFERROR(IF('Bulk Order Details'!Q64="","",IF(_xlfn.xlookup('Bulk Order Details'!Q64,Chest[Display],Chest[Use])="Flat",_xlfn.xlookup('Bulk Order Details'!Q64,Chest[Display],Chest[Flat]),ROUND(_xlfn.xlookup('Bulk Order Details'!Q64,Chest[Display],Chest[Pct])*$E54,2))),"")</f>
        <v/>
      </c>
      <c r="O54" s="222" t="str">
        <f aca="false">IFERROR(IF('Bulk Order Details'!R64="","",IF(_xlfn.xlookup('Bulk Order Details'!R64,LeftSleeve[Display],LeftSleeve[Use])="Flat",_xlfn.xlookup('Bulk Order Details'!R64,LeftSleeve[Display],LeftSleeve[Flat]),ROUND(_xlfn.xlookup('Bulk Order Details'!R64,LeftSleeve[Display],LeftSleeve[Pct])*$E54,2))),"")</f>
        <v/>
      </c>
      <c r="P54" s="222" t="str">
        <f aca="false">IFERROR(IF('Bulk Order Details'!S64="","",IF(_xlfn.xlookup('Bulk Order Details'!S64,RightSleeve[Display],RightSleeve[Use])="Flat",_xlfn.xlookup('Bulk Order Details'!S64,RightSleeve[Display],RightSleeve[Flat]),ROUND(_xlfn.xlookup('Bulk Order Details'!S64,RightSleeve[Display],RightSleeve[Pct])*$E54,2))),"")</f>
        <v/>
      </c>
      <c r="Q54" s="214" t="str">
        <f aca="false">IF('Bulk Order Details'!J64="","",SUM(F54:P54))</f>
        <v/>
      </c>
      <c r="R54" s="213" t="str">
        <f aca="false">IFERROR(E54-D54,"")</f>
        <v/>
      </c>
      <c r="S54" s="215" t="str">
        <f aca="false">IFERROR(MIN(IF(Summary!$D$11="Yes",-J54,0),IF(H54&gt;0,-J54,0)),"")</f>
        <v/>
      </c>
      <c r="T54" s="212" t="str">
        <f aca="false">IFERROR(IF(Summary!$D$10="Yes",-K54,""),"")</f>
        <v/>
      </c>
      <c r="U54" s="213" t="str">
        <f aca="false">IFERROR(IF(Summary!$D$12="Yes",-L54,""),"")</f>
        <v/>
      </c>
      <c r="V54" s="216" t="str">
        <f aca="false">IF('Bulk Order Details'!J64="","",SUM(R54:U54))</f>
        <v/>
      </c>
      <c r="W54" s="217" t="str">
        <f aca="false">IF('Bulk Order Details'!J64="","",D54+Q54)</f>
        <v/>
      </c>
      <c r="X54" s="218" t="str">
        <f aca="false">IF('Bulk Order Details'!J64="","",D54+Q54+V54)</f>
        <v/>
      </c>
      <c r="Y54" s="219" t="str">
        <f aca="false">IFERROR((W54-X54)/W54,"")</f>
        <v/>
      </c>
      <c r="Z54" s="220" t="str">
        <f aca="false">IF('Bulk Order Details'!J64="","",MAX(1,'Bulk Order Details'!D64))</f>
        <v/>
      </c>
      <c r="AA54" s="217" t="str">
        <f aca="false">IF(Pricing_Details[[#This Row],[Quantity]]="","",Pricing_Details[[#This Row],[Retail Price]]*Pricing_Details[[#This Row],[Quantity]])</f>
        <v/>
      </c>
      <c r="AB54" s="217" t="str">
        <f aca="false">IF(Pricing_Details[[#This Row],[Quantity]]="","",Pricing_Details[[#This Row],[Total Discount]]*Pricing_Details[[#This Row],[Quantity]])</f>
        <v/>
      </c>
      <c r="AC54" s="221" t="str">
        <f aca="false">IFERROR(ROUND(Pricing_Details[[#This Row],[Actual Price]]*Pricing_Details[[#This Row],[Quantity]],2),"")</f>
        <v/>
      </c>
      <c r="AE54" s="179" t="str">
        <f aca="false">IF('Bulk Order Details'!J64="","",VLOOKUP('Bulk Order Details'!H64,Collection[],3)&amp;VLOOKUP('Bulk Order Details'!J64,Collar[],4)&amp;VLOOKUP('Bulk Order Details'!I64,Sleeve[],4))</f>
        <v/>
      </c>
      <c r="AF54" s="179" t="str">
        <f aca="false">IF('Bulk Order Details'!J64="","",LOOKUP('Bulk Order Details'!E64,Cut[Display],Cut[Code])&amp;LOOKUP('Bulk Order Details'!F64,#REF!,#REF!)&amp;IF('Bulk Order Details'!G64="","",LOOKUP('Bulk Order Details'!G64,Length[Display],Length[Code])))</f>
        <v/>
      </c>
      <c r="AG54" s="179" t="str">
        <f aca="false">IF('Bulk Order Details'!J64="","",IF('Bulk Order Details'!C64="","",'Bulk Order Details'!C64))</f>
        <v/>
      </c>
      <c r="AH54" s="179" t="str">
        <f aca="false">IF('Bulk Order Details'!O64="","","-"&amp;LOOKUP('Bulk Order Details'!O64,#REF!,#REF!))</f>
        <v/>
      </c>
      <c r="AI54" s="179" t="str">
        <f aca="false">IF('Bulk Order Details'!P64="","","-"&amp;LOOKUP('Bulk Order Details'!P64,#REF!,#REF!))</f>
        <v/>
      </c>
      <c r="AJ54" s="179" t="str">
        <f aca="false">IF('Bulk Order Details'!Q64="","","-"&amp;LOOKUP('Bulk Order Details'!Q64,#REF!,#REF!))</f>
        <v/>
      </c>
      <c r="AK54" s="179" t="str">
        <f aca="false">IF('Bulk Order Details'!R64="","","-"&amp;LOOKUP('Bulk Order Details'!R64,#REF!,#REF!))</f>
        <v/>
      </c>
      <c r="AL54" s="179" t="str">
        <f aca="false">IF('Bulk Order Details'!S64="","","-"&amp;LOOKUP('Bulk Order Details'!S64,#REF!,#REF!))</f>
        <v/>
      </c>
      <c r="AM54" s="179" t="str">
        <f aca="false">IF(_xlfn.CONCAT(AH54:AL54)="","","Lo"&amp;_xlfn.CONCAT(AH54:AL54))</f>
        <v/>
      </c>
      <c r="AN54" s="179" t="str">
        <f aca="false">IF('Bulk Order Details'!K64="","","Na-"&amp;'Bulk Order Details'!K64)</f>
        <v/>
      </c>
      <c r="AO54" s="179" t="str">
        <f aca="false">IF('Bulk Order Details'!N64="","","Fo-"&amp;'Bulk Order Details'!N64)</f>
        <v/>
      </c>
      <c r="AP54" s="179" t="str">
        <f aca="false">IF(AE54="","",AE54&amp;"_"&amp;AF54&amp;"_"&amp;AG54&amp;IF(AM54="","","_"&amp;AM54)&amp;IF(AN54="","","_"&amp;AN54)&amp;IF(AO54="","","_"&amp;AO54))</f>
        <v/>
      </c>
      <c r="AQ54" s="218" t="str">
        <f aca="false">IF(X54="","",X54)</f>
        <v/>
      </c>
    </row>
    <row r="55" customFormat="false" ht="15" hidden="false" customHeight="true" outlineLevel="0" collapsed="false">
      <c r="B55" s="209" t="n">
        <f aca="false">'Bulk Order Details'!B65</f>
        <v>52</v>
      </c>
      <c r="C55" s="209" t="e">
        <f aca="false">IF('bulk order details'!#ref!="","",'bulk order details'!#ref!&amp;" "&amp;'bulk order details'!#ref!)</f>
        <v>#VALUE!</v>
      </c>
      <c r="D55" s="210" t="str">
        <f aca="false">IF('Bulk Order Details'!J65="","",VLOOKUP(1,Price[],3))</f>
        <v/>
      </c>
      <c r="E55" s="211" t="str">
        <f aca="false">IF('Bulk Order Details'!J65="","",Summary!$D$9)</f>
        <v/>
      </c>
      <c r="F55" s="212" t="str">
        <f aca="false">IF('Bulk Order Details'!F65="","",_xlfn.xlookup('Bulk Order Details'!F65,Size[Display],Size[Price]))</f>
        <v/>
      </c>
      <c r="G55" s="212" t="str">
        <f aca="false">IF('Bulk Order Details'!G65="","",_xlfn.xlookup('Bulk Order Details'!G65,Length[Display],Length[Price]))</f>
        <v/>
      </c>
      <c r="H55" s="212" t="str">
        <f aca="false">IF('Bulk Order Details'!H65="","",_xlfn.xlookup('Bulk Order Details'!H65,Collection[Display],Collection[Price]))</f>
        <v/>
      </c>
      <c r="I55" s="212" t="str">
        <f aca="false">IF('Bulk Order Details'!I65="","",_xlfn.xlookup('Bulk Order Details'!I65,Sleeve[Display],Sleeve[Price]))</f>
        <v/>
      </c>
      <c r="J55" s="212" t="str">
        <f aca="false">IF('Bulk Order Details'!J65="","",_xlfn.xlookup('Bulk Order Details'!J65,Collar[Display],Collar[Price]))</f>
        <v/>
      </c>
      <c r="K55" s="212" t="str">
        <f aca="false">IF('Bulk Order Details'!K65="","",_xlfn.xlookup("Name",Name[Name],Name[Price]))</f>
        <v/>
      </c>
      <c r="L55" s="213" t="str">
        <f aca="false">IFERROR(IF('Bulk Order Details'!O65="","",IF(_xlfn.xlookup('Bulk Order Details'!O65,Logos[Display],Logos[Use])="Flat",_xlfn.xlookup('Bulk Order Details'!O65,Logos[Display],Logos[Flat]),ROUND(_xlfn.xlookup('Bulk Order Details'!O65,Logos[Display],Logos[Pct])*$E55,2))),"")</f>
        <v/>
      </c>
      <c r="M55" s="222" t="str">
        <f aca="false">IFERROR(IF('Bulk Order Details'!P65="","",IF(_xlfn.xlookup('Bulk Order Details'!P65,Chest[Display],Chest[Use])="Flat",_xlfn.xlookup('Bulk Order Details'!P65,Chest[Display],Chest[Flat]),ROUND(_xlfn.xlookup('Bulk Order Details'!P65,Chest[Display],Chest[Pct])*$E55,2))),"")</f>
        <v/>
      </c>
      <c r="N55" s="222" t="str">
        <f aca="false">IFERROR(IF('Bulk Order Details'!Q65="","",IF(_xlfn.xlookup('Bulk Order Details'!Q65,Chest[Display],Chest[Use])="Flat",_xlfn.xlookup('Bulk Order Details'!Q65,Chest[Display],Chest[Flat]),ROUND(_xlfn.xlookup('Bulk Order Details'!Q65,Chest[Display],Chest[Pct])*$E55,2))),"")</f>
        <v/>
      </c>
      <c r="O55" s="222" t="str">
        <f aca="false">IFERROR(IF('Bulk Order Details'!R65="","",IF(_xlfn.xlookup('Bulk Order Details'!R65,LeftSleeve[Display],LeftSleeve[Use])="Flat",_xlfn.xlookup('Bulk Order Details'!R65,LeftSleeve[Display],LeftSleeve[Flat]),ROUND(_xlfn.xlookup('Bulk Order Details'!R65,LeftSleeve[Display],LeftSleeve[Pct])*$E55,2))),"")</f>
        <v/>
      </c>
      <c r="P55" s="222" t="str">
        <f aca="false">IFERROR(IF('Bulk Order Details'!S65="","",IF(_xlfn.xlookup('Bulk Order Details'!S65,RightSleeve[Display],RightSleeve[Use])="Flat",_xlfn.xlookup('Bulk Order Details'!S65,RightSleeve[Display],RightSleeve[Flat]),ROUND(_xlfn.xlookup('Bulk Order Details'!S65,RightSleeve[Display],RightSleeve[Pct])*$E55,2))),"")</f>
        <v/>
      </c>
      <c r="Q55" s="214" t="str">
        <f aca="false">IF('Bulk Order Details'!J65="","",SUM(F55:P55))</f>
        <v/>
      </c>
      <c r="R55" s="213" t="str">
        <f aca="false">IFERROR(E55-D55,"")</f>
        <v/>
      </c>
      <c r="S55" s="215" t="str">
        <f aca="false">IFERROR(MIN(IF(Summary!$D$11="Yes",-J55,0),IF(H55&gt;0,-J55,0)),"")</f>
        <v/>
      </c>
      <c r="T55" s="212" t="str">
        <f aca="false">IFERROR(IF(Summary!$D$10="Yes",-K55,""),"")</f>
        <v/>
      </c>
      <c r="U55" s="213" t="str">
        <f aca="false">IFERROR(IF(Summary!$D$12="Yes",-L55,""),"")</f>
        <v/>
      </c>
      <c r="V55" s="216" t="str">
        <f aca="false">IF('Bulk Order Details'!J65="","",SUM(R55:U55))</f>
        <v/>
      </c>
      <c r="W55" s="217" t="str">
        <f aca="false">IF('Bulk Order Details'!J65="","",D55+Q55)</f>
        <v/>
      </c>
      <c r="X55" s="218" t="str">
        <f aca="false">IF('Bulk Order Details'!J65="","",D55+Q55+V55)</f>
        <v/>
      </c>
      <c r="Y55" s="219" t="str">
        <f aca="false">IFERROR((W55-X55)/W55,"")</f>
        <v/>
      </c>
      <c r="Z55" s="220" t="str">
        <f aca="false">IF('Bulk Order Details'!J65="","",MAX(1,'Bulk Order Details'!D65))</f>
        <v/>
      </c>
      <c r="AA55" s="217" t="str">
        <f aca="false">IF(Pricing_Details[[#This Row],[Quantity]]="","",Pricing_Details[[#This Row],[Retail Price]]*Pricing_Details[[#This Row],[Quantity]])</f>
        <v/>
      </c>
      <c r="AB55" s="217" t="str">
        <f aca="false">IF(Pricing_Details[[#This Row],[Quantity]]="","",Pricing_Details[[#This Row],[Total Discount]]*Pricing_Details[[#This Row],[Quantity]])</f>
        <v/>
      </c>
      <c r="AC55" s="221" t="str">
        <f aca="false">IFERROR(ROUND(Pricing_Details[[#This Row],[Actual Price]]*Pricing_Details[[#This Row],[Quantity]],2),"")</f>
        <v/>
      </c>
      <c r="AE55" s="179" t="str">
        <f aca="false">IF('Bulk Order Details'!J65="","",VLOOKUP('Bulk Order Details'!H65,Collection[],3)&amp;VLOOKUP('Bulk Order Details'!J65,Collar[],4)&amp;VLOOKUP('Bulk Order Details'!I65,Sleeve[],4))</f>
        <v/>
      </c>
      <c r="AF55" s="179" t="str">
        <f aca="false">IF('Bulk Order Details'!J65="","",LOOKUP('Bulk Order Details'!E65,Cut[Display],Cut[Code])&amp;LOOKUP('Bulk Order Details'!F65,#REF!,#REF!)&amp;IF('Bulk Order Details'!G65="","",LOOKUP('Bulk Order Details'!G65,Length[Display],Length[Code])))</f>
        <v/>
      </c>
      <c r="AG55" s="179" t="str">
        <f aca="false">IF('Bulk Order Details'!J65="","",IF('Bulk Order Details'!C65="","",'Bulk Order Details'!C65))</f>
        <v/>
      </c>
      <c r="AH55" s="179" t="str">
        <f aca="false">IF('Bulk Order Details'!O65="","","-"&amp;LOOKUP('Bulk Order Details'!O65,#REF!,#REF!))</f>
        <v/>
      </c>
      <c r="AI55" s="179" t="str">
        <f aca="false">IF('Bulk Order Details'!P65="","","-"&amp;LOOKUP('Bulk Order Details'!P65,#REF!,#REF!))</f>
        <v/>
      </c>
      <c r="AJ55" s="179" t="str">
        <f aca="false">IF('Bulk Order Details'!Q65="","","-"&amp;LOOKUP('Bulk Order Details'!Q65,#REF!,#REF!))</f>
        <v/>
      </c>
      <c r="AK55" s="179" t="str">
        <f aca="false">IF('Bulk Order Details'!R65="","","-"&amp;LOOKUP('Bulk Order Details'!R65,#REF!,#REF!))</f>
        <v/>
      </c>
      <c r="AL55" s="179" t="str">
        <f aca="false">IF('Bulk Order Details'!S65="","","-"&amp;LOOKUP('Bulk Order Details'!S65,#REF!,#REF!))</f>
        <v/>
      </c>
      <c r="AM55" s="179" t="str">
        <f aca="false">IF(_xlfn.CONCAT(AH55:AL55)="","","Lo"&amp;_xlfn.CONCAT(AH55:AL55))</f>
        <v/>
      </c>
      <c r="AN55" s="179" t="str">
        <f aca="false">IF('Bulk Order Details'!K65="","","Na-"&amp;'Bulk Order Details'!K65)</f>
        <v/>
      </c>
      <c r="AO55" s="179" t="str">
        <f aca="false">IF('Bulk Order Details'!N65="","","Fo-"&amp;'Bulk Order Details'!N65)</f>
        <v/>
      </c>
      <c r="AP55" s="179" t="str">
        <f aca="false">IF(AE55="","",AE55&amp;"_"&amp;AF55&amp;"_"&amp;AG55&amp;IF(AM55="","","_"&amp;AM55)&amp;IF(AN55="","","_"&amp;AN55)&amp;IF(AO55="","","_"&amp;AO55))</f>
        <v/>
      </c>
      <c r="AQ55" s="218" t="str">
        <f aca="false">IF(X55="","",X55)</f>
        <v/>
      </c>
    </row>
    <row r="56" customFormat="false" ht="15" hidden="false" customHeight="true" outlineLevel="0" collapsed="false">
      <c r="B56" s="209" t="n">
        <f aca="false">'Bulk Order Details'!B66</f>
        <v>53</v>
      </c>
      <c r="C56" s="209" t="e">
        <f aca="false">IF('bulk order details'!#ref!="","",'bulk order details'!#ref!&amp;" "&amp;'bulk order details'!#ref!)</f>
        <v>#VALUE!</v>
      </c>
      <c r="D56" s="210" t="str">
        <f aca="false">IF('Bulk Order Details'!J66="","",VLOOKUP(1,Price[],3))</f>
        <v/>
      </c>
      <c r="E56" s="211" t="str">
        <f aca="false">IF('Bulk Order Details'!J66="","",Summary!$D$9)</f>
        <v/>
      </c>
      <c r="F56" s="212" t="str">
        <f aca="false">IF('Bulk Order Details'!F66="","",_xlfn.xlookup('Bulk Order Details'!F66,Size[Display],Size[Price]))</f>
        <v/>
      </c>
      <c r="G56" s="212" t="str">
        <f aca="false">IF('Bulk Order Details'!G66="","",_xlfn.xlookup('Bulk Order Details'!G66,Length[Display],Length[Price]))</f>
        <v/>
      </c>
      <c r="H56" s="212" t="str">
        <f aca="false">IF('Bulk Order Details'!H66="","",_xlfn.xlookup('Bulk Order Details'!H66,Collection[Display],Collection[Price]))</f>
        <v/>
      </c>
      <c r="I56" s="212" t="str">
        <f aca="false">IF('Bulk Order Details'!I66="","",_xlfn.xlookup('Bulk Order Details'!I66,Sleeve[Display],Sleeve[Price]))</f>
        <v/>
      </c>
      <c r="J56" s="212" t="str">
        <f aca="false">IF('Bulk Order Details'!J66="","",_xlfn.xlookup('Bulk Order Details'!J66,Collar[Display],Collar[Price]))</f>
        <v/>
      </c>
      <c r="K56" s="212" t="str">
        <f aca="false">IF('Bulk Order Details'!K66="","",_xlfn.xlookup("Name",Name[Name],Name[Price]))</f>
        <v/>
      </c>
      <c r="L56" s="213" t="str">
        <f aca="false">IFERROR(IF('Bulk Order Details'!O66="","",IF(_xlfn.xlookup('Bulk Order Details'!O66,Logos[Display],Logos[Use])="Flat",_xlfn.xlookup('Bulk Order Details'!O66,Logos[Display],Logos[Flat]),ROUND(_xlfn.xlookup('Bulk Order Details'!O66,Logos[Display],Logos[Pct])*$E56,2))),"")</f>
        <v/>
      </c>
      <c r="M56" s="222" t="str">
        <f aca="false">IFERROR(IF('Bulk Order Details'!P66="","",IF(_xlfn.xlookup('Bulk Order Details'!P66,Chest[Display],Chest[Use])="Flat",_xlfn.xlookup('Bulk Order Details'!P66,Chest[Display],Chest[Flat]),ROUND(_xlfn.xlookup('Bulk Order Details'!P66,Chest[Display],Chest[Pct])*$E56,2))),"")</f>
        <v/>
      </c>
      <c r="N56" s="222" t="str">
        <f aca="false">IFERROR(IF('Bulk Order Details'!Q66="","",IF(_xlfn.xlookup('Bulk Order Details'!Q66,Chest[Display],Chest[Use])="Flat",_xlfn.xlookup('Bulk Order Details'!Q66,Chest[Display],Chest[Flat]),ROUND(_xlfn.xlookup('Bulk Order Details'!Q66,Chest[Display],Chest[Pct])*$E56,2))),"")</f>
        <v/>
      </c>
      <c r="O56" s="222" t="str">
        <f aca="false">IFERROR(IF('Bulk Order Details'!R66="","",IF(_xlfn.xlookup('Bulk Order Details'!R66,LeftSleeve[Display],LeftSleeve[Use])="Flat",_xlfn.xlookup('Bulk Order Details'!R66,LeftSleeve[Display],LeftSleeve[Flat]),ROUND(_xlfn.xlookup('Bulk Order Details'!R66,LeftSleeve[Display],LeftSleeve[Pct])*$E56,2))),"")</f>
        <v/>
      </c>
      <c r="P56" s="222" t="str">
        <f aca="false">IFERROR(IF('Bulk Order Details'!S66="","",IF(_xlfn.xlookup('Bulk Order Details'!S66,RightSleeve[Display],RightSleeve[Use])="Flat",_xlfn.xlookup('Bulk Order Details'!S66,RightSleeve[Display],RightSleeve[Flat]),ROUND(_xlfn.xlookup('Bulk Order Details'!S66,RightSleeve[Display],RightSleeve[Pct])*$E56,2))),"")</f>
        <v/>
      </c>
      <c r="Q56" s="214" t="str">
        <f aca="false">IF('Bulk Order Details'!J66="","",SUM(F56:P56))</f>
        <v/>
      </c>
      <c r="R56" s="213" t="str">
        <f aca="false">IFERROR(E56-D56,"")</f>
        <v/>
      </c>
      <c r="S56" s="215" t="str">
        <f aca="false">IFERROR(MIN(IF(Summary!$D$11="Yes",-J56,0),IF(H56&gt;0,-J56,0)),"")</f>
        <v/>
      </c>
      <c r="T56" s="212" t="str">
        <f aca="false">IFERROR(IF(Summary!$D$10="Yes",-K56,""),"")</f>
        <v/>
      </c>
      <c r="U56" s="213" t="str">
        <f aca="false">IFERROR(IF(Summary!$D$12="Yes",-L56,""),"")</f>
        <v/>
      </c>
      <c r="V56" s="216" t="str">
        <f aca="false">IF('Bulk Order Details'!J66="","",SUM(R56:U56))</f>
        <v/>
      </c>
      <c r="W56" s="217" t="str">
        <f aca="false">IF('Bulk Order Details'!J66="","",D56+Q56)</f>
        <v/>
      </c>
      <c r="X56" s="218" t="str">
        <f aca="false">IF('Bulk Order Details'!J66="","",D56+Q56+V56)</f>
        <v/>
      </c>
      <c r="Y56" s="219" t="str">
        <f aca="false">IFERROR((W56-X56)/W56,"")</f>
        <v/>
      </c>
      <c r="Z56" s="220" t="str">
        <f aca="false">IF('Bulk Order Details'!J66="","",MAX(1,'Bulk Order Details'!D66))</f>
        <v/>
      </c>
      <c r="AA56" s="217" t="str">
        <f aca="false">IF(Pricing_Details[[#This Row],[Quantity]]="","",Pricing_Details[[#This Row],[Retail Price]]*Pricing_Details[[#This Row],[Quantity]])</f>
        <v/>
      </c>
      <c r="AB56" s="217" t="str">
        <f aca="false">IF(Pricing_Details[[#This Row],[Quantity]]="","",Pricing_Details[[#This Row],[Total Discount]]*Pricing_Details[[#This Row],[Quantity]])</f>
        <v/>
      </c>
      <c r="AC56" s="221" t="str">
        <f aca="false">IFERROR(ROUND(Pricing_Details[[#This Row],[Actual Price]]*Pricing_Details[[#This Row],[Quantity]],2),"")</f>
        <v/>
      </c>
      <c r="AE56" s="179" t="str">
        <f aca="false">IF('Bulk Order Details'!J66="","",VLOOKUP('Bulk Order Details'!H66,Collection[],3)&amp;VLOOKUP('Bulk Order Details'!J66,Collar[],4)&amp;VLOOKUP('Bulk Order Details'!I66,Sleeve[],4))</f>
        <v/>
      </c>
      <c r="AF56" s="179" t="str">
        <f aca="false">IF('Bulk Order Details'!J66="","",LOOKUP('Bulk Order Details'!E66,Cut[Display],Cut[Code])&amp;LOOKUP('Bulk Order Details'!F66,#REF!,#REF!)&amp;IF('Bulk Order Details'!G66="","",LOOKUP('Bulk Order Details'!G66,Length[Display],Length[Code])))</f>
        <v/>
      </c>
      <c r="AG56" s="179" t="str">
        <f aca="false">IF('Bulk Order Details'!J66="","",IF('Bulk Order Details'!C66="","",'Bulk Order Details'!C66))</f>
        <v/>
      </c>
      <c r="AH56" s="179" t="str">
        <f aca="false">IF('Bulk Order Details'!O66="","","-"&amp;LOOKUP('Bulk Order Details'!O66,#REF!,#REF!))</f>
        <v/>
      </c>
      <c r="AI56" s="179" t="str">
        <f aca="false">IF('Bulk Order Details'!P66="","","-"&amp;LOOKUP('Bulk Order Details'!P66,#REF!,#REF!))</f>
        <v/>
      </c>
      <c r="AJ56" s="179" t="str">
        <f aca="false">IF('Bulk Order Details'!Q66="","","-"&amp;LOOKUP('Bulk Order Details'!Q66,#REF!,#REF!))</f>
        <v/>
      </c>
      <c r="AK56" s="179" t="str">
        <f aca="false">IF('Bulk Order Details'!R66="","","-"&amp;LOOKUP('Bulk Order Details'!R66,#REF!,#REF!))</f>
        <v/>
      </c>
      <c r="AL56" s="179" t="str">
        <f aca="false">IF('Bulk Order Details'!S66="","","-"&amp;LOOKUP('Bulk Order Details'!S66,#REF!,#REF!))</f>
        <v/>
      </c>
      <c r="AM56" s="179" t="str">
        <f aca="false">IF(_xlfn.CONCAT(AH56:AL56)="","","Lo"&amp;_xlfn.CONCAT(AH56:AL56))</f>
        <v/>
      </c>
      <c r="AN56" s="179" t="str">
        <f aca="false">IF('Bulk Order Details'!K66="","","Na-"&amp;'Bulk Order Details'!K66)</f>
        <v/>
      </c>
      <c r="AO56" s="179" t="str">
        <f aca="false">IF('Bulk Order Details'!N66="","","Fo-"&amp;'Bulk Order Details'!N66)</f>
        <v/>
      </c>
      <c r="AP56" s="179" t="str">
        <f aca="false">IF(AE56="","",AE56&amp;"_"&amp;AF56&amp;"_"&amp;AG56&amp;IF(AM56="","","_"&amp;AM56)&amp;IF(AN56="","","_"&amp;AN56)&amp;IF(AO56="","","_"&amp;AO56))</f>
        <v/>
      </c>
      <c r="AQ56" s="218" t="str">
        <f aca="false">IF(X56="","",X56)</f>
        <v/>
      </c>
    </row>
    <row r="57" customFormat="false" ht="15" hidden="false" customHeight="true" outlineLevel="0" collapsed="false">
      <c r="B57" s="209" t="n">
        <f aca="false">'Bulk Order Details'!B67</f>
        <v>54</v>
      </c>
      <c r="C57" s="209" t="e">
        <f aca="false">IF('bulk order details'!#ref!="","",'bulk order details'!#ref!&amp;" "&amp;'bulk order details'!#ref!)</f>
        <v>#VALUE!</v>
      </c>
      <c r="D57" s="210" t="str">
        <f aca="false">IF('Bulk Order Details'!J67="","",VLOOKUP(1,Price[],3))</f>
        <v/>
      </c>
      <c r="E57" s="211" t="str">
        <f aca="false">IF('Bulk Order Details'!J67="","",Summary!$D$9)</f>
        <v/>
      </c>
      <c r="F57" s="212" t="str">
        <f aca="false">IF('Bulk Order Details'!F67="","",_xlfn.xlookup('Bulk Order Details'!F67,Size[Display],Size[Price]))</f>
        <v/>
      </c>
      <c r="G57" s="212" t="str">
        <f aca="false">IF('Bulk Order Details'!G67="","",_xlfn.xlookup('Bulk Order Details'!G67,Length[Display],Length[Price]))</f>
        <v/>
      </c>
      <c r="H57" s="212" t="str">
        <f aca="false">IF('Bulk Order Details'!H67="","",_xlfn.xlookup('Bulk Order Details'!H67,Collection[Display],Collection[Price]))</f>
        <v/>
      </c>
      <c r="I57" s="212" t="str">
        <f aca="false">IF('Bulk Order Details'!I67="","",_xlfn.xlookup('Bulk Order Details'!I67,Sleeve[Display],Sleeve[Price]))</f>
        <v/>
      </c>
      <c r="J57" s="212" t="str">
        <f aca="false">IF('Bulk Order Details'!J67="","",_xlfn.xlookup('Bulk Order Details'!J67,Collar[Display],Collar[Price]))</f>
        <v/>
      </c>
      <c r="K57" s="212" t="str">
        <f aca="false">IF('Bulk Order Details'!K67="","",_xlfn.xlookup("Name",Name[Name],Name[Price]))</f>
        <v/>
      </c>
      <c r="L57" s="213" t="str">
        <f aca="false">IFERROR(IF('Bulk Order Details'!O67="","",IF(_xlfn.xlookup('Bulk Order Details'!O67,Logos[Display],Logos[Use])="Flat",_xlfn.xlookup('Bulk Order Details'!O67,Logos[Display],Logos[Flat]),ROUND(_xlfn.xlookup('Bulk Order Details'!O67,Logos[Display],Logos[Pct])*$E57,2))),"")</f>
        <v/>
      </c>
      <c r="M57" s="222" t="str">
        <f aca="false">IFERROR(IF('Bulk Order Details'!P67="","",IF(_xlfn.xlookup('Bulk Order Details'!P67,Chest[Display],Chest[Use])="Flat",_xlfn.xlookup('Bulk Order Details'!P67,Chest[Display],Chest[Flat]),ROUND(_xlfn.xlookup('Bulk Order Details'!P67,Chest[Display],Chest[Pct])*$E57,2))),"")</f>
        <v/>
      </c>
      <c r="N57" s="222" t="str">
        <f aca="false">IFERROR(IF('Bulk Order Details'!Q67="","",IF(_xlfn.xlookup('Bulk Order Details'!Q67,Chest[Display],Chest[Use])="Flat",_xlfn.xlookup('Bulk Order Details'!Q67,Chest[Display],Chest[Flat]),ROUND(_xlfn.xlookup('Bulk Order Details'!Q67,Chest[Display],Chest[Pct])*$E57,2))),"")</f>
        <v/>
      </c>
      <c r="O57" s="222" t="str">
        <f aca="false">IFERROR(IF('Bulk Order Details'!R67="","",IF(_xlfn.xlookup('Bulk Order Details'!R67,LeftSleeve[Display],LeftSleeve[Use])="Flat",_xlfn.xlookup('Bulk Order Details'!R67,LeftSleeve[Display],LeftSleeve[Flat]),ROUND(_xlfn.xlookup('Bulk Order Details'!R67,LeftSleeve[Display],LeftSleeve[Pct])*$E57,2))),"")</f>
        <v/>
      </c>
      <c r="P57" s="222" t="str">
        <f aca="false">IFERROR(IF('Bulk Order Details'!S67="","",IF(_xlfn.xlookup('Bulk Order Details'!S67,RightSleeve[Display],RightSleeve[Use])="Flat",_xlfn.xlookup('Bulk Order Details'!S67,RightSleeve[Display],RightSleeve[Flat]),ROUND(_xlfn.xlookup('Bulk Order Details'!S67,RightSleeve[Display],RightSleeve[Pct])*$E57,2))),"")</f>
        <v/>
      </c>
      <c r="Q57" s="214" t="str">
        <f aca="false">IF('Bulk Order Details'!J67="","",SUM(F57:P57))</f>
        <v/>
      </c>
      <c r="R57" s="213" t="str">
        <f aca="false">IFERROR(E57-D57,"")</f>
        <v/>
      </c>
      <c r="S57" s="215" t="str">
        <f aca="false">IFERROR(MIN(IF(Summary!$D$11="Yes",-J57,0),IF(H57&gt;0,-J57,0)),"")</f>
        <v/>
      </c>
      <c r="T57" s="212" t="str">
        <f aca="false">IFERROR(IF(Summary!$D$10="Yes",-K57,""),"")</f>
        <v/>
      </c>
      <c r="U57" s="213" t="str">
        <f aca="false">IFERROR(IF(Summary!$D$12="Yes",-L57,""),"")</f>
        <v/>
      </c>
      <c r="V57" s="216" t="str">
        <f aca="false">IF('Bulk Order Details'!J67="","",SUM(R57:U57))</f>
        <v/>
      </c>
      <c r="W57" s="217" t="str">
        <f aca="false">IF('Bulk Order Details'!J67="","",D57+Q57)</f>
        <v/>
      </c>
      <c r="X57" s="218" t="str">
        <f aca="false">IF('Bulk Order Details'!J67="","",D57+Q57+V57)</f>
        <v/>
      </c>
      <c r="Y57" s="219" t="str">
        <f aca="false">IFERROR((W57-X57)/W57,"")</f>
        <v/>
      </c>
      <c r="Z57" s="220" t="str">
        <f aca="false">IF('Bulk Order Details'!J67="","",MAX(1,'Bulk Order Details'!D67))</f>
        <v/>
      </c>
      <c r="AA57" s="217" t="str">
        <f aca="false">IF(Pricing_Details[[#This Row],[Quantity]]="","",Pricing_Details[[#This Row],[Retail Price]]*Pricing_Details[[#This Row],[Quantity]])</f>
        <v/>
      </c>
      <c r="AB57" s="217" t="str">
        <f aca="false">IF(Pricing_Details[[#This Row],[Quantity]]="","",Pricing_Details[[#This Row],[Total Discount]]*Pricing_Details[[#This Row],[Quantity]])</f>
        <v/>
      </c>
      <c r="AC57" s="221" t="str">
        <f aca="false">IFERROR(ROUND(Pricing_Details[[#This Row],[Actual Price]]*Pricing_Details[[#This Row],[Quantity]],2),"")</f>
        <v/>
      </c>
      <c r="AE57" s="179" t="str">
        <f aca="false">IF('Bulk Order Details'!J67="","",VLOOKUP('Bulk Order Details'!H67,Collection[],3)&amp;VLOOKUP('Bulk Order Details'!J67,Collar[],4)&amp;VLOOKUP('Bulk Order Details'!I67,Sleeve[],4))</f>
        <v/>
      </c>
      <c r="AF57" s="179" t="str">
        <f aca="false">IF('Bulk Order Details'!J67="","",LOOKUP('Bulk Order Details'!E67,Cut[Display],Cut[Code])&amp;LOOKUP('Bulk Order Details'!F67,#REF!,#REF!)&amp;IF('Bulk Order Details'!G67="","",LOOKUP('Bulk Order Details'!G67,Length[Display],Length[Code])))</f>
        <v/>
      </c>
      <c r="AG57" s="179" t="str">
        <f aca="false">IF('Bulk Order Details'!J67="","",IF('Bulk Order Details'!C67="","",'Bulk Order Details'!C67))</f>
        <v/>
      </c>
      <c r="AH57" s="179" t="str">
        <f aca="false">IF('Bulk Order Details'!O67="","","-"&amp;LOOKUP('Bulk Order Details'!O67,#REF!,#REF!))</f>
        <v/>
      </c>
      <c r="AI57" s="179" t="str">
        <f aca="false">IF('Bulk Order Details'!P67="","","-"&amp;LOOKUP('Bulk Order Details'!P67,#REF!,#REF!))</f>
        <v/>
      </c>
      <c r="AJ57" s="179" t="str">
        <f aca="false">IF('Bulk Order Details'!Q67="","","-"&amp;LOOKUP('Bulk Order Details'!Q67,#REF!,#REF!))</f>
        <v/>
      </c>
      <c r="AK57" s="179" t="str">
        <f aca="false">IF('Bulk Order Details'!R67="","","-"&amp;LOOKUP('Bulk Order Details'!R67,#REF!,#REF!))</f>
        <v/>
      </c>
      <c r="AL57" s="179" t="str">
        <f aca="false">IF('Bulk Order Details'!S67="","","-"&amp;LOOKUP('Bulk Order Details'!S67,#REF!,#REF!))</f>
        <v/>
      </c>
      <c r="AM57" s="179" t="str">
        <f aca="false">IF(_xlfn.CONCAT(AH57:AL57)="","","Lo"&amp;_xlfn.CONCAT(AH57:AL57))</f>
        <v/>
      </c>
      <c r="AN57" s="179" t="str">
        <f aca="false">IF('Bulk Order Details'!K67="","","Na-"&amp;'Bulk Order Details'!K67)</f>
        <v/>
      </c>
      <c r="AO57" s="179" t="str">
        <f aca="false">IF('Bulk Order Details'!N67="","","Fo-"&amp;'Bulk Order Details'!N67)</f>
        <v/>
      </c>
      <c r="AP57" s="179" t="str">
        <f aca="false">IF(AE57="","",AE57&amp;"_"&amp;AF57&amp;"_"&amp;AG57&amp;IF(AM57="","","_"&amp;AM57)&amp;IF(AN57="","","_"&amp;AN57)&amp;IF(AO57="","","_"&amp;AO57))</f>
        <v/>
      </c>
      <c r="AQ57" s="218" t="str">
        <f aca="false">IF(X57="","",X57)</f>
        <v/>
      </c>
    </row>
    <row r="58" customFormat="false" ht="15" hidden="false" customHeight="true" outlineLevel="0" collapsed="false">
      <c r="B58" s="209" t="n">
        <f aca="false">'Bulk Order Details'!B68</f>
        <v>55</v>
      </c>
      <c r="C58" s="209" t="e">
        <f aca="false">IF('bulk order details'!#ref!="","",'bulk order details'!#ref!&amp;" "&amp;'bulk order details'!#ref!)</f>
        <v>#VALUE!</v>
      </c>
      <c r="D58" s="210" t="str">
        <f aca="false">IF('Bulk Order Details'!J68="","",VLOOKUP(1,Price[],3))</f>
        <v/>
      </c>
      <c r="E58" s="211" t="str">
        <f aca="false">IF('Bulk Order Details'!J68="","",Summary!$D$9)</f>
        <v/>
      </c>
      <c r="F58" s="212" t="str">
        <f aca="false">IF('Bulk Order Details'!F68="","",_xlfn.xlookup('Bulk Order Details'!F68,Size[Display],Size[Price]))</f>
        <v/>
      </c>
      <c r="G58" s="212" t="str">
        <f aca="false">IF('Bulk Order Details'!G68="","",_xlfn.xlookup('Bulk Order Details'!G68,Length[Display],Length[Price]))</f>
        <v/>
      </c>
      <c r="H58" s="212" t="str">
        <f aca="false">IF('Bulk Order Details'!H68="","",_xlfn.xlookup('Bulk Order Details'!H68,Collection[Display],Collection[Price]))</f>
        <v/>
      </c>
      <c r="I58" s="212" t="str">
        <f aca="false">IF('Bulk Order Details'!I68="","",_xlfn.xlookup('Bulk Order Details'!I68,Sleeve[Display],Sleeve[Price]))</f>
        <v/>
      </c>
      <c r="J58" s="212" t="str">
        <f aca="false">IF('Bulk Order Details'!J68="","",_xlfn.xlookup('Bulk Order Details'!J68,Collar[Display],Collar[Price]))</f>
        <v/>
      </c>
      <c r="K58" s="212" t="str">
        <f aca="false">IF('Bulk Order Details'!K68="","",_xlfn.xlookup("Name",Name[Name],Name[Price]))</f>
        <v/>
      </c>
      <c r="L58" s="213" t="str">
        <f aca="false">IFERROR(IF('Bulk Order Details'!O68="","",IF(_xlfn.xlookup('Bulk Order Details'!O68,Logos[Display],Logos[Use])="Flat",_xlfn.xlookup('Bulk Order Details'!O68,Logos[Display],Logos[Flat]),ROUND(_xlfn.xlookup('Bulk Order Details'!O68,Logos[Display],Logos[Pct])*$E58,2))),"")</f>
        <v/>
      </c>
      <c r="M58" s="222" t="str">
        <f aca="false">IFERROR(IF('Bulk Order Details'!P68="","",IF(_xlfn.xlookup('Bulk Order Details'!P68,Chest[Display],Chest[Use])="Flat",_xlfn.xlookup('Bulk Order Details'!P68,Chest[Display],Chest[Flat]),ROUND(_xlfn.xlookup('Bulk Order Details'!P68,Chest[Display],Chest[Pct])*$E58,2))),"")</f>
        <v/>
      </c>
      <c r="N58" s="222" t="str">
        <f aca="false">IFERROR(IF('Bulk Order Details'!Q68="","",IF(_xlfn.xlookup('Bulk Order Details'!Q68,Chest[Display],Chest[Use])="Flat",_xlfn.xlookup('Bulk Order Details'!Q68,Chest[Display],Chest[Flat]),ROUND(_xlfn.xlookup('Bulk Order Details'!Q68,Chest[Display],Chest[Pct])*$E58,2))),"")</f>
        <v/>
      </c>
      <c r="O58" s="222" t="str">
        <f aca="false">IFERROR(IF('Bulk Order Details'!R68="","",IF(_xlfn.xlookup('Bulk Order Details'!R68,LeftSleeve[Display],LeftSleeve[Use])="Flat",_xlfn.xlookup('Bulk Order Details'!R68,LeftSleeve[Display],LeftSleeve[Flat]),ROUND(_xlfn.xlookup('Bulk Order Details'!R68,LeftSleeve[Display],LeftSleeve[Pct])*$E58,2))),"")</f>
        <v/>
      </c>
      <c r="P58" s="222" t="str">
        <f aca="false">IFERROR(IF('Bulk Order Details'!S68="","",IF(_xlfn.xlookup('Bulk Order Details'!S68,RightSleeve[Display],RightSleeve[Use])="Flat",_xlfn.xlookup('Bulk Order Details'!S68,RightSleeve[Display],RightSleeve[Flat]),ROUND(_xlfn.xlookup('Bulk Order Details'!S68,RightSleeve[Display],RightSleeve[Pct])*$E58,2))),"")</f>
        <v/>
      </c>
      <c r="Q58" s="214" t="str">
        <f aca="false">IF('Bulk Order Details'!J68="","",SUM(F58:P58))</f>
        <v/>
      </c>
      <c r="R58" s="213" t="str">
        <f aca="false">IFERROR(E58-D58,"")</f>
        <v/>
      </c>
      <c r="S58" s="215" t="str">
        <f aca="false">IFERROR(MIN(IF(Summary!$D$11="Yes",-J58,0),IF(H58&gt;0,-J58,0)),"")</f>
        <v/>
      </c>
      <c r="T58" s="212" t="str">
        <f aca="false">IFERROR(IF(Summary!$D$10="Yes",-K58,""),"")</f>
        <v/>
      </c>
      <c r="U58" s="213" t="str">
        <f aca="false">IFERROR(IF(Summary!$D$12="Yes",-L58,""),"")</f>
        <v/>
      </c>
      <c r="V58" s="216" t="str">
        <f aca="false">IF('Bulk Order Details'!J68="","",SUM(R58:U58))</f>
        <v/>
      </c>
      <c r="W58" s="217" t="str">
        <f aca="false">IF('Bulk Order Details'!J68="","",D58+Q58)</f>
        <v/>
      </c>
      <c r="X58" s="218" t="str">
        <f aca="false">IF('Bulk Order Details'!J68="","",D58+Q58+V58)</f>
        <v/>
      </c>
      <c r="Y58" s="219" t="str">
        <f aca="false">IFERROR((W58-X58)/W58,"")</f>
        <v/>
      </c>
      <c r="Z58" s="220" t="str">
        <f aca="false">IF('Bulk Order Details'!J68="","",MAX(1,'Bulk Order Details'!D68))</f>
        <v/>
      </c>
      <c r="AA58" s="217" t="str">
        <f aca="false">IF(Pricing_Details[[#This Row],[Quantity]]="","",Pricing_Details[[#This Row],[Retail Price]]*Pricing_Details[[#This Row],[Quantity]])</f>
        <v/>
      </c>
      <c r="AB58" s="217" t="str">
        <f aca="false">IF(Pricing_Details[[#This Row],[Quantity]]="","",Pricing_Details[[#This Row],[Total Discount]]*Pricing_Details[[#This Row],[Quantity]])</f>
        <v/>
      </c>
      <c r="AC58" s="221" t="str">
        <f aca="false">IFERROR(ROUND(Pricing_Details[[#This Row],[Actual Price]]*Pricing_Details[[#This Row],[Quantity]],2),"")</f>
        <v/>
      </c>
      <c r="AE58" s="179" t="str">
        <f aca="false">IF('Bulk Order Details'!J68="","",VLOOKUP('Bulk Order Details'!H68,Collection[],3)&amp;VLOOKUP('Bulk Order Details'!J68,Collar[],4)&amp;VLOOKUP('Bulk Order Details'!I68,Sleeve[],4))</f>
        <v/>
      </c>
      <c r="AF58" s="179" t="str">
        <f aca="false">IF('Bulk Order Details'!J68="","",LOOKUP('Bulk Order Details'!E68,Cut[Display],Cut[Code])&amp;LOOKUP('Bulk Order Details'!F68,#REF!,#REF!)&amp;IF('Bulk Order Details'!G68="","",LOOKUP('Bulk Order Details'!G68,Length[Display],Length[Code])))</f>
        <v/>
      </c>
      <c r="AG58" s="179" t="str">
        <f aca="false">IF('Bulk Order Details'!J68="","",IF('Bulk Order Details'!C68="","",'Bulk Order Details'!C68))</f>
        <v/>
      </c>
      <c r="AH58" s="179" t="str">
        <f aca="false">IF('Bulk Order Details'!O68="","","-"&amp;LOOKUP('Bulk Order Details'!O68,#REF!,#REF!))</f>
        <v/>
      </c>
      <c r="AI58" s="179" t="str">
        <f aca="false">IF('Bulk Order Details'!P68="","","-"&amp;LOOKUP('Bulk Order Details'!P68,#REF!,#REF!))</f>
        <v/>
      </c>
      <c r="AJ58" s="179" t="str">
        <f aca="false">IF('Bulk Order Details'!Q68="","","-"&amp;LOOKUP('Bulk Order Details'!Q68,#REF!,#REF!))</f>
        <v/>
      </c>
      <c r="AK58" s="179" t="str">
        <f aca="false">IF('Bulk Order Details'!R68="","","-"&amp;LOOKUP('Bulk Order Details'!R68,#REF!,#REF!))</f>
        <v/>
      </c>
      <c r="AL58" s="179" t="str">
        <f aca="false">IF('Bulk Order Details'!S68="","","-"&amp;LOOKUP('Bulk Order Details'!S68,#REF!,#REF!))</f>
        <v/>
      </c>
      <c r="AM58" s="179" t="str">
        <f aca="false">IF(_xlfn.CONCAT(AH58:AL58)="","","Lo"&amp;_xlfn.CONCAT(AH58:AL58))</f>
        <v/>
      </c>
      <c r="AN58" s="179" t="str">
        <f aca="false">IF('Bulk Order Details'!K68="","","Na-"&amp;'Bulk Order Details'!K68)</f>
        <v/>
      </c>
      <c r="AO58" s="179" t="str">
        <f aca="false">IF('Bulk Order Details'!N68="","","Fo-"&amp;'Bulk Order Details'!N68)</f>
        <v/>
      </c>
      <c r="AP58" s="179" t="str">
        <f aca="false">IF(AE58="","",AE58&amp;"_"&amp;AF58&amp;"_"&amp;AG58&amp;IF(AM58="","","_"&amp;AM58)&amp;IF(AN58="","","_"&amp;AN58)&amp;IF(AO58="","","_"&amp;AO58))</f>
        <v/>
      </c>
      <c r="AQ58" s="218" t="str">
        <f aca="false">IF(X58="","",X58)</f>
        <v/>
      </c>
    </row>
    <row r="59" customFormat="false" ht="15" hidden="false" customHeight="true" outlineLevel="0" collapsed="false">
      <c r="B59" s="209" t="n">
        <f aca="false">'Bulk Order Details'!B69</f>
        <v>56</v>
      </c>
      <c r="C59" s="209" t="e">
        <f aca="false">IF('bulk order details'!#ref!="","",'bulk order details'!#ref!&amp;" "&amp;'bulk order details'!#ref!)</f>
        <v>#VALUE!</v>
      </c>
      <c r="D59" s="210" t="str">
        <f aca="false">IF('Bulk Order Details'!J69="","",VLOOKUP(1,Price[],3))</f>
        <v/>
      </c>
      <c r="E59" s="211" t="str">
        <f aca="false">IF('Bulk Order Details'!J69="","",Summary!$D$9)</f>
        <v/>
      </c>
      <c r="F59" s="212" t="str">
        <f aca="false">IF('Bulk Order Details'!F69="","",_xlfn.xlookup('Bulk Order Details'!F69,Size[Display],Size[Price]))</f>
        <v/>
      </c>
      <c r="G59" s="212" t="str">
        <f aca="false">IF('Bulk Order Details'!G69="","",_xlfn.xlookup('Bulk Order Details'!G69,Length[Display],Length[Price]))</f>
        <v/>
      </c>
      <c r="H59" s="212" t="str">
        <f aca="false">IF('Bulk Order Details'!H69="","",_xlfn.xlookup('Bulk Order Details'!H69,Collection[Display],Collection[Price]))</f>
        <v/>
      </c>
      <c r="I59" s="212" t="str">
        <f aca="false">IF('Bulk Order Details'!I69="","",_xlfn.xlookup('Bulk Order Details'!I69,Sleeve[Display],Sleeve[Price]))</f>
        <v/>
      </c>
      <c r="J59" s="212" t="str">
        <f aca="false">IF('Bulk Order Details'!J69="","",_xlfn.xlookup('Bulk Order Details'!J69,Collar[Display],Collar[Price]))</f>
        <v/>
      </c>
      <c r="K59" s="212" t="str">
        <f aca="false">IF('Bulk Order Details'!K69="","",_xlfn.xlookup("Name",Name[Name],Name[Price]))</f>
        <v/>
      </c>
      <c r="L59" s="213" t="str">
        <f aca="false">IFERROR(IF('Bulk Order Details'!O69="","",IF(_xlfn.xlookup('Bulk Order Details'!O69,Logos[Display],Logos[Use])="Flat",_xlfn.xlookup('Bulk Order Details'!O69,Logos[Display],Logos[Flat]),ROUND(_xlfn.xlookup('Bulk Order Details'!O69,Logos[Display],Logos[Pct])*$E59,2))),"")</f>
        <v/>
      </c>
      <c r="M59" s="222" t="str">
        <f aca="false">IFERROR(IF('Bulk Order Details'!P69="","",IF(_xlfn.xlookup('Bulk Order Details'!P69,Chest[Display],Chest[Use])="Flat",_xlfn.xlookup('Bulk Order Details'!P69,Chest[Display],Chest[Flat]),ROUND(_xlfn.xlookup('Bulk Order Details'!P69,Chest[Display],Chest[Pct])*$E59,2))),"")</f>
        <v/>
      </c>
      <c r="N59" s="222" t="str">
        <f aca="false">IFERROR(IF('Bulk Order Details'!Q69="","",IF(_xlfn.xlookup('Bulk Order Details'!Q69,Chest[Display],Chest[Use])="Flat",_xlfn.xlookup('Bulk Order Details'!Q69,Chest[Display],Chest[Flat]),ROUND(_xlfn.xlookup('Bulk Order Details'!Q69,Chest[Display],Chest[Pct])*$E59,2))),"")</f>
        <v/>
      </c>
      <c r="O59" s="222" t="str">
        <f aca="false">IFERROR(IF('Bulk Order Details'!R69="","",IF(_xlfn.xlookup('Bulk Order Details'!R69,LeftSleeve[Display],LeftSleeve[Use])="Flat",_xlfn.xlookup('Bulk Order Details'!R69,LeftSleeve[Display],LeftSleeve[Flat]),ROUND(_xlfn.xlookup('Bulk Order Details'!R69,LeftSleeve[Display],LeftSleeve[Pct])*$E59,2))),"")</f>
        <v/>
      </c>
      <c r="P59" s="222" t="str">
        <f aca="false">IFERROR(IF('Bulk Order Details'!S69="","",IF(_xlfn.xlookup('Bulk Order Details'!S69,RightSleeve[Display],RightSleeve[Use])="Flat",_xlfn.xlookup('Bulk Order Details'!S69,RightSleeve[Display],RightSleeve[Flat]),ROUND(_xlfn.xlookup('Bulk Order Details'!S69,RightSleeve[Display],RightSleeve[Pct])*$E59,2))),"")</f>
        <v/>
      </c>
      <c r="Q59" s="214" t="str">
        <f aca="false">IF('Bulk Order Details'!J69="","",SUM(F59:P59))</f>
        <v/>
      </c>
      <c r="R59" s="213" t="str">
        <f aca="false">IFERROR(E59-D59,"")</f>
        <v/>
      </c>
      <c r="S59" s="215" t="str">
        <f aca="false">IFERROR(MIN(IF(Summary!$D$11="Yes",-J59,0),IF(H59&gt;0,-J59,0)),"")</f>
        <v/>
      </c>
      <c r="T59" s="212" t="str">
        <f aca="false">IFERROR(IF(Summary!$D$10="Yes",-K59,""),"")</f>
        <v/>
      </c>
      <c r="U59" s="213" t="str">
        <f aca="false">IFERROR(IF(Summary!$D$12="Yes",-L59,""),"")</f>
        <v/>
      </c>
      <c r="V59" s="216" t="str">
        <f aca="false">IF('Bulk Order Details'!J69="","",SUM(R59:U59))</f>
        <v/>
      </c>
      <c r="W59" s="217" t="str">
        <f aca="false">IF('Bulk Order Details'!J69="","",D59+Q59)</f>
        <v/>
      </c>
      <c r="X59" s="218" t="str">
        <f aca="false">IF('Bulk Order Details'!J69="","",D59+Q59+V59)</f>
        <v/>
      </c>
      <c r="Y59" s="219" t="str">
        <f aca="false">IFERROR((W59-X59)/W59,"")</f>
        <v/>
      </c>
      <c r="Z59" s="220" t="str">
        <f aca="false">IF('Bulk Order Details'!J69="","",MAX(1,'Bulk Order Details'!D69))</f>
        <v/>
      </c>
      <c r="AA59" s="217" t="str">
        <f aca="false">IF(Pricing_Details[[#This Row],[Quantity]]="","",Pricing_Details[[#This Row],[Retail Price]]*Pricing_Details[[#This Row],[Quantity]])</f>
        <v/>
      </c>
      <c r="AB59" s="217" t="str">
        <f aca="false">IF(Pricing_Details[[#This Row],[Quantity]]="","",Pricing_Details[[#This Row],[Total Discount]]*Pricing_Details[[#This Row],[Quantity]])</f>
        <v/>
      </c>
      <c r="AC59" s="221" t="str">
        <f aca="false">IFERROR(ROUND(Pricing_Details[[#This Row],[Actual Price]]*Pricing_Details[[#This Row],[Quantity]],2),"")</f>
        <v/>
      </c>
      <c r="AE59" s="179" t="str">
        <f aca="false">IF('Bulk Order Details'!J69="","",VLOOKUP('Bulk Order Details'!H69,Collection[],3)&amp;VLOOKUP('Bulk Order Details'!J69,Collar[],4)&amp;VLOOKUP('Bulk Order Details'!I69,Sleeve[],4))</f>
        <v/>
      </c>
      <c r="AF59" s="179" t="str">
        <f aca="false">IF('Bulk Order Details'!J69="","",LOOKUP('Bulk Order Details'!E69,Cut[Display],Cut[Code])&amp;LOOKUP('Bulk Order Details'!F69,#REF!,#REF!)&amp;IF('Bulk Order Details'!G69="","",LOOKUP('Bulk Order Details'!G69,Length[Display],Length[Code])))</f>
        <v/>
      </c>
      <c r="AG59" s="179" t="str">
        <f aca="false">IF('Bulk Order Details'!J69="","",IF('Bulk Order Details'!C69="","",'Bulk Order Details'!C69))</f>
        <v/>
      </c>
      <c r="AH59" s="179" t="str">
        <f aca="false">IF('Bulk Order Details'!O69="","","-"&amp;LOOKUP('Bulk Order Details'!O69,#REF!,#REF!))</f>
        <v/>
      </c>
      <c r="AI59" s="179" t="str">
        <f aca="false">IF('Bulk Order Details'!P69="","","-"&amp;LOOKUP('Bulk Order Details'!P69,#REF!,#REF!))</f>
        <v/>
      </c>
      <c r="AJ59" s="179" t="str">
        <f aca="false">IF('Bulk Order Details'!Q69="","","-"&amp;LOOKUP('Bulk Order Details'!Q69,#REF!,#REF!))</f>
        <v/>
      </c>
      <c r="AK59" s="179" t="str">
        <f aca="false">IF('Bulk Order Details'!R69="","","-"&amp;LOOKUP('Bulk Order Details'!R69,#REF!,#REF!))</f>
        <v/>
      </c>
      <c r="AL59" s="179" t="str">
        <f aca="false">IF('Bulk Order Details'!S69="","","-"&amp;LOOKUP('Bulk Order Details'!S69,#REF!,#REF!))</f>
        <v/>
      </c>
      <c r="AM59" s="179" t="str">
        <f aca="false">IF(_xlfn.CONCAT(AH59:AL59)="","","Lo"&amp;_xlfn.CONCAT(AH59:AL59))</f>
        <v/>
      </c>
      <c r="AN59" s="179" t="str">
        <f aca="false">IF('Bulk Order Details'!K69="","","Na-"&amp;'Bulk Order Details'!K69)</f>
        <v/>
      </c>
      <c r="AO59" s="179" t="str">
        <f aca="false">IF('Bulk Order Details'!N69="","","Fo-"&amp;'Bulk Order Details'!N69)</f>
        <v/>
      </c>
      <c r="AP59" s="179" t="str">
        <f aca="false">IF(AE59="","",AE59&amp;"_"&amp;AF59&amp;"_"&amp;AG59&amp;IF(AM59="","","_"&amp;AM59)&amp;IF(AN59="","","_"&amp;AN59)&amp;IF(AO59="","","_"&amp;AO59))</f>
        <v/>
      </c>
      <c r="AQ59" s="218" t="str">
        <f aca="false">IF(X59="","",X59)</f>
        <v/>
      </c>
    </row>
    <row r="60" customFormat="false" ht="15" hidden="false" customHeight="true" outlineLevel="0" collapsed="false">
      <c r="B60" s="209" t="n">
        <f aca="false">'Bulk Order Details'!B70</f>
        <v>57</v>
      </c>
      <c r="C60" s="209" t="e">
        <f aca="false">IF('bulk order details'!#ref!="","",'bulk order details'!#ref!&amp;" "&amp;'bulk order details'!#ref!)</f>
        <v>#VALUE!</v>
      </c>
      <c r="D60" s="210" t="str">
        <f aca="false">IF('Bulk Order Details'!J70="","",VLOOKUP(1,Price[],3))</f>
        <v/>
      </c>
      <c r="E60" s="211" t="str">
        <f aca="false">IF('Bulk Order Details'!J70="","",Summary!$D$9)</f>
        <v/>
      </c>
      <c r="F60" s="212" t="str">
        <f aca="false">IF('Bulk Order Details'!F70="","",_xlfn.xlookup('Bulk Order Details'!F70,Size[Display],Size[Price]))</f>
        <v/>
      </c>
      <c r="G60" s="212" t="str">
        <f aca="false">IF('Bulk Order Details'!G70="","",_xlfn.xlookup('Bulk Order Details'!G70,Length[Display],Length[Price]))</f>
        <v/>
      </c>
      <c r="H60" s="212" t="str">
        <f aca="false">IF('Bulk Order Details'!H70="","",_xlfn.xlookup('Bulk Order Details'!H70,Collection[Display],Collection[Price]))</f>
        <v/>
      </c>
      <c r="I60" s="212" t="str">
        <f aca="false">IF('Bulk Order Details'!I70="","",_xlfn.xlookup('Bulk Order Details'!I70,Sleeve[Display],Sleeve[Price]))</f>
        <v/>
      </c>
      <c r="J60" s="212" t="str">
        <f aca="false">IF('Bulk Order Details'!J70="","",_xlfn.xlookup('Bulk Order Details'!J70,Collar[Display],Collar[Price]))</f>
        <v/>
      </c>
      <c r="K60" s="212" t="str">
        <f aca="false">IF('Bulk Order Details'!K70="","",_xlfn.xlookup("Name",Name[Name],Name[Price]))</f>
        <v/>
      </c>
      <c r="L60" s="213" t="str">
        <f aca="false">IFERROR(IF('Bulk Order Details'!O70="","",IF(_xlfn.xlookup('Bulk Order Details'!O70,Logos[Display],Logos[Use])="Flat",_xlfn.xlookup('Bulk Order Details'!O70,Logos[Display],Logos[Flat]),ROUND(_xlfn.xlookup('Bulk Order Details'!O70,Logos[Display],Logos[Pct])*$E60,2))),"")</f>
        <v/>
      </c>
      <c r="M60" s="222" t="str">
        <f aca="false">IFERROR(IF('Bulk Order Details'!P70="","",IF(_xlfn.xlookup('Bulk Order Details'!P70,Chest[Display],Chest[Use])="Flat",_xlfn.xlookup('Bulk Order Details'!P70,Chest[Display],Chest[Flat]),ROUND(_xlfn.xlookup('Bulk Order Details'!P70,Chest[Display],Chest[Pct])*$E60,2))),"")</f>
        <v/>
      </c>
      <c r="N60" s="222" t="str">
        <f aca="false">IFERROR(IF('Bulk Order Details'!Q70="","",IF(_xlfn.xlookup('Bulk Order Details'!Q70,Chest[Display],Chest[Use])="Flat",_xlfn.xlookup('Bulk Order Details'!Q70,Chest[Display],Chest[Flat]),ROUND(_xlfn.xlookup('Bulk Order Details'!Q70,Chest[Display],Chest[Pct])*$E60,2))),"")</f>
        <v/>
      </c>
      <c r="O60" s="222" t="str">
        <f aca="false">IFERROR(IF('Bulk Order Details'!R70="","",IF(_xlfn.xlookup('Bulk Order Details'!R70,LeftSleeve[Display],LeftSleeve[Use])="Flat",_xlfn.xlookup('Bulk Order Details'!R70,LeftSleeve[Display],LeftSleeve[Flat]),ROUND(_xlfn.xlookup('Bulk Order Details'!R70,LeftSleeve[Display],LeftSleeve[Pct])*$E60,2))),"")</f>
        <v/>
      </c>
      <c r="P60" s="222" t="str">
        <f aca="false">IFERROR(IF('Bulk Order Details'!S70="","",IF(_xlfn.xlookup('Bulk Order Details'!S70,RightSleeve[Display],RightSleeve[Use])="Flat",_xlfn.xlookup('Bulk Order Details'!S70,RightSleeve[Display],RightSleeve[Flat]),ROUND(_xlfn.xlookup('Bulk Order Details'!S70,RightSleeve[Display],RightSleeve[Pct])*$E60,2))),"")</f>
        <v/>
      </c>
      <c r="Q60" s="214" t="str">
        <f aca="false">IF('Bulk Order Details'!J70="","",SUM(F60:P60))</f>
        <v/>
      </c>
      <c r="R60" s="213" t="str">
        <f aca="false">IFERROR(E60-D60,"")</f>
        <v/>
      </c>
      <c r="S60" s="215" t="str">
        <f aca="false">IFERROR(MIN(IF(Summary!$D$11="Yes",-J60,0),IF(H60&gt;0,-J60,0)),"")</f>
        <v/>
      </c>
      <c r="T60" s="212" t="str">
        <f aca="false">IFERROR(IF(Summary!$D$10="Yes",-K60,""),"")</f>
        <v/>
      </c>
      <c r="U60" s="213" t="str">
        <f aca="false">IFERROR(IF(Summary!$D$12="Yes",-L60,""),"")</f>
        <v/>
      </c>
      <c r="V60" s="216" t="str">
        <f aca="false">IF('Bulk Order Details'!J70="","",SUM(R60:U60))</f>
        <v/>
      </c>
      <c r="W60" s="217" t="str">
        <f aca="false">IF('Bulk Order Details'!J70="","",D60+Q60)</f>
        <v/>
      </c>
      <c r="X60" s="218" t="str">
        <f aca="false">IF('Bulk Order Details'!J70="","",D60+Q60+V60)</f>
        <v/>
      </c>
      <c r="Y60" s="219" t="str">
        <f aca="false">IFERROR((W60-X60)/W60,"")</f>
        <v/>
      </c>
      <c r="Z60" s="220" t="str">
        <f aca="false">IF('Bulk Order Details'!J70="","",MAX(1,'Bulk Order Details'!D70))</f>
        <v/>
      </c>
      <c r="AA60" s="217" t="str">
        <f aca="false">IF(Pricing_Details[[#This Row],[Quantity]]="","",Pricing_Details[[#This Row],[Retail Price]]*Pricing_Details[[#This Row],[Quantity]])</f>
        <v/>
      </c>
      <c r="AB60" s="217" t="str">
        <f aca="false">IF(Pricing_Details[[#This Row],[Quantity]]="","",Pricing_Details[[#This Row],[Total Discount]]*Pricing_Details[[#This Row],[Quantity]])</f>
        <v/>
      </c>
      <c r="AC60" s="221" t="str">
        <f aca="false">IFERROR(ROUND(Pricing_Details[[#This Row],[Actual Price]]*Pricing_Details[[#This Row],[Quantity]],2),"")</f>
        <v/>
      </c>
      <c r="AE60" s="179" t="str">
        <f aca="false">IF('Bulk Order Details'!J70="","",VLOOKUP('Bulk Order Details'!H70,Collection[],3)&amp;VLOOKUP('Bulk Order Details'!J70,Collar[],4)&amp;VLOOKUP('Bulk Order Details'!I70,Sleeve[],4))</f>
        <v/>
      </c>
      <c r="AF60" s="179" t="str">
        <f aca="false">IF('Bulk Order Details'!J70="","",LOOKUP('Bulk Order Details'!E70,Cut[Display],Cut[Code])&amp;LOOKUP('Bulk Order Details'!F70,#REF!,#REF!)&amp;IF('Bulk Order Details'!G70="","",LOOKUP('Bulk Order Details'!G70,Length[Display],Length[Code])))</f>
        <v/>
      </c>
      <c r="AG60" s="179" t="str">
        <f aca="false">IF('Bulk Order Details'!J70="","",IF('Bulk Order Details'!C70="","",'Bulk Order Details'!C70))</f>
        <v/>
      </c>
      <c r="AH60" s="179" t="str">
        <f aca="false">IF('Bulk Order Details'!O70="","","-"&amp;LOOKUP('Bulk Order Details'!O70,#REF!,#REF!))</f>
        <v/>
      </c>
      <c r="AI60" s="179" t="str">
        <f aca="false">IF('Bulk Order Details'!P70="","","-"&amp;LOOKUP('Bulk Order Details'!P70,#REF!,#REF!))</f>
        <v/>
      </c>
      <c r="AJ60" s="179" t="str">
        <f aca="false">IF('Bulk Order Details'!Q70="","","-"&amp;LOOKUP('Bulk Order Details'!Q70,#REF!,#REF!))</f>
        <v/>
      </c>
      <c r="AK60" s="179" t="str">
        <f aca="false">IF('Bulk Order Details'!R70="","","-"&amp;LOOKUP('Bulk Order Details'!R70,#REF!,#REF!))</f>
        <v/>
      </c>
      <c r="AL60" s="179" t="str">
        <f aca="false">IF('Bulk Order Details'!S70="","","-"&amp;LOOKUP('Bulk Order Details'!S70,#REF!,#REF!))</f>
        <v/>
      </c>
      <c r="AM60" s="179" t="str">
        <f aca="false">IF(_xlfn.CONCAT(AH60:AL60)="","","Lo"&amp;_xlfn.CONCAT(AH60:AL60))</f>
        <v/>
      </c>
      <c r="AN60" s="179" t="str">
        <f aca="false">IF('Bulk Order Details'!K70="","","Na-"&amp;'Bulk Order Details'!K70)</f>
        <v/>
      </c>
      <c r="AO60" s="179" t="str">
        <f aca="false">IF('Bulk Order Details'!N70="","","Fo-"&amp;'Bulk Order Details'!N70)</f>
        <v/>
      </c>
      <c r="AP60" s="179" t="str">
        <f aca="false">IF(AE60="","",AE60&amp;"_"&amp;AF60&amp;"_"&amp;AG60&amp;IF(AM60="","","_"&amp;AM60)&amp;IF(AN60="","","_"&amp;AN60)&amp;IF(AO60="","","_"&amp;AO60))</f>
        <v/>
      </c>
      <c r="AQ60" s="218" t="str">
        <f aca="false">IF(X60="","",X60)</f>
        <v/>
      </c>
    </row>
    <row r="61" customFormat="false" ht="15" hidden="false" customHeight="true" outlineLevel="0" collapsed="false">
      <c r="B61" s="209" t="n">
        <f aca="false">'Bulk Order Details'!B71</f>
        <v>58</v>
      </c>
      <c r="C61" s="209" t="e">
        <f aca="false">IF('bulk order details'!#ref!="","",'bulk order details'!#ref!&amp;" "&amp;'bulk order details'!#ref!)</f>
        <v>#VALUE!</v>
      </c>
      <c r="D61" s="210" t="str">
        <f aca="false">IF('Bulk Order Details'!J71="","",VLOOKUP(1,Price[],3))</f>
        <v/>
      </c>
      <c r="E61" s="211" t="str">
        <f aca="false">IF('Bulk Order Details'!J71="","",Summary!$D$9)</f>
        <v/>
      </c>
      <c r="F61" s="212" t="str">
        <f aca="false">IF('Bulk Order Details'!F71="","",_xlfn.xlookup('Bulk Order Details'!F71,Size[Display],Size[Price]))</f>
        <v/>
      </c>
      <c r="G61" s="212" t="str">
        <f aca="false">IF('Bulk Order Details'!G71="","",_xlfn.xlookup('Bulk Order Details'!G71,Length[Display],Length[Price]))</f>
        <v/>
      </c>
      <c r="H61" s="212" t="str">
        <f aca="false">IF('Bulk Order Details'!H71="","",_xlfn.xlookup('Bulk Order Details'!H71,Collection[Display],Collection[Price]))</f>
        <v/>
      </c>
      <c r="I61" s="212" t="str">
        <f aca="false">IF('Bulk Order Details'!I71="","",_xlfn.xlookup('Bulk Order Details'!I71,Sleeve[Display],Sleeve[Price]))</f>
        <v/>
      </c>
      <c r="J61" s="212" t="str">
        <f aca="false">IF('Bulk Order Details'!J71="","",_xlfn.xlookup('Bulk Order Details'!J71,Collar[Display],Collar[Price]))</f>
        <v/>
      </c>
      <c r="K61" s="212" t="str">
        <f aca="false">IF('Bulk Order Details'!K71="","",_xlfn.xlookup("Name",Name[Name],Name[Price]))</f>
        <v/>
      </c>
      <c r="L61" s="213" t="str">
        <f aca="false">IFERROR(IF('Bulk Order Details'!O71="","",IF(_xlfn.xlookup('Bulk Order Details'!O71,Logos[Display],Logos[Use])="Flat",_xlfn.xlookup('Bulk Order Details'!O71,Logos[Display],Logos[Flat]),ROUND(_xlfn.xlookup('Bulk Order Details'!O71,Logos[Display],Logos[Pct])*$E61,2))),"")</f>
        <v/>
      </c>
      <c r="M61" s="222" t="str">
        <f aca="false">IFERROR(IF('Bulk Order Details'!P71="","",IF(_xlfn.xlookup('Bulk Order Details'!P71,Chest[Display],Chest[Use])="Flat",_xlfn.xlookup('Bulk Order Details'!P71,Chest[Display],Chest[Flat]),ROUND(_xlfn.xlookup('Bulk Order Details'!P71,Chest[Display],Chest[Pct])*$E61,2))),"")</f>
        <v/>
      </c>
      <c r="N61" s="222" t="str">
        <f aca="false">IFERROR(IF('Bulk Order Details'!Q71="","",IF(_xlfn.xlookup('Bulk Order Details'!Q71,Chest[Display],Chest[Use])="Flat",_xlfn.xlookup('Bulk Order Details'!Q71,Chest[Display],Chest[Flat]),ROUND(_xlfn.xlookup('Bulk Order Details'!Q71,Chest[Display],Chest[Pct])*$E61,2))),"")</f>
        <v/>
      </c>
      <c r="O61" s="222" t="str">
        <f aca="false">IFERROR(IF('Bulk Order Details'!R71="","",IF(_xlfn.xlookup('Bulk Order Details'!R71,LeftSleeve[Display],LeftSleeve[Use])="Flat",_xlfn.xlookup('Bulk Order Details'!R71,LeftSleeve[Display],LeftSleeve[Flat]),ROUND(_xlfn.xlookup('Bulk Order Details'!R71,LeftSleeve[Display],LeftSleeve[Pct])*$E61,2))),"")</f>
        <v/>
      </c>
      <c r="P61" s="222" t="str">
        <f aca="false">IFERROR(IF('Bulk Order Details'!S71="","",IF(_xlfn.xlookup('Bulk Order Details'!S71,RightSleeve[Display],RightSleeve[Use])="Flat",_xlfn.xlookup('Bulk Order Details'!S71,RightSleeve[Display],RightSleeve[Flat]),ROUND(_xlfn.xlookup('Bulk Order Details'!S71,RightSleeve[Display],RightSleeve[Pct])*$E61,2))),"")</f>
        <v/>
      </c>
      <c r="Q61" s="214" t="str">
        <f aca="false">IF('Bulk Order Details'!J71="","",SUM(F61:P61))</f>
        <v/>
      </c>
      <c r="R61" s="213" t="str">
        <f aca="false">IFERROR(E61-D61,"")</f>
        <v/>
      </c>
      <c r="S61" s="215" t="str">
        <f aca="false">IFERROR(MIN(IF(Summary!$D$11="Yes",-J61,0),IF(H61&gt;0,-J61,0)),"")</f>
        <v/>
      </c>
      <c r="T61" s="212" t="str">
        <f aca="false">IFERROR(IF(Summary!$D$10="Yes",-K61,""),"")</f>
        <v/>
      </c>
      <c r="U61" s="213" t="str">
        <f aca="false">IFERROR(IF(Summary!$D$12="Yes",-L61,""),"")</f>
        <v/>
      </c>
      <c r="V61" s="216" t="str">
        <f aca="false">IF('Bulk Order Details'!J71="","",SUM(R61:U61))</f>
        <v/>
      </c>
      <c r="W61" s="217" t="str">
        <f aca="false">IF('Bulk Order Details'!J71="","",D61+Q61)</f>
        <v/>
      </c>
      <c r="X61" s="218" t="str">
        <f aca="false">IF('Bulk Order Details'!J71="","",D61+Q61+V61)</f>
        <v/>
      </c>
      <c r="Y61" s="219" t="str">
        <f aca="false">IFERROR((W61-X61)/W61,"")</f>
        <v/>
      </c>
      <c r="Z61" s="220" t="str">
        <f aca="false">IF('Bulk Order Details'!J71="","",MAX(1,'Bulk Order Details'!D71))</f>
        <v/>
      </c>
      <c r="AA61" s="217" t="str">
        <f aca="false">IF(Pricing_Details[[#This Row],[Quantity]]="","",Pricing_Details[[#This Row],[Retail Price]]*Pricing_Details[[#This Row],[Quantity]])</f>
        <v/>
      </c>
      <c r="AB61" s="217" t="str">
        <f aca="false">IF(Pricing_Details[[#This Row],[Quantity]]="","",Pricing_Details[[#This Row],[Total Discount]]*Pricing_Details[[#This Row],[Quantity]])</f>
        <v/>
      </c>
      <c r="AC61" s="221" t="str">
        <f aca="false">IFERROR(ROUND(Pricing_Details[[#This Row],[Actual Price]]*Pricing_Details[[#This Row],[Quantity]],2),"")</f>
        <v/>
      </c>
      <c r="AE61" s="179" t="str">
        <f aca="false">IF('Bulk Order Details'!J71="","",VLOOKUP('Bulk Order Details'!H71,Collection[],3)&amp;VLOOKUP('Bulk Order Details'!J71,Collar[],4)&amp;VLOOKUP('Bulk Order Details'!I71,Sleeve[],4))</f>
        <v/>
      </c>
      <c r="AF61" s="179" t="str">
        <f aca="false">IF('Bulk Order Details'!J71="","",LOOKUP('Bulk Order Details'!E71,Cut[Display],Cut[Code])&amp;LOOKUP('Bulk Order Details'!F71,#REF!,#REF!)&amp;IF('Bulk Order Details'!G71="","",LOOKUP('Bulk Order Details'!G71,Length[Display],Length[Code])))</f>
        <v/>
      </c>
      <c r="AG61" s="179" t="str">
        <f aca="false">IF('Bulk Order Details'!J71="","",IF('Bulk Order Details'!C71="","",'Bulk Order Details'!C71))</f>
        <v/>
      </c>
      <c r="AH61" s="179" t="str">
        <f aca="false">IF('Bulk Order Details'!O71="","","-"&amp;LOOKUP('Bulk Order Details'!O71,#REF!,#REF!))</f>
        <v/>
      </c>
      <c r="AI61" s="179" t="str">
        <f aca="false">IF('Bulk Order Details'!P71="","","-"&amp;LOOKUP('Bulk Order Details'!P71,#REF!,#REF!))</f>
        <v/>
      </c>
      <c r="AJ61" s="179" t="str">
        <f aca="false">IF('Bulk Order Details'!Q71="","","-"&amp;LOOKUP('Bulk Order Details'!Q71,#REF!,#REF!))</f>
        <v/>
      </c>
      <c r="AK61" s="179" t="str">
        <f aca="false">IF('Bulk Order Details'!R71="","","-"&amp;LOOKUP('Bulk Order Details'!R71,#REF!,#REF!))</f>
        <v/>
      </c>
      <c r="AL61" s="179" t="str">
        <f aca="false">IF('Bulk Order Details'!S71="","","-"&amp;LOOKUP('Bulk Order Details'!S71,#REF!,#REF!))</f>
        <v/>
      </c>
      <c r="AM61" s="179" t="str">
        <f aca="false">IF(_xlfn.CONCAT(AH61:AL61)="","","Lo"&amp;_xlfn.CONCAT(AH61:AL61))</f>
        <v/>
      </c>
      <c r="AN61" s="179" t="str">
        <f aca="false">IF('Bulk Order Details'!K71="","","Na-"&amp;'Bulk Order Details'!K71)</f>
        <v/>
      </c>
      <c r="AO61" s="179" t="str">
        <f aca="false">IF('Bulk Order Details'!N71="","","Fo-"&amp;'Bulk Order Details'!N71)</f>
        <v/>
      </c>
      <c r="AP61" s="179" t="str">
        <f aca="false">IF(AE61="","",AE61&amp;"_"&amp;AF61&amp;"_"&amp;AG61&amp;IF(AM61="","","_"&amp;AM61)&amp;IF(AN61="","","_"&amp;AN61)&amp;IF(AO61="","","_"&amp;AO61))</f>
        <v/>
      </c>
      <c r="AQ61" s="218" t="str">
        <f aca="false">IF(X61="","",X61)</f>
        <v/>
      </c>
    </row>
    <row r="62" customFormat="false" ht="15" hidden="false" customHeight="true" outlineLevel="0" collapsed="false">
      <c r="B62" s="209" t="n">
        <f aca="false">'Bulk Order Details'!B72</f>
        <v>59</v>
      </c>
      <c r="C62" s="209" t="e">
        <f aca="false">IF('bulk order details'!#ref!="","",'bulk order details'!#ref!&amp;" "&amp;'bulk order details'!#ref!)</f>
        <v>#VALUE!</v>
      </c>
      <c r="D62" s="210" t="str">
        <f aca="false">IF('Bulk Order Details'!J72="","",VLOOKUP(1,Price[],3))</f>
        <v/>
      </c>
      <c r="E62" s="211" t="str">
        <f aca="false">IF('Bulk Order Details'!J72="","",Summary!$D$9)</f>
        <v/>
      </c>
      <c r="F62" s="212" t="str">
        <f aca="false">IF('Bulk Order Details'!F72="","",_xlfn.xlookup('Bulk Order Details'!F72,Size[Display],Size[Price]))</f>
        <v/>
      </c>
      <c r="G62" s="212" t="str">
        <f aca="false">IF('Bulk Order Details'!G72="","",_xlfn.xlookup('Bulk Order Details'!G72,Length[Display],Length[Price]))</f>
        <v/>
      </c>
      <c r="H62" s="212" t="str">
        <f aca="false">IF('Bulk Order Details'!H72="","",_xlfn.xlookup('Bulk Order Details'!H72,Collection[Display],Collection[Price]))</f>
        <v/>
      </c>
      <c r="I62" s="212" t="str">
        <f aca="false">IF('Bulk Order Details'!I72="","",_xlfn.xlookup('Bulk Order Details'!I72,Sleeve[Display],Sleeve[Price]))</f>
        <v/>
      </c>
      <c r="J62" s="212" t="str">
        <f aca="false">IF('Bulk Order Details'!J72="","",_xlfn.xlookup('Bulk Order Details'!J72,Collar[Display],Collar[Price]))</f>
        <v/>
      </c>
      <c r="K62" s="212" t="str">
        <f aca="false">IF('Bulk Order Details'!K72="","",_xlfn.xlookup("Name",Name[Name],Name[Price]))</f>
        <v/>
      </c>
      <c r="L62" s="213" t="str">
        <f aca="false">IFERROR(IF('Bulk Order Details'!O72="","",IF(_xlfn.xlookup('Bulk Order Details'!O72,Logos[Display],Logos[Use])="Flat",_xlfn.xlookup('Bulk Order Details'!O72,Logos[Display],Logos[Flat]),ROUND(_xlfn.xlookup('Bulk Order Details'!O72,Logos[Display],Logos[Pct])*$E62,2))),"")</f>
        <v/>
      </c>
      <c r="M62" s="222" t="str">
        <f aca="false">IFERROR(IF('Bulk Order Details'!P72="","",IF(_xlfn.xlookup('Bulk Order Details'!P72,Chest[Display],Chest[Use])="Flat",_xlfn.xlookup('Bulk Order Details'!P72,Chest[Display],Chest[Flat]),ROUND(_xlfn.xlookup('Bulk Order Details'!P72,Chest[Display],Chest[Pct])*$E62,2))),"")</f>
        <v/>
      </c>
      <c r="N62" s="222" t="str">
        <f aca="false">IFERROR(IF('Bulk Order Details'!Q72="","",IF(_xlfn.xlookup('Bulk Order Details'!Q72,Chest[Display],Chest[Use])="Flat",_xlfn.xlookup('Bulk Order Details'!Q72,Chest[Display],Chest[Flat]),ROUND(_xlfn.xlookup('Bulk Order Details'!Q72,Chest[Display],Chest[Pct])*$E62,2))),"")</f>
        <v/>
      </c>
      <c r="O62" s="222" t="str">
        <f aca="false">IFERROR(IF('Bulk Order Details'!R72="","",IF(_xlfn.xlookup('Bulk Order Details'!R72,LeftSleeve[Display],LeftSleeve[Use])="Flat",_xlfn.xlookup('Bulk Order Details'!R72,LeftSleeve[Display],LeftSleeve[Flat]),ROUND(_xlfn.xlookup('Bulk Order Details'!R72,LeftSleeve[Display],LeftSleeve[Pct])*$E62,2))),"")</f>
        <v/>
      </c>
      <c r="P62" s="222" t="str">
        <f aca="false">IFERROR(IF('Bulk Order Details'!S72="","",IF(_xlfn.xlookup('Bulk Order Details'!S72,RightSleeve[Display],RightSleeve[Use])="Flat",_xlfn.xlookup('Bulk Order Details'!S72,RightSleeve[Display],RightSleeve[Flat]),ROUND(_xlfn.xlookup('Bulk Order Details'!S72,RightSleeve[Display],RightSleeve[Pct])*$E62,2))),"")</f>
        <v/>
      </c>
      <c r="Q62" s="214" t="str">
        <f aca="false">IF('Bulk Order Details'!J72="","",SUM(F62:P62))</f>
        <v/>
      </c>
      <c r="R62" s="213" t="str">
        <f aca="false">IFERROR(E62-D62,"")</f>
        <v/>
      </c>
      <c r="S62" s="215" t="str">
        <f aca="false">IFERROR(MIN(IF(Summary!$D$11="Yes",-J62,0),IF(H62&gt;0,-J62,0)),"")</f>
        <v/>
      </c>
      <c r="T62" s="212" t="str">
        <f aca="false">IFERROR(IF(Summary!$D$10="Yes",-K62,""),"")</f>
        <v/>
      </c>
      <c r="U62" s="213" t="str">
        <f aca="false">IFERROR(IF(Summary!$D$12="Yes",-L62,""),"")</f>
        <v/>
      </c>
      <c r="V62" s="216" t="str">
        <f aca="false">IF('Bulk Order Details'!J72="","",SUM(R62:U62))</f>
        <v/>
      </c>
      <c r="W62" s="217" t="str">
        <f aca="false">IF('Bulk Order Details'!J72="","",D62+Q62)</f>
        <v/>
      </c>
      <c r="X62" s="218" t="str">
        <f aca="false">IF('Bulk Order Details'!J72="","",D62+Q62+V62)</f>
        <v/>
      </c>
      <c r="Y62" s="219" t="str">
        <f aca="false">IFERROR((W62-X62)/W62,"")</f>
        <v/>
      </c>
      <c r="Z62" s="220" t="str">
        <f aca="false">IF('Bulk Order Details'!J72="","",MAX(1,'Bulk Order Details'!D72))</f>
        <v/>
      </c>
      <c r="AA62" s="217" t="str">
        <f aca="false">IF(Pricing_Details[[#This Row],[Quantity]]="","",Pricing_Details[[#This Row],[Retail Price]]*Pricing_Details[[#This Row],[Quantity]])</f>
        <v/>
      </c>
      <c r="AB62" s="217" t="str">
        <f aca="false">IF(Pricing_Details[[#This Row],[Quantity]]="","",Pricing_Details[[#This Row],[Total Discount]]*Pricing_Details[[#This Row],[Quantity]])</f>
        <v/>
      </c>
      <c r="AC62" s="221" t="str">
        <f aca="false">IFERROR(ROUND(Pricing_Details[[#This Row],[Actual Price]]*Pricing_Details[[#This Row],[Quantity]],2),"")</f>
        <v/>
      </c>
      <c r="AE62" s="179" t="str">
        <f aca="false">IF('Bulk Order Details'!J72="","",VLOOKUP('Bulk Order Details'!H72,Collection[],3)&amp;VLOOKUP('Bulk Order Details'!J72,Collar[],4)&amp;VLOOKUP('Bulk Order Details'!I72,Sleeve[],4))</f>
        <v/>
      </c>
      <c r="AF62" s="179" t="str">
        <f aca="false">IF('Bulk Order Details'!J72="","",LOOKUP('Bulk Order Details'!E72,Cut[Display],Cut[Code])&amp;LOOKUP('Bulk Order Details'!F72,#REF!,#REF!)&amp;IF('Bulk Order Details'!G72="","",LOOKUP('Bulk Order Details'!G72,Length[Display],Length[Code])))</f>
        <v/>
      </c>
      <c r="AG62" s="179" t="str">
        <f aca="false">IF('Bulk Order Details'!J72="","",IF('Bulk Order Details'!C72="","",'Bulk Order Details'!C72))</f>
        <v/>
      </c>
      <c r="AH62" s="179" t="str">
        <f aca="false">IF('Bulk Order Details'!O72="","","-"&amp;LOOKUP('Bulk Order Details'!O72,#REF!,#REF!))</f>
        <v/>
      </c>
      <c r="AI62" s="179" t="str">
        <f aca="false">IF('Bulk Order Details'!P72="","","-"&amp;LOOKUP('Bulk Order Details'!P72,#REF!,#REF!))</f>
        <v/>
      </c>
      <c r="AJ62" s="179" t="str">
        <f aca="false">IF('Bulk Order Details'!Q72="","","-"&amp;LOOKUP('Bulk Order Details'!Q72,#REF!,#REF!))</f>
        <v/>
      </c>
      <c r="AK62" s="179" t="str">
        <f aca="false">IF('Bulk Order Details'!R72="","","-"&amp;LOOKUP('Bulk Order Details'!R72,#REF!,#REF!))</f>
        <v/>
      </c>
      <c r="AL62" s="179" t="str">
        <f aca="false">IF('Bulk Order Details'!S72="","","-"&amp;LOOKUP('Bulk Order Details'!S72,#REF!,#REF!))</f>
        <v/>
      </c>
      <c r="AM62" s="179" t="str">
        <f aca="false">IF(_xlfn.CONCAT(AH62:AL62)="","","Lo"&amp;_xlfn.CONCAT(AH62:AL62))</f>
        <v/>
      </c>
      <c r="AN62" s="179" t="str">
        <f aca="false">IF('Bulk Order Details'!K72="","","Na-"&amp;'Bulk Order Details'!K72)</f>
        <v/>
      </c>
      <c r="AO62" s="179" t="str">
        <f aca="false">IF('Bulk Order Details'!N72="","","Fo-"&amp;'Bulk Order Details'!N72)</f>
        <v/>
      </c>
      <c r="AP62" s="179" t="str">
        <f aca="false">IF(AE62="","",AE62&amp;"_"&amp;AF62&amp;"_"&amp;AG62&amp;IF(AM62="","","_"&amp;AM62)&amp;IF(AN62="","","_"&amp;AN62)&amp;IF(AO62="","","_"&amp;AO62))</f>
        <v/>
      </c>
      <c r="AQ62" s="218" t="str">
        <f aca="false">IF(X62="","",X62)</f>
        <v/>
      </c>
    </row>
    <row r="63" customFormat="false" ht="15" hidden="false" customHeight="true" outlineLevel="0" collapsed="false">
      <c r="B63" s="209" t="n">
        <f aca="false">'Bulk Order Details'!B73</f>
        <v>60</v>
      </c>
      <c r="C63" s="209" t="e">
        <f aca="false">IF('bulk order details'!#ref!="","",'bulk order details'!#ref!&amp;" "&amp;'bulk order details'!#ref!)</f>
        <v>#VALUE!</v>
      </c>
      <c r="D63" s="210" t="str">
        <f aca="false">IF('Bulk Order Details'!J73="","",VLOOKUP(1,Price[],3))</f>
        <v/>
      </c>
      <c r="E63" s="211" t="str">
        <f aca="false">IF('Bulk Order Details'!J73="","",Summary!$D$9)</f>
        <v/>
      </c>
      <c r="F63" s="212" t="str">
        <f aca="false">IF('Bulk Order Details'!F73="","",_xlfn.xlookup('Bulk Order Details'!F73,Size[Display],Size[Price]))</f>
        <v/>
      </c>
      <c r="G63" s="212" t="str">
        <f aca="false">IF('Bulk Order Details'!G73="","",_xlfn.xlookup('Bulk Order Details'!G73,Length[Display],Length[Price]))</f>
        <v/>
      </c>
      <c r="H63" s="212" t="str">
        <f aca="false">IF('Bulk Order Details'!H73="","",_xlfn.xlookup('Bulk Order Details'!H73,Collection[Display],Collection[Price]))</f>
        <v/>
      </c>
      <c r="I63" s="212" t="str">
        <f aca="false">IF('Bulk Order Details'!I73="","",_xlfn.xlookup('Bulk Order Details'!I73,Sleeve[Display],Sleeve[Price]))</f>
        <v/>
      </c>
      <c r="J63" s="212" t="str">
        <f aca="false">IF('Bulk Order Details'!J73="","",_xlfn.xlookup('Bulk Order Details'!J73,Collar[Display],Collar[Price]))</f>
        <v/>
      </c>
      <c r="K63" s="212" t="str">
        <f aca="false">IF('Bulk Order Details'!K73="","",_xlfn.xlookup("Name",Name[Name],Name[Price]))</f>
        <v/>
      </c>
      <c r="L63" s="213" t="str">
        <f aca="false">IFERROR(IF('Bulk Order Details'!O73="","",IF(_xlfn.xlookup('Bulk Order Details'!O73,Logos[Display],Logos[Use])="Flat",_xlfn.xlookup('Bulk Order Details'!O73,Logos[Display],Logos[Flat]),ROUND(_xlfn.xlookup('Bulk Order Details'!O73,Logos[Display],Logos[Pct])*$E63,2))),"")</f>
        <v/>
      </c>
      <c r="M63" s="222" t="str">
        <f aca="false">IFERROR(IF('Bulk Order Details'!P73="","",IF(_xlfn.xlookup('Bulk Order Details'!P73,Chest[Display],Chest[Use])="Flat",_xlfn.xlookup('Bulk Order Details'!P73,Chest[Display],Chest[Flat]),ROUND(_xlfn.xlookup('Bulk Order Details'!P73,Chest[Display],Chest[Pct])*$E63,2))),"")</f>
        <v/>
      </c>
      <c r="N63" s="222" t="str">
        <f aca="false">IFERROR(IF('Bulk Order Details'!Q73="","",IF(_xlfn.xlookup('Bulk Order Details'!Q73,Chest[Display],Chest[Use])="Flat",_xlfn.xlookup('Bulk Order Details'!Q73,Chest[Display],Chest[Flat]),ROUND(_xlfn.xlookup('Bulk Order Details'!Q73,Chest[Display],Chest[Pct])*$E63,2))),"")</f>
        <v/>
      </c>
      <c r="O63" s="222" t="str">
        <f aca="false">IFERROR(IF('Bulk Order Details'!R73="","",IF(_xlfn.xlookup('Bulk Order Details'!R73,LeftSleeve[Display],LeftSleeve[Use])="Flat",_xlfn.xlookup('Bulk Order Details'!R73,LeftSleeve[Display],LeftSleeve[Flat]),ROUND(_xlfn.xlookup('Bulk Order Details'!R73,LeftSleeve[Display],LeftSleeve[Pct])*$E63,2))),"")</f>
        <v/>
      </c>
      <c r="P63" s="222" t="str">
        <f aca="false">IFERROR(IF('Bulk Order Details'!S73="","",IF(_xlfn.xlookup('Bulk Order Details'!S73,RightSleeve[Display],RightSleeve[Use])="Flat",_xlfn.xlookup('Bulk Order Details'!S73,RightSleeve[Display],RightSleeve[Flat]),ROUND(_xlfn.xlookup('Bulk Order Details'!S73,RightSleeve[Display],RightSleeve[Pct])*$E63,2))),"")</f>
        <v/>
      </c>
      <c r="Q63" s="214" t="str">
        <f aca="false">IF('Bulk Order Details'!J73="","",SUM(F63:P63))</f>
        <v/>
      </c>
      <c r="R63" s="213" t="str">
        <f aca="false">IFERROR(E63-D63,"")</f>
        <v/>
      </c>
      <c r="S63" s="215" t="str">
        <f aca="false">IFERROR(MIN(IF(Summary!$D$11="Yes",-J63,0),IF(H63&gt;0,-J63,0)),"")</f>
        <v/>
      </c>
      <c r="T63" s="212" t="str">
        <f aca="false">IFERROR(IF(Summary!$D$10="Yes",-K63,""),"")</f>
        <v/>
      </c>
      <c r="U63" s="213" t="str">
        <f aca="false">IFERROR(IF(Summary!$D$12="Yes",-L63,""),"")</f>
        <v/>
      </c>
      <c r="V63" s="216" t="str">
        <f aca="false">IF('Bulk Order Details'!J73="","",SUM(R63:U63))</f>
        <v/>
      </c>
      <c r="W63" s="217" t="str">
        <f aca="false">IF('Bulk Order Details'!J73="","",D63+Q63)</f>
        <v/>
      </c>
      <c r="X63" s="218" t="str">
        <f aca="false">IF('Bulk Order Details'!J73="","",D63+Q63+V63)</f>
        <v/>
      </c>
      <c r="Y63" s="219" t="str">
        <f aca="false">IFERROR((W63-X63)/W63,"")</f>
        <v/>
      </c>
      <c r="Z63" s="220" t="str">
        <f aca="false">IF('Bulk Order Details'!J73="","",MAX(1,'Bulk Order Details'!D73))</f>
        <v/>
      </c>
      <c r="AA63" s="217" t="str">
        <f aca="false">IF(Pricing_Details[[#This Row],[Quantity]]="","",Pricing_Details[[#This Row],[Retail Price]]*Pricing_Details[[#This Row],[Quantity]])</f>
        <v/>
      </c>
      <c r="AB63" s="217" t="str">
        <f aca="false">IF(Pricing_Details[[#This Row],[Quantity]]="","",Pricing_Details[[#This Row],[Total Discount]]*Pricing_Details[[#This Row],[Quantity]])</f>
        <v/>
      </c>
      <c r="AC63" s="221" t="str">
        <f aca="false">IFERROR(ROUND(Pricing_Details[[#This Row],[Actual Price]]*Pricing_Details[[#This Row],[Quantity]],2),"")</f>
        <v/>
      </c>
      <c r="AE63" s="179" t="str">
        <f aca="false">IF('Bulk Order Details'!J73="","",VLOOKUP('Bulk Order Details'!H73,Collection[],3)&amp;VLOOKUP('Bulk Order Details'!J73,Collar[],4)&amp;VLOOKUP('Bulk Order Details'!I73,Sleeve[],4))</f>
        <v/>
      </c>
      <c r="AF63" s="179" t="str">
        <f aca="false">IF('Bulk Order Details'!J73="","",LOOKUP('Bulk Order Details'!E73,Cut[Display],Cut[Code])&amp;LOOKUP('Bulk Order Details'!F73,#REF!,#REF!)&amp;IF('Bulk Order Details'!G73="","",LOOKUP('Bulk Order Details'!G73,Length[Display],Length[Code])))</f>
        <v/>
      </c>
      <c r="AG63" s="179" t="str">
        <f aca="false">IF('Bulk Order Details'!J73="","",IF('Bulk Order Details'!C73="","",'Bulk Order Details'!C73))</f>
        <v/>
      </c>
      <c r="AH63" s="179" t="str">
        <f aca="false">IF('Bulk Order Details'!O73="","","-"&amp;LOOKUP('Bulk Order Details'!O73,#REF!,#REF!))</f>
        <v/>
      </c>
      <c r="AI63" s="179" t="str">
        <f aca="false">IF('Bulk Order Details'!P73="","","-"&amp;LOOKUP('Bulk Order Details'!P73,#REF!,#REF!))</f>
        <v/>
      </c>
      <c r="AJ63" s="179" t="str">
        <f aca="false">IF('Bulk Order Details'!Q73="","","-"&amp;LOOKUP('Bulk Order Details'!Q73,#REF!,#REF!))</f>
        <v/>
      </c>
      <c r="AK63" s="179" t="str">
        <f aca="false">IF('Bulk Order Details'!R73="","","-"&amp;LOOKUP('Bulk Order Details'!R73,#REF!,#REF!))</f>
        <v/>
      </c>
      <c r="AL63" s="179" t="str">
        <f aca="false">IF('Bulk Order Details'!S73="","","-"&amp;LOOKUP('Bulk Order Details'!S73,#REF!,#REF!))</f>
        <v/>
      </c>
      <c r="AM63" s="179" t="str">
        <f aca="false">IF(_xlfn.CONCAT(AH63:AL63)="","","Lo"&amp;_xlfn.CONCAT(AH63:AL63))</f>
        <v/>
      </c>
      <c r="AN63" s="179" t="str">
        <f aca="false">IF('Bulk Order Details'!K73="","","Na-"&amp;'Bulk Order Details'!K73)</f>
        <v/>
      </c>
      <c r="AO63" s="179" t="str">
        <f aca="false">IF('Bulk Order Details'!N73="","","Fo-"&amp;'Bulk Order Details'!N73)</f>
        <v/>
      </c>
      <c r="AP63" s="179" t="str">
        <f aca="false">IF(AE63="","",AE63&amp;"_"&amp;AF63&amp;"_"&amp;AG63&amp;IF(AM63="","","_"&amp;AM63)&amp;IF(AN63="","","_"&amp;AN63)&amp;IF(AO63="","","_"&amp;AO63))</f>
        <v/>
      </c>
      <c r="AQ63" s="218" t="str">
        <f aca="false">IF(X63="","",X63)</f>
        <v/>
      </c>
    </row>
    <row r="64" customFormat="false" ht="15" hidden="false" customHeight="true" outlineLevel="0" collapsed="false">
      <c r="B64" s="209" t="n">
        <f aca="false">'Bulk Order Details'!B74</f>
        <v>61</v>
      </c>
      <c r="C64" s="209" t="e">
        <f aca="false">IF('bulk order details'!#ref!="","",'bulk order details'!#ref!&amp;" "&amp;'bulk order details'!#ref!)</f>
        <v>#VALUE!</v>
      </c>
      <c r="D64" s="210" t="str">
        <f aca="false">IF('Bulk Order Details'!J74="","",VLOOKUP(1,Price[],3))</f>
        <v/>
      </c>
      <c r="E64" s="211" t="str">
        <f aca="false">IF('Bulk Order Details'!J74="","",Summary!$D$9)</f>
        <v/>
      </c>
      <c r="F64" s="212" t="str">
        <f aca="false">IF('Bulk Order Details'!F74="","",_xlfn.xlookup('Bulk Order Details'!F74,Size[Display],Size[Price]))</f>
        <v/>
      </c>
      <c r="G64" s="212" t="str">
        <f aca="false">IF('Bulk Order Details'!G74="","",_xlfn.xlookup('Bulk Order Details'!G74,Length[Display],Length[Price]))</f>
        <v/>
      </c>
      <c r="H64" s="212" t="str">
        <f aca="false">IF('Bulk Order Details'!H74="","",_xlfn.xlookup('Bulk Order Details'!H74,Collection[Display],Collection[Price]))</f>
        <v/>
      </c>
      <c r="I64" s="212" t="str">
        <f aca="false">IF('Bulk Order Details'!I74="","",_xlfn.xlookup('Bulk Order Details'!I74,Sleeve[Display],Sleeve[Price]))</f>
        <v/>
      </c>
      <c r="J64" s="212" t="str">
        <f aca="false">IF('Bulk Order Details'!J74="","",_xlfn.xlookup('Bulk Order Details'!J74,Collar[Display],Collar[Price]))</f>
        <v/>
      </c>
      <c r="K64" s="212" t="str">
        <f aca="false">IF('Bulk Order Details'!K74="","",_xlfn.xlookup("Name",Name[Name],Name[Price]))</f>
        <v/>
      </c>
      <c r="L64" s="213" t="str">
        <f aca="false">IFERROR(IF('Bulk Order Details'!O74="","",IF(_xlfn.xlookup('Bulk Order Details'!O74,Logos[Display],Logos[Use])="Flat",_xlfn.xlookup('Bulk Order Details'!O74,Logos[Display],Logos[Flat]),ROUND(_xlfn.xlookup('Bulk Order Details'!O74,Logos[Display],Logos[Pct])*$E64,2))),"")</f>
        <v/>
      </c>
      <c r="M64" s="222" t="str">
        <f aca="false">IFERROR(IF('Bulk Order Details'!P74="","",IF(_xlfn.xlookup('Bulk Order Details'!P74,Chest[Display],Chest[Use])="Flat",_xlfn.xlookup('Bulk Order Details'!P74,Chest[Display],Chest[Flat]),ROUND(_xlfn.xlookup('Bulk Order Details'!P74,Chest[Display],Chest[Pct])*$E64,2))),"")</f>
        <v/>
      </c>
      <c r="N64" s="222" t="str">
        <f aca="false">IFERROR(IF('Bulk Order Details'!Q74="","",IF(_xlfn.xlookup('Bulk Order Details'!Q74,Chest[Display],Chest[Use])="Flat",_xlfn.xlookup('Bulk Order Details'!Q74,Chest[Display],Chest[Flat]),ROUND(_xlfn.xlookup('Bulk Order Details'!Q74,Chest[Display],Chest[Pct])*$E64,2))),"")</f>
        <v/>
      </c>
      <c r="O64" s="222" t="str">
        <f aca="false">IFERROR(IF('Bulk Order Details'!R74="","",IF(_xlfn.xlookup('Bulk Order Details'!R74,LeftSleeve[Display],LeftSleeve[Use])="Flat",_xlfn.xlookup('Bulk Order Details'!R74,LeftSleeve[Display],LeftSleeve[Flat]),ROUND(_xlfn.xlookup('Bulk Order Details'!R74,LeftSleeve[Display],LeftSleeve[Pct])*$E64,2))),"")</f>
        <v/>
      </c>
      <c r="P64" s="222" t="str">
        <f aca="false">IFERROR(IF('Bulk Order Details'!S74="","",IF(_xlfn.xlookup('Bulk Order Details'!S74,RightSleeve[Display],RightSleeve[Use])="Flat",_xlfn.xlookup('Bulk Order Details'!S74,RightSleeve[Display],RightSleeve[Flat]),ROUND(_xlfn.xlookup('Bulk Order Details'!S74,RightSleeve[Display],RightSleeve[Pct])*$E64,2))),"")</f>
        <v/>
      </c>
      <c r="Q64" s="214" t="str">
        <f aca="false">IF('Bulk Order Details'!J74="","",SUM(F64:P64))</f>
        <v/>
      </c>
      <c r="R64" s="213" t="str">
        <f aca="false">IFERROR(E64-D64,"")</f>
        <v/>
      </c>
      <c r="S64" s="215" t="str">
        <f aca="false">IFERROR(MIN(IF(Summary!$D$11="Yes",-J64,0),IF(H64&gt;0,-J64,0)),"")</f>
        <v/>
      </c>
      <c r="T64" s="212" t="str">
        <f aca="false">IFERROR(IF(Summary!$D$10="Yes",-K64,""),"")</f>
        <v/>
      </c>
      <c r="U64" s="213" t="str">
        <f aca="false">IFERROR(IF(Summary!$D$12="Yes",-L64,""),"")</f>
        <v/>
      </c>
      <c r="V64" s="216" t="str">
        <f aca="false">IF('Bulk Order Details'!J74="","",SUM(R64:U64))</f>
        <v/>
      </c>
      <c r="W64" s="217" t="str">
        <f aca="false">IF('Bulk Order Details'!J74="","",D64+Q64)</f>
        <v/>
      </c>
      <c r="X64" s="218" t="str">
        <f aca="false">IF('Bulk Order Details'!J74="","",D64+Q64+V64)</f>
        <v/>
      </c>
      <c r="Y64" s="219" t="str">
        <f aca="false">IFERROR((W64-X64)/W64,"")</f>
        <v/>
      </c>
      <c r="Z64" s="220" t="str">
        <f aca="false">IF('Bulk Order Details'!J74="","",MAX(1,'Bulk Order Details'!D74))</f>
        <v/>
      </c>
      <c r="AA64" s="217" t="str">
        <f aca="false">IF(Pricing_Details[[#This Row],[Quantity]]="","",Pricing_Details[[#This Row],[Retail Price]]*Pricing_Details[[#This Row],[Quantity]])</f>
        <v/>
      </c>
      <c r="AB64" s="217" t="str">
        <f aca="false">IF(Pricing_Details[[#This Row],[Quantity]]="","",Pricing_Details[[#This Row],[Total Discount]]*Pricing_Details[[#This Row],[Quantity]])</f>
        <v/>
      </c>
      <c r="AC64" s="221" t="str">
        <f aca="false">IFERROR(ROUND(Pricing_Details[[#This Row],[Actual Price]]*Pricing_Details[[#This Row],[Quantity]],2),"")</f>
        <v/>
      </c>
      <c r="AE64" s="179" t="str">
        <f aca="false">IF('Bulk Order Details'!J74="","",VLOOKUP('Bulk Order Details'!H74,Collection[],3)&amp;VLOOKUP('Bulk Order Details'!J74,Collar[],4)&amp;VLOOKUP('Bulk Order Details'!I74,Sleeve[],4))</f>
        <v/>
      </c>
      <c r="AF64" s="179" t="str">
        <f aca="false">IF('Bulk Order Details'!J74="","",LOOKUP('Bulk Order Details'!E74,Cut[Display],Cut[Code])&amp;LOOKUP('Bulk Order Details'!F74,#REF!,#REF!)&amp;IF('Bulk Order Details'!G74="","",LOOKUP('Bulk Order Details'!G74,Length[Display],Length[Code])))</f>
        <v/>
      </c>
      <c r="AG64" s="179" t="str">
        <f aca="false">IF('Bulk Order Details'!J74="","",IF('Bulk Order Details'!C74="","",'Bulk Order Details'!C74))</f>
        <v/>
      </c>
      <c r="AH64" s="179" t="str">
        <f aca="false">IF('Bulk Order Details'!O74="","","-"&amp;LOOKUP('Bulk Order Details'!O74,#REF!,#REF!))</f>
        <v/>
      </c>
      <c r="AI64" s="179" t="str">
        <f aca="false">IF('Bulk Order Details'!P74="","","-"&amp;LOOKUP('Bulk Order Details'!P74,#REF!,#REF!))</f>
        <v/>
      </c>
      <c r="AJ64" s="179" t="str">
        <f aca="false">IF('Bulk Order Details'!Q74="","","-"&amp;LOOKUP('Bulk Order Details'!Q74,#REF!,#REF!))</f>
        <v/>
      </c>
      <c r="AK64" s="179" t="str">
        <f aca="false">IF('Bulk Order Details'!R74="","","-"&amp;LOOKUP('Bulk Order Details'!R74,#REF!,#REF!))</f>
        <v/>
      </c>
      <c r="AL64" s="179" t="str">
        <f aca="false">IF('Bulk Order Details'!S74="","","-"&amp;LOOKUP('Bulk Order Details'!S74,#REF!,#REF!))</f>
        <v/>
      </c>
      <c r="AM64" s="179" t="str">
        <f aca="false">IF(_xlfn.CONCAT(AH64:AL64)="","","Lo"&amp;_xlfn.CONCAT(AH64:AL64))</f>
        <v/>
      </c>
      <c r="AN64" s="179" t="str">
        <f aca="false">IF('Bulk Order Details'!K74="","","Na-"&amp;'Bulk Order Details'!K74)</f>
        <v/>
      </c>
      <c r="AO64" s="179" t="str">
        <f aca="false">IF('Bulk Order Details'!N74="","","Fo-"&amp;'Bulk Order Details'!N74)</f>
        <v/>
      </c>
      <c r="AP64" s="179" t="str">
        <f aca="false">IF(AE64="","",AE64&amp;"_"&amp;AF64&amp;"_"&amp;AG64&amp;IF(AM64="","","_"&amp;AM64)&amp;IF(AN64="","","_"&amp;AN64)&amp;IF(AO64="","","_"&amp;AO64))</f>
        <v/>
      </c>
      <c r="AQ64" s="218" t="str">
        <f aca="false">IF(X64="","",X64)</f>
        <v/>
      </c>
    </row>
    <row r="65" customFormat="false" ht="15" hidden="false" customHeight="true" outlineLevel="0" collapsed="false">
      <c r="B65" s="209" t="n">
        <f aca="false">'Bulk Order Details'!B75</f>
        <v>62</v>
      </c>
      <c r="C65" s="209" t="e">
        <f aca="false">IF('bulk order details'!#ref!="","",'bulk order details'!#ref!&amp;" "&amp;'bulk order details'!#ref!)</f>
        <v>#VALUE!</v>
      </c>
      <c r="D65" s="210" t="str">
        <f aca="false">IF('Bulk Order Details'!J75="","",VLOOKUP(1,Price[],3))</f>
        <v/>
      </c>
      <c r="E65" s="211" t="str">
        <f aca="false">IF('Bulk Order Details'!J75="","",Summary!$D$9)</f>
        <v/>
      </c>
      <c r="F65" s="212" t="str">
        <f aca="false">IF('Bulk Order Details'!F75="","",_xlfn.xlookup('Bulk Order Details'!F75,Size[Display],Size[Price]))</f>
        <v/>
      </c>
      <c r="G65" s="212" t="str">
        <f aca="false">IF('Bulk Order Details'!G75="","",_xlfn.xlookup('Bulk Order Details'!G75,Length[Display],Length[Price]))</f>
        <v/>
      </c>
      <c r="H65" s="212" t="str">
        <f aca="false">IF('Bulk Order Details'!H75="","",_xlfn.xlookup('Bulk Order Details'!H75,Collection[Display],Collection[Price]))</f>
        <v/>
      </c>
      <c r="I65" s="212" t="str">
        <f aca="false">IF('Bulk Order Details'!I75="","",_xlfn.xlookup('Bulk Order Details'!I75,Sleeve[Display],Sleeve[Price]))</f>
        <v/>
      </c>
      <c r="J65" s="212" t="str">
        <f aca="false">IF('Bulk Order Details'!J75="","",_xlfn.xlookup('Bulk Order Details'!J75,Collar[Display],Collar[Price]))</f>
        <v/>
      </c>
      <c r="K65" s="212" t="str">
        <f aca="false">IF('Bulk Order Details'!K75="","",_xlfn.xlookup("Name",Name[Name],Name[Price]))</f>
        <v/>
      </c>
      <c r="L65" s="213" t="str">
        <f aca="false">IFERROR(IF('Bulk Order Details'!O75="","",IF(_xlfn.xlookup('Bulk Order Details'!O75,Logos[Display],Logos[Use])="Flat",_xlfn.xlookup('Bulk Order Details'!O75,Logos[Display],Logos[Flat]),ROUND(_xlfn.xlookup('Bulk Order Details'!O75,Logos[Display],Logos[Pct])*$E65,2))),"")</f>
        <v/>
      </c>
      <c r="M65" s="222" t="str">
        <f aca="false">IFERROR(IF('Bulk Order Details'!P75="","",IF(_xlfn.xlookup('Bulk Order Details'!P75,Chest[Display],Chest[Use])="Flat",_xlfn.xlookup('Bulk Order Details'!P75,Chest[Display],Chest[Flat]),ROUND(_xlfn.xlookup('Bulk Order Details'!P75,Chest[Display],Chest[Pct])*$E65,2))),"")</f>
        <v/>
      </c>
      <c r="N65" s="222" t="str">
        <f aca="false">IFERROR(IF('Bulk Order Details'!Q75="","",IF(_xlfn.xlookup('Bulk Order Details'!Q75,Chest[Display],Chest[Use])="Flat",_xlfn.xlookup('Bulk Order Details'!Q75,Chest[Display],Chest[Flat]),ROUND(_xlfn.xlookup('Bulk Order Details'!Q75,Chest[Display],Chest[Pct])*$E65,2))),"")</f>
        <v/>
      </c>
      <c r="O65" s="222" t="str">
        <f aca="false">IFERROR(IF('Bulk Order Details'!R75="","",IF(_xlfn.xlookup('Bulk Order Details'!R75,LeftSleeve[Display],LeftSleeve[Use])="Flat",_xlfn.xlookup('Bulk Order Details'!R75,LeftSleeve[Display],LeftSleeve[Flat]),ROUND(_xlfn.xlookup('Bulk Order Details'!R75,LeftSleeve[Display],LeftSleeve[Pct])*$E65,2))),"")</f>
        <v/>
      </c>
      <c r="P65" s="222" t="str">
        <f aca="false">IFERROR(IF('Bulk Order Details'!S75="","",IF(_xlfn.xlookup('Bulk Order Details'!S75,RightSleeve[Display],RightSleeve[Use])="Flat",_xlfn.xlookup('Bulk Order Details'!S75,RightSleeve[Display],RightSleeve[Flat]),ROUND(_xlfn.xlookup('Bulk Order Details'!S75,RightSleeve[Display],RightSleeve[Pct])*$E65,2))),"")</f>
        <v/>
      </c>
      <c r="Q65" s="214" t="str">
        <f aca="false">IF('Bulk Order Details'!J75="","",SUM(F65:P65))</f>
        <v/>
      </c>
      <c r="R65" s="213" t="str">
        <f aca="false">IFERROR(E65-D65,"")</f>
        <v/>
      </c>
      <c r="S65" s="215" t="str">
        <f aca="false">IFERROR(MIN(IF(Summary!$D$11="Yes",-J65,0),IF(H65&gt;0,-J65,0)),"")</f>
        <v/>
      </c>
      <c r="T65" s="212" t="str">
        <f aca="false">IFERROR(IF(Summary!$D$10="Yes",-K65,""),"")</f>
        <v/>
      </c>
      <c r="U65" s="213" t="str">
        <f aca="false">IFERROR(IF(Summary!$D$12="Yes",-L65,""),"")</f>
        <v/>
      </c>
      <c r="V65" s="216" t="str">
        <f aca="false">IF('Bulk Order Details'!J75="","",SUM(R65:U65))</f>
        <v/>
      </c>
      <c r="W65" s="217" t="str">
        <f aca="false">IF('Bulk Order Details'!J75="","",D65+Q65)</f>
        <v/>
      </c>
      <c r="X65" s="218" t="str">
        <f aca="false">IF('Bulk Order Details'!J75="","",D65+Q65+V65)</f>
        <v/>
      </c>
      <c r="Y65" s="219" t="str">
        <f aca="false">IFERROR((W65-X65)/W65,"")</f>
        <v/>
      </c>
      <c r="Z65" s="220" t="str">
        <f aca="false">IF('Bulk Order Details'!J75="","",MAX(1,'Bulk Order Details'!D75))</f>
        <v/>
      </c>
      <c r="AA65" s="217" t="str">
        <f aca="false">IF(Pricing_Details[[#This Row],[Quantity]]="","",Pricing_Details[[#This Row],[Retail Price]]*Pricing_Details[[#This Row],[Quantity]])</f>
        <v/>
      </c>
      <c r="AB65" s="217" t="str">
        <f aca="false">IF(Pricing_Details[[#This Row],[Quantity]]="","",Pricing_Details[[#This Row],[Total Discount]]*Pricing_Details[[#This Row],[Quantity]])</f>
        <v/>
      </c>
      <c r="AC65" s="221" t="str">
        <f aca="false">IFERROR(ROUND(Pricing_Details[[#This Row],[Actual Price]]*Pricing_Details[[#This Row],[Quantity]],2),"")</f>
        <v/>
      </c>
      <c r="AE65" s="179" t="str">
        <f aca="false">IF('Bulk Order Details'!J75="","",VLOOKUP('Bulk Order Details'!H75,Collection[],3)&amp;VLOOKUP('Bulk Order Details'!J75,Collar[],4)&amp;VLOOKUP('Bulk Order Details'!I75,Sleeve[],4))</f>
        <v/>
      </c>
      <c r="AF65" s="179" t="str">
        <f aca="false">IF('Bulk Order Details'!J75="","",LOOKUP('Bulk Order Details'!E75,Cut[Display],Cut[Code])&amp;LOOKUP('Bulk Order Details'!F75,#REF!,#REF!)&amp;IF('Bulk Order Details'!G75="","",LOOKUP('Bulk Order Details'!G75,Length[Display],Length[Code])))</f>
        <v/>
      </c>
      <c r="AG65" s="179" t="str">
        <f aca="false">IF('Bulk Order Details'!J75="","",IF('Bulk Order Details'!C75="","",'Bulk Order Details'!C75))</f>
        <v/>
      </c>
      <c r="AH65" s="179" t="str">
        <f aca="false">IF('Bulk Order Details'!O75="","","-"&amp;LOOKUP('Bulk Order Details'!O75,#REF!,#REF!))</f>
        <v/>
      </c>
      <c r="AI65" s="179" t="str">
        <f aca="false">IF('Bulk Order Details'!P75="","","-"&amp;LOOKUP('Bulk Order Details'!P75,#REF!,#REF!))</f>
        <v/>
      </c>
      <c r="AJ65" s="179" t="str">
        <f aca="false">IF('Bulk Order Details'!Q75="","","-"&amp;LOOKUP('Bulk Order Details'!Q75,#REF!,#REF!))</f>
        <v/>
      </c>
      <c r="AK65" s="179" t="str">
        <f aca="false">IF('Bulk Order Details'!R75="","","-"&amp;LOOKUP('Bulk Order Details'!R75,#REF!,#REF!))</f>
        <v/>
      </c>
      <c r="AL65" s="179" t="str">
        <f aca="false">IF('Bulk Order Details'!S75="","","-"&amp;LOOKUP('Bulk Order Details'!S75,#REF!,#REF!))</f>
        <v/>
      </c>
      <c r="AM65" s="179" t="str">
        <f aca="false">IF(_xlfn.CONCAT(AH65:AL65)="","","Lo"&amp;_xlfn.CONCAT(AH65:AL65))</f>
        <v/>
      </c>
      <c r="AN65" s="179" t="str">
        <f aca="false">IF('Bulk Order Details'!K75="","","Na-"&amp;'Bulk Order Details'!K75)</f>
        <v/>
      </c>
      <c r="AO65" s="179" t="str">
        <f aca="false">IF('Bulk Order Details'!N75="","","Fo-"&amp;'Bulk Order Details'!N75)</f>
        <v/>
      </c>
      <c r="AP65" s="179" t="str">
        <f aca="false">IF(AE65="","",AE65&amp;"_"&amp;AF65&amp;"_"&amp;AG65&amp;IF(AM65="","","_"&amp;AM65)&amp;IF(AN65="","","_"&amp;AN65)&amp;IF(AO65="","","_"&amp;AO65))</f>
        <v/>
      </c>
      <c r="AQ65" s="218" t="str">
        <f aca="false">IF(X65="","",X65)</f>
        <v/>
      </c>
    </row>
    <row r="66" customFormat="false" ht="15" hidden="false" customHeight="true" outlineLevel="0" collapsed="false">
      <c r="B66" s="209" t="n">
        <f aca="false">'Bulk Order Details'!B76</f>
        <v>63</v>
      </c>
      <c r="C66" s="209" t="e">
        <f aca="false">IF('bulk order details'!#ref!="","",'bulk order details'!#ref!&amp;" "&amp;'bulk order details'!#ref!)</f>
        <v>#VALUE!</v>
      </c>
      <c r="D66" s="210" t="str">
        <f aca="false">IF('Bulk Order Details'!J76="","",VLOOKUP(1,Price[],3))</f>
        <v/>
      </c>
      <c r="E66" s="211" t="str">
        <f aca="false">IF('Bulk Order Details'!J76="","",Summary!$D$9)</f>
        <v/>
      </c>
      <c r="F66" s="212" t="str">
        <f aca="false">IF('Bulk Order Details'!F76="","",_xlfn.xlookup('Bulk Order Details'!F76,Size[Display],Size[Price]))</f>
        <v/>
      </c>
      <c r="G66" s="212" t="str">
        <f aca="false">IF('Bulk Order Details'!G76="","",_xlfn.xlookup('Bulk Order Details'!G76,Length[Display],Length[Price]))</f>
        <v/>
      </c>
      <c r="H66" s="212" t="str">
        <f aca="false">IF('Bulk Order Details'!H76="","",_xlfn.xlookup('Bulk Order Details'!H76,Collection[Display],Collection[Price]))</f>
        <v/>
      </c>
      <c r="I66" s="212" t="str">
        <f aca="false">IF('Bulk Order Details'!I76="","",_xlfn.xlookup('Bulk Order Details'!I76,Sleeve[Display],Sleeve[Price]))</f>
        <v/>
      </c>
      <c r="J66" s="212" t="str">
        <f aca="false">IF('Bulk Order Details'!J76="","",_xlfn.xlookup('Bulk Order Details'!J76,Collar[Display],Collar[Price]))</f>
        <v/>
      </c>
      <c r="K66" s="212" t="str">
        <f aca="false">IF('Bulk Order Details'!K76="","",_xlfn.xlookup("Name",Name[Name],Name[Price]))</f>
        <v/>
      </c>
      <c r="L66" s="213" t="str">
        <f aca="false">IFERROR(IF('Bulk Order Details'!O76="","",IF(_xlfn.xlookup('Bulk Order Details'!O76,Logos[Display],Logos[Use])="Flat",_xlfn.xlookup('Bulk Order Details'!O76,Logos[Display],Logos[Flat]),ROUND(_xlfn.xlookup('Bulk Order Details'!O76,Logos[Display],Logos[Pct])*$E66,2))),"")</f>
        <v/>
      </c>
      <c r="M66" s="222" t="str">
        <f aca="false">IFERROR(IF('Bulk Order Details'!P76="","",IF(_xlfn.xlookup('Bulk Order Details'!P76,Chest[Display],Chest[Use])="Flat",_xlfn.xlookup('Bulk Order Details'!P76,Chest[Display],Chest[Flat]),ROUND(_xlfn.xlookup('Bulk Order Details'!P76,Chest[Display],Chest[Pct])*$E66,2))),"")</f>
        <v/>
      </c>
      <c r="N66" s="222" t="str">
        <f aca="false">IFERROR(IF('Bulk Order Details'!Q76="","",IF(_xlfn.xlookup('Bulk Order Details'!Q76,Chest[Display],Chest[Use])="Flat",_xlfn.xlookup('Bulk Order Details'!Q76,Chest[Display],Chest[Flat]),ROUND(_xlfn.xlookup('Bulk Order Details'!Q76,Chest[Display],Chest[Pct])*$E66,2))),"")</f>
        <v/>
      </c>
      <c r="O66" s="222" t="str">
        <f aca="false">IFERROR(IF('Bulk Order Details'!R76="","",IF(_xlfn.xlookup('Bulk Order Details'!R76,LeftSleeve[Display],LeftSleeve[Use])="Flat",_xlfn.xlookup('Bulk Order Details'!R76,LeftSleeve[Display],LeftSleeve[Flat]),ROUND(_xlfn.xlookup('Bulk Order Details'!R76,LeftSleeve[Display],LeftSleeve[Pct])*$E66,2))),"")</f>
        <v/>
      </c>
      <c r="P66" s="222" t="str">
        <f aca="false">IFERROR(IF('Bulk Order Details'!S76="","",IF(_xlfn.xlookup('Bulk Order Details'!S76,RightSleeve[Display],RightSleeve[Use])="Flat",_xlfn.xlookup('Bulk Order Details'!S76,RightSleeve[Display],RightSleeve[Flat]),ROUND(_xlfn.xlookup('Bulk Order Details'!S76,RightSleeve[Display],RightSleeve[Pct])*$E66,2))),"")</f>
        <v/>
      </c>
      <c r="Q66" s="214" t="str">
        <f aca="false">IF('Bulk Order Details'!J76="","",SUM(F66:P66))</f>
        <v/>
      </c>
      <c r="R66" s="213" t="str">
        <f aca="false">IFERROR(E66-D66,"")</f>
        <v/>
      </c>
      <c r="S66" s="215" t="str">
        <f aca="false">IFERROR(MIN(IF(Summary!$D$11="Yes",-J66,0),IF(H66&gt;0,-J66,0)),"")</f>
        <v/>
      </c>
      <c r="T66" s="212" t="str">
        <f aca="false">IFERROR(IF(Summary!$D$10="Yes",-K66,""),"")</f>
        <v/>
      </c>
      <c r="U66" s="213" t="str">
        <f aca="false">IFERROR(IF(Summary!$D$12="Yes",-L66,""),"")</f>
        <v/>
      </c>
      <c r="V66" s="216" t="str">
        <f aca="false">IF('Bulk Order Details'!J76="","",SUM(R66:U66))</f>
        <v/>
      </c>
      <c r="W66" s="217" t="str">
        <f aca="false">IF('Bulk Order Details'!J76="","",D66+Q66)</f>
        <v/>
      </c>
      <c r="X66" s="218" t="str">
        <f aca="false">IF('Bulk Order Details'!J76="","",D66+Q66+V66)</f>
        <v/>
      </c>
      <c r="Y66" s="219" t="str">
        <f aca="false">IFERROR((W66-X66)/W66,"")</f>
        <v/>
      </c>
      <c r="Z66" s="220" t="str">
        <f aca="false">IF('Bulk Order Details'!J76="","",MAX(1,'Bulk Order Details'!D76))</f>
        <v/>
      </c>
      <c r="AA66" s="217" t="str">
        <f aca="false">IF(Pricing_Details[[#This Row],[Quantity]]="","",Pricing_Details[[#This Row],[Retail Price]]*Pricing_Details[[#This Row],[Quantity]])</f>
        <v/>
      </c>
      <c r="AB66" s="217" t="str">
        <f aca="false">IF(Pricing_Details[[#This Row],[Quantity]]="","",Pricing_Details[[#This Row],[Total Discount]]*Pricing_Details[[#This Row],[Quantity]])</f>
        <v/>
      </c>
      <c r="AC66" s="221" t="str">
        <f aca="false">IFERROR(ROUND(Pricing_Details[[#This Row],[Actual Price]]*Pricing_Details[[#This Row],[Quantity]],2),"")</f>
        <v/>
      </c>
      <c r="AE66" s="179" t="str">
        <f aca="false">IF('Bulk Order Details'!J76="","",VLOOKUP('Bulk Order Details'!H76,Collection[],3)&amp;VLOOKUP('Bulk Order Details'!J76,Collar[],4)&amp;VLOOKUP('Bulk Order Details'!I76,Sleeve[],4))</f>
        <v/>
      </c>
      <c r="AF66" s="179" t="str">
        <f aca="false">IF('Bulk Order Details'!J76="","",LOOKUP('Bulk Order Details'!E76,Cut[Display],Cut[Code])&amp;LOOKUP('Bulk Order Details'!F76,#REF!,#REF!)&amp;IF('Bulk Order Details'!G76="","",LOOKUP('Bulk Order Details'!G76,Length[Display],Length[Code])))</f>
        <v/>
      </c>
      <c r="AG66" s="179" t="str">
        <f aca="false">IF('Bulk Order Details'!J76="","",IF('Bulk Order Details'!C76="","",'Bulk Order Details'!C76))</f>
        <v/>
      </c>
      <c r="AH66" s="179" t="str">
        <f aca="false">IF('Bulk Order Details'!O76="","","-"&amp;LOOKUP('Bulk Order Details'!O76,#REF!,#REF!))</f>
        <v/>
      </c>
      <c r="AI66" s="179" t="str">
        <f aca="false">IF('Bulk Order Details'!P76="","","-"&amp;LOOKUP('Bulk Order Details'!P76,#REF!,#REF!))</f>
        <v/>
      </c>
      <c r="AJ66" s="179" t="str">
        <f aca="false">IF('Bulk Order Details'!Q76="","","-"&amp;LOOKUP('Bulk Order Details'!Q76,#REF!,#REF!))</f>
        <v/>
      </c>
      <c r="AK66" s="179" t="str">
        <f aca="false">IF('Bulk Order Details'!R76="","","-"&amp;LOOKUP('Bulk Order Details'!R76,#REF!,#REF!))</f>
        <v/>
      </c>
      <c r="AL66" s="179" t="str">
        <f aca="false">IF('Bulk Order Details'!S76="","","-"&amp;LOOKUP('Bulk Order Details'!S76,#REF!,#REF!))</f>
        <v/>
      </c>
      <c r="AM66" s="179" t="str">
        <f aca="false">IF(_xlfn.CONCAT(AH66:AL66)="","","Lo"&amp;_xlfn.CONCAT(AH66:AL66))</f>
        <v/>
      </c>
      <c r="AN66" s="179" t="str">
        <f aca="false">IF('Bulk Order Details'!K76="","","Na-"&amp;'Bulk Order Details'!K76)</f>
        <v/>
      </c>
      <c r="AO66" s="179" t="str">
        <f aca="false">IF('Bulk Order Details'!N76="","","Fo-"&amp;'Bulk Order Details'!N76)</f>
        <v/>
      </c>
      <c r="AP66" s="179" t="str">
        <f aca="false">IF(AE66="","",AE66&amp;"_"&amp;AF66&amp;"_"&amp;AG66&amp;IF(AM66="","","_"&amp;AM66)&amp;IF(AN66="","","_"&amp;AN66)&amp;IF(AO66="","","_"&amp;AO66))</f>
        <v/>
      </c>
      <c r="AQ66" s="218" t="str">
        <f aca="false">IF(X66="","",X66)</f>
        <v/>
      </c>
    </row>
    <row r="67" customFormat="false" ht="15" hidden="false" customHeight="true" outlineLevel="0" collapsed="false">
      <c r="B67" s="209" t="n">
        <f aca="false">'Bulk Order Details'!B77</f>
        <v>64</v>
      </c>
      <c r="C67" s="209" t="e">
        <f aca="false">IF('bulk order details'!#ref!="","",'bulk order details'!#ref!&amp;" "&amp;'bulk order details'!#ref!)</f>
        <v>#VALUE!</v>
      </c>
      <c r="D67" s="210" t="str">
        <f aca="false">IF('Bulk Order Details'!J77="","",VLOOKUP(1,Price[],3))</f>
        <v/>
      </c>
      <c r="E67" s="211" t="str">
        <f aca="false">IF('Bulk Order Details'!J77="","",Summary!$D$9)</f>
        <v/>
      </c>
      <c r="F67" s="212" t="str">
        <f aca="false">IF('Bulk Order Details'!F77="","",_xlfn.xlookup('Bulk Order Details'!F77,Size[Display],Size[Price]))</f>
        <v/>
      </c>
      <c r="G67" s="212" t="str">
        <f aca="false">IF('Bulk Order Details'!G77="","",_xlfn.xlookup('Bulk Order Details'!G77,Length[Display],Length[Price]))</f>
        <v/>
      </c>
      <c r="H67" s="212" t="str">
        <f aca="false">IF('Bulk Order Details'!H77="","",_xlfn.xlookup('Bulk Order Details'!H77,Collection[Display],Collection[Price]))</f>
        <v/>
      </c>
      <c r="I67" s="212" t="str">
        <f aca="false">IF('Bulk Order Details'!I77="","",_xlfn.xlookup('Bulk Order Details'!I77,Sleeve[Display],Sleeve[Price]))</f>
        <v/>
      </c>
      <c r="J67" s="212" t="str">
        <f aca="false">IF('Bulk Order Details'!J77="","",_xlfn.xlookup('Bulk Order Details'!J77,Collar[Display],Collar[Price]))</f>
        <v/>
      </c>
      <c r="K67" s="212" t="str">
        <f aca="false">IF('Bulk Order Details'!K77="","",_xlfn.xlookup("Name",Name[Name],Name[Price]))</f>
        <v/>
      </c>
      <c r="L67" s="213" t="str">
        <f aca="false">IFERROR(IF('Bulk Order Details'!O77="","",IF(_xlfn.xlookup('Bulk Order Details'!O77,Logos[Display],Logos[Use])="Flat",_xlfn.xlookup('Bulk Order Details'!O77,Logos[Display],Logos[Flat]),ROUND(_xlfn.xlookup('Bulk Order Details'!O77,Logos[Display],Logos[Pct])*$E67,2))),"")</f>
        <v/>
      </c>
      <c r="M67" s="222" t="str">
        <f aca="false">IFERROR(IF('Bulk Order Details'!P77="","",IF(_xlfn.xlookup('Bulk Order Details'!P77,Chest[Display],Chest[Use])="Flat",_xlfn.xlookup('Bulk Order Details'!P77,Chest[Display],Chest[Flat]),ROUND(_xlfn.xlookup('Bulk Order Details'!P77,Chest[Display],Chest[Pct])*$E67,2))),"")</f>
        <v/>
      </c>
      <c r="N67" s="222" t="str">
        <f aca="false">IFERROR(IF('Bulk Order Details'!Q77="","",IF(_xlfn.xlookup('Bulk Order Details'!Q77,Chest[Display],Chest[Use])="Flat",_xlfn.xlookup('Bulk Order Details'!Q77,Chest[Display],Chest[Flat]),ROUND(_xlfn.xlookup('Bulk Order Details'!Q77,Chest[Display],Chest[Pct])*$E67,2))),"")</f>
        <v/>
      </c>
      <c r="O67" s="222" t="str">
        <f aca="false">IFERROR(IF('Bulk Order Details'!R77="","",IF(_xlfn.xlookup('Bulk Order Details'!R77,LeftSleeve[Display],LeftSleeve[Use])="Flat",_xlfn.xlookup('Bulk Order Details'!R77,LeftSleeve[Display],LeftSleeve[Flat]),ROUND(_xlfn.xlookup('Bulk Order Details'!R77,LeftSleeve[Display],LeftSleeve[Pct])*$E67,2))),"")</f>
        <v/>
      </c>
      <c r="P67" s="222" t="str">
        <f aca="false">IFERROR(IF('Bulk Order Details'!S77="","",IF(_xlfn.xlookup('Bulk Order Details'!S77,RightSleeve[Display],RightSleeve[Use])="Flat",_xlfn.xlookup('Bulk Order Details'!S77,RightSleeve[Display],RightSleeve[Flat]),ROUND(_xlfn.xlookup('Bulk Order Details'!S77,RightSleeve[Display],RightSleeve[Pct])*$E67,2))),"")</f>
        <v/>
      </c>
      <c r="Q67" s="214" t="str">
        <f aca="false">IF('Bulk Order Details'!J77="","",SUM(F67:P67))</f>
        <v/>
      </c>
      <c r="R67" s="213" t="str">
        <f aca="false">IFERROR(E67-D67,"")</f>
        <v/>
      </c>
      <c r="S67" s="215" t="str">
        <f aca="false">IFERROR(MIN(IF(Summary!$D$11="Yes",-J67,0),IF(H67&gt;0,-J67,0)),"")</f>
        <v/>
      </c>
      <c r="T67" s="212" t="str">
        <f aca="false">IFERROR(IF(Summary!$D$10="Yes",-K67,""),"")</f>
        <v/>
      </c>
      <c r="U67" s="213" t="str">
        <f aca="false">IFERROR(IF(Summary!$D$12="Yes",-L67,""),"")</f>
        <v/>
      </c>
      <c r="V67" s="216" t="str">
        <f aca="false">IF('Bulk Order Details'!J77="","",SUM(R67:U67))</f>
        <v/>
      </c>
      <c r="W67" s="217" t="str">
        <f aca="false">IF('Bulk Order Details'!J77="","",D67+Q67)</f>
        <v/>
      </c>
      <c r="X67" s="218" t="str">
        <f aca="false">IF('Bulk Order Details'!J77="","",D67+Q67+V67)</f>
        <v/>
      </c>
      <c r="Y67" s="219" t="str">
        <f aca="false">IFERROR((W67-X67)/W67,"")</f>
        <v/>
      </c>
      <c r="Z67" s="220" t="str">
        <f aca="false">IF('Bulk Order Details'!J77="","",MAX(1,'Bulk Order Details'!D77))</f>
        <v/>
      </c>
      <c r="AA67" s="217" t="str">
        <f aca="false">IF(Pricing_Details[[#This Row],[Quantity]]="","",Pricing_Details[[#This Row],[Retail Price]]*Pricing_Details[[#This Row],[Quantity]])</f>
        <v/>
      </c>
      <c r="AB67" s="217" t="str">
        <f aca="false">IF(Pricing_Details[[#This Row],[Quantity]]="","",Pricing_Details[[#This Row],[Total Discount]]*Pricing_Details[[#This Row],[Quantity]])</f>
        <v/>
      </c>
      <c r="AC67" s="221" t="str">
        <f aca="false">IFERROR(ROUND(Pricing_Details[[#This Row],[Actual Price]]*Pricing_Details[[#This Row],[Quantity]],2),"")</f>
        <v/>
      </c>
      <c r="AE67" s="179" t="str">
        <f aca="false">IF('Bulk Order Details'!J77="","",VLOOKUP('Bulk Order Details'!H77,Collection[],3)&amp;VLOOKUP('Bulk Order Details'!J77,Collar[],4)&amp;VLOOKUP('Bulk Order Details'!I77,Sleeve[],4))</f>
        <v/>
      </c>
      <c r="AF67" s="179" t="str">
        <f aca="false">IF('Bulk Order Details'!J77="","",LOOKUP('Bulk Order Details'!E77,Cut[Display],Cut[Code])&amp;LOOKUP('Bulk Order Details'!F77,#REF!,#REF!)&amp;IF('Bulk Order Details'!G77="","",LOOKUP('Bulk Order Details'!G77,Length[Display],Length[Code])))</f>
        <v/>
      </c>
      <c r="AG67" s="179" t="str">
        <f aca="false">IF('Bulk Order Details'!J77="","",IF('Bulk Order Details'!C77="","",'Bulk Order Details'!C77))</f>
        <v/>
      </c>
      <c r="AH67" s="179" t="str">
        <f aca="false">IF('Bulk Order Details'!O77="","","-"&amp;LOOKUP('Bulk Order Details'!O77,#REF!,#REF!))</f>
        <v/>
      </c>
      <c r="AI67" s="179" t="str">
        <f aca="false">IF('Bulk Order Details'!P77="","","-"&amp;LOOKUP('Bulk Order Details'!P77,#REF!,#REF!))</f>
        <v/>
      </c>
      <c r="AJ67" s="179" t="str">
        <f aca="false">IF('Bulk Order Details'!Q77="","","-"&amp;LOOKUP('Bulk Order Details'!Q77,#REF!,#REF!))</f>
        <v/>
      </c>
      <c r="AK67" s="179" t="str">
        <f aca="false">IF('Bulk Order Details'!R77="","","-"&amp;LOOKUP('Bulk Order Details'!R77,#REF!,#REF!))</f>
        <v/>
      </c>
      <c r="AL67" s="179" t="str">
        <f aca="false">IF('Bulk Order Details'!S77="","","-"&amp;LOOKUP('Bulk Order Details'!S77,#REF!,#REF!))</f>
        <v/>
      </c>
      <c r="AM67" s="179" t="str">
        <f aca="false">IF(_xlfn.CONCAT(AH67:AL67)="","","Lo"&amp;_xlfn.CONCAT(AH67:AL67))</f>
        <v/>
      </c>
      <c r="AN67" s="179" t="str">
        <f aca="false">IF('Bulk Order Details'!K77="","","Na-"&amp;'Bulk Order Details'!K77)</f>
        <v/>
      </c>
      <c r="AO67" s="179" t="str">
        <f aca="false">IF('Bulk Order Details'!N77="","","Fo-"&amp;'Bulk Order Details'!N77)</f>
        <v/>
      </c>
      <c r="AP67" s="179" t="str">
        <f aca="false">IF(AE67="","",AE67&amp;"_"&amp;AF67&amp;"_"&amp;AG67&amp;IF(AM67="","","_"&amp;AM67)&amp;IF(AN67="","","_"&amp;AN67)&amp;IF(AO67="","","_"&amp;AO67))</f>
        <v/>
      </c>
      <c r="AQ67" s="218" t="str">
        <f aca="false">IF(X67="","",X67)</f>
        <v/>
      </c>
    </row>
    <row r="68" customFormat="false" ht="15" hidden="false" customHeight="true" outlineLevel="0" collapsed="false">
      <c r="B68" s="209" t="n">
        <f aca="false">'Bulk Order Details'!B78</f>
        <v>65</v>
      </c>
      <c r="C68" s="209" t="e">
        <f aca="false">IF('bulk order details'!#ref!="","",'bulk order details'!#ref!&amp;" "&amp;'bulk order details'!#ref!)</f>
        <v>#VALUE!</v>
      </c>
      <c r="D68" s="210" t="str">
        <f aca="false">IF('Bulk Order Details'!J78="","",VLOOKUP(1,Price[],3))</f>
        <v/>
      </c>
      <c r="E68" s="211" t="str">
        <f aca="false">IF('Bulk Order Details'!J78="","",Summary!$D$9)</f>
        <v/>
      </c>
      <c r="F68" s="212" t="str">
        <f aca="false">IF('Bulk Order Details'!F78="","",_xlfn.xlookup('Bulk Order Details'!F78,Size[Display],Size[Price]))</f>
        <v/>
      </c>
      <c r="G68" s="212" t="str">
        <f aca="false">IF('Bulk Order Details'!G78="","",_xlfn.xlookup('Bulk Order Details'!G78,Length[Display],Length[Price]))</f>
        <v/>
      </c>
      <c r="H68" s="212" t="str">
        <f aca="false">IF('Bulk Order Details'!H78="","",_xlfn.xlookup('Bulk Order Details'!H78,Collection[Display],Collection[Price]))</f>
        <v/>
      </c>
      <c r="I68" s="212" t="str">
        <f aca="false">IF('Bulk Order Details'!I78="","",_xlfn.xlookup('Bulk Order Details'!I78,Sleeve[Display],Sleeve[Price]))</f>
        <v/>
      </c>
      <c r="J68" s="212" t="str">
        <f aca="false">IF('Bulk Order Details'!J78="","",_xlfn.xlookup('Bulk Order Details'!J78,Collar[Display],Collar[Price]))</f>
        <v/>
      </c>
      <c r="K68" s="212" t="str">
        <f aca="false">IF('Bulk Order Details'!K78="","",_xlfn.xlookup("Name",Name[Name],Name[Price]))</f>
        <v/>
      </c>
      <c r="L68" s="213" t="str">
        <f aca="false">IFERROR(IF('Bulk Order Details'!O78="","",IF(_xlfn.xlookup('Bulk Order Details'!O78,Logos[Display],Logos[Use])="Flat",_xlfn.xlookup('Bulk Order Details'!O78,Logos[Display],Logos[Flat]),ROUND(_xlfn.xlookup('Bulk Order Details'!O78,Logos[Display],Logos[Pct])*$E68,2))),"")</f>
        <v/>
      </c>
      <c r="M68" s="222" t="str">
        <f aca="false">IFERROR(IF('Bulk Order Details'!P78="","",IF(_xlfn.xlookup('Bulk Order Details'!P78,Chest[Display],Chest[Use])="Flat",_xlfn.xlookup('Bulk Order Details'!P78,Chest[Display],Chest[Flat]),ROUND(_xlfn.xlookup('Bulk Order Details'!P78,Chest[Display],Chest[Pct])*$E68,2))),"")</f>
        <v/>
      </c>
      <c r="N68" s="222" t="str">
        <f aca="false">IFERROR(IF('Bulk Order Details'!Q78="","",IF(_xlfn.xlookup('Bulk Order Details'!Q78,Chest[Display],Chest[Use])="Flat",_xlfn.xlookup('Bulk Order Details'!Q78,Chest[Display],Chest[Flat]),ROUND(_xlfn.xlookup('Bulk Order Details'!Q78,Chest[Display],Chest[Pct])*$E68,2))),"")</f>
        <v/>
      </c>
      <c r="O68" s="222" t="str">
        <f aca="false">IFERROR(IF('Bulk Order Details'!R78="","",IF(_xlfn.xlookup('Bulk Order Details'!R78,LeftSleeve[Display],LeftSleeve[Use])="Flat",_xlfn.xlookup('Bulk Order Details'!R78,LeftSleeve[Display],LeftSleeve[Flat]),ROUND(_xlfn.xlookup('Bulk Order Details'!R78,LeftSleeve[Display],LeftSleeve[Pct])*$E68,2))),"")</f>
        <v/>
      </c>
      <c r="P68" s="222" t="str">
        <f aca="false">IFERROR(IF('Bulk Order Details'!S78="","",IF(_xlfn.xlookup('Bulk Order Details'!S78,RightSleeve[Display],RightSleeve[Use])="Flat",_xlfn.xlookup('Bulk Order Details'!S78,RightSleeve[Display],RightSleeve[Flat]),ROUND(_xlfn.xlookup('Bulk Order Details'!S78,RightSleeve[Display],RightSleeve[Pct])*$E68,2))),"")</f>
        <v/>
      </c>
      <c r="Q68" s="214" t="str">
        <f aca="false">IF('Bulk Order Details'!J78="","",SUM(F68:P68))</f>
        <v/>
      </c>
      <c r="R68" s="213" t="str">
        <f aca="false">IFERROR(E68-D68,"")</f>
        <v/>
      </c>
      <c r="S68" s="215" t="str">
        <f aca="false">IFERROR(MIN(IF(Summary!$D$11="Yes",-J68,0),IF(H68&gt;0,-J68,0)),"")</f>
        <v/>
      </c>
      <c r="T68" s="212" t="str">
        <f aca="false">IFERROR(IF(Summary!$D$10="Yes",-K68,""),"")</f>
        <v/>
      </c>
      <c r="U68" s="213" t="str">
        <f aca="false">IFERROR(IF(Summary!$D$12="Yes",-L68,""),"")</f>
        <v/>
      </c>
      <c r="V68" s="216" t="str">
        <f aca="false">IF('Bulk Order Details'!J78="","",SUM(R68:U68))</f>
        <v/>
      </c>
      <c r="W68" s="217" t="str">
        <f aca="false">IF('Bulk Order Details'!J78="","",D68+Q68)</f>
        <v/>
      </c>
      <c r="X68" s="218" t="str">
        <f aca="false">IF('Bulk Order Details'!J78="","",D68+Q68+V68)</f>
        <v/>
      </c>
      <c r="Y68" s="219" t="str">
        <f aca="false">IFERROR((W68-X68)/W68,"")</f>
        <v/>
      </c>
      <c r="Z68" s="220" t="str">
        <f aca="false">IF('Bulk Order Details'!J78="","",MAX(1,'Bulk Order Details'!D78))</f>
        <v/>
      </c>
      <c r="AA68" s="217" t="str">
        <f aca="false">IF(Pricing_Details[[#This Row],[Quantity]]="","",Pricing_Details[[#This Row],[Retail Price]]*Pricing_Details[[#This Row],[Quantity]])</f>
        <v/>
      </c>
      <c r="AB68" s="217" t="str">
        <f aca="false">IF(Pricing_Details[[#This Row],[Quantity]]="","",Pricing_Details[[#This Row],[Total Discount]]*Pricing_Details[[#This Row],[Quantity]])</f>
        <v/>
      </c>
      <c r="AC68" s="221" t="str">
        <f aca="false">IFERROR(ROUND(Pricing_Details[[#This Row],[Actual Price]]*Pricing_Details[[#This Row],[Quantity]],2),"")</f>
        <v/>
      </c>
      <c r="AE68" s="179" t="str">
        <f aca="false">IF('Bulk Order Details'!J78="","",VLOOKUP('Bulk Order Details'!H78,Collection[],3)&amp;VLOOKUP('Bulk Order Details'!J78,Collar[],4)&amp;VLOOKUP('Bulk Order Details'!I78,Sleeve[],4))</f>
        <v/>
      </c>
      <c r="AF68" s="179" t="str">
        <f aca="false">IF('Bulk Order Details'!J78="","",LOOKUP('Bulk Order Details'!E78,Cut[Display],Cut[Code])&amp;LOOKUP('Bulk Order Details'!F78,#REF!,#REF!)&amp;IF('Bulk Order Details'!G78="","",LOOKUP('Bulk Order Details'!G78,Length[Display],Length[Code])))</f>
        <v/>
      </c>
      <c r="AG68" s="179" t="str">
        <f aca="false">IF('Bulk Order Details'!J78="","",IF('Bulk Order Details'!C78="","",'Bulk Order Details'!C78))</f>
        <v/>
      </c>
      <c r="AH68" s="179" t="str">
        <f aca="false">IF('Bulk Order Details'!O78="","","-"&amp;LOOKUP('Bulk Order Details'!O78,#REF!,#REF!))</f>
        <v/>
      </c>
      <c r="AI68" s="179" t="str">
        <f aca="false">IF('Bulk Order Details'!P78="","","-"&amp;LOOKUP('Bulk Order Details'!P78,#REF!,#REF!))</f>
        <v/>
      </c>
      <c r="AJ68" s="179" t="str">
        <f aca="false">IF('Bulk Order Details'!Q78="","","-"&amp;LOOKUP('Bulk Order Details'!Q78,#REF!,#REF!))</f>
        <v/>
      </c>
      <c r="AK68" s="179" t="str">
        <f aca="false">IF('Bulk Order Details'!R78="","","-"&amp;LOOKUP('Bulk Order Details'!R78,#REF!,#REF!))</f>
        <v/>
      </c>
      <c r="AL68" s="179" t="str">
        <f aca="false">IF('Bulk Order Details'!S78="","","-"&amp;LOOKUP('Bulk Order Details'!S78,#REF!,#REF!))</f>
        <v/>
      </c>
      <c r="AM68" s="179" t="str">
        <f aca="false">IF(_xlfn.CONCAT(AH68:AL68)="","","Lo"&amp;_xlfn.CONCAT(AH68:AL68))</f>
        <v/>
      </c>
      <c r="AN68" s="179" t="str">
        <f aca="false">IF('Bulk Order Details'!K78="","","Na-"&amp;'Bulk Order Details'!K78)</f>
        <v/>
      </c>
      <c r="AO68" s="179" t="str">
        <f aca="false">IF('Bulk Order Details'!N78="","","Fo-"&amp;'Bulk Order Details'!N78)</f>
        <v/>
      </c>
      <c r="AP68" s="179" t="str">
        <f aca="false">IF(AE68="","",AE68&amp;"_"&amp;AF68&amp;"_"&amp;AG68&amp;IF(AM68="","","_"&amp;AM68)&amp;IF(AN68="","","_"&amp;AN68)&amp;IF(AO68="","","_"&amp;AO68))</f>
        <v/>
      </c>
      <c r="AQ68" s="218" t="str">
        <f aca="false">IF(X68="","",X68)</f>
        <v/>
      </c>
    </row>
    <row r="69" customFormat="false" ht="15" hidden="false" customHeight="true" outlineLevel="0" collapsed="false">
      <c r="B69" s="209" t="n">
        <f aca="false">'Bulk Order Details'!B79</f>
        <v>66</v>
      </c>
      <c r="C69" s="209" t="e">
        <f aca="false">IF('bulk order details'!#ref!="","",'bulk order details'!#ref!&amp;" "&amp;'bulk order details'!#ref!)</f>
        <v>#VALUE!</v>
      </c>
      <c r="D69" s="210" t="str">
        <f aca="false">IF('Bulk Order Details'!J79="","",VLOOKUP(1,Price[],3))</f>
        <v/>
      </c>
      <c r="E69" s="211" t="str">
        <f aca="false">IF('Bulk Order Details'!J79="","",Summary!$D$9)</f>
        <v/>
      </c>
      <c r="F69" s="212" t="str">
        <f aca="false">IF('Bulk Order Details'!F79="","",_xlfn.xlookup('Bulk Order Details'!F79,Size[Display],Size[Price]))</f>
        <v/>
      </c>
      <c r="G69" s="212" t="str">
        <f aca="false">IF('Bulk Order Details'!G79="","",_xlfn.xlookup('Bulk Order Details'!G79,Length[Display],Length[Price]))</f>
        <v/>
      </c>
      <c r="H69" s="212" t="str">
        <f aca="false">IF('Bulk Order Details'!H79="","",_xlfn.xlookup('Bulk Order Details'!H79,Collection[Display],Collection[Price]))</f>
        <v/>
      </c>
      <c r="I69" s="212" t="str">
        <f aca="false">IF('Bulk Order Details'!I79="","",_xlfn.xlookup('Bulk Order Details'!I79,Sleeve[Display],Sleeve[Price]))</f>
        <v/>
      </c>
      <c r="J69" s="212" t="str">
        <f aca="false">IF('Bulk Order Details'!J79="","",_xlfn.xlookup('Bulk Order Details'!J79,Collar[Display],Collar[Price]))</f>
        <v/>
      </c>
      <c r="K69" s="212" t="str">
        <f aca="false">IF('Bulk Order Details'!K79="","",_xlfn.xlookup("Name",Name[Name],Name[Price]))</f>
        <v/>
      </c>
      <c r="L69" s="213" t="str">
        <f aca="false">IFERROR(IF('Bulk Order Details'!O79="","",IF(_xlfn.xlookup('Bulk Order Details'!O79,Logos[Display],Logos[Use])="Flat",_xlfn.xlookup('Bulk Order Details'!O79,Logos[Display],Logos[Flat]),ROUND(_xlfn.xlookup('Bulk Order Details'!O79,Logos[Display],Logos[Pct])*$E69,2))),"")</f>
        <v/>
      </c>
      <c r="M69" s="222" t="str">
        <f aca="false">IFERROR(IF('Bulk Order Details'!P79="","",IF(_xlfn.xlookup('Bulk Order Details'!P79,Chest[Display],Chest[Use])="Flat",_xlfn.xlookup('Bulk Order Details'!P79,Chest[Display],Chest[Flat]),ROUND(_xlfn.xlookup('Bulk Order Details'!P79,Chest[Display],Chest[Pct])*$E69,2))),"")</f>
        <v/>
      </c>
      <c r="N69" s="222" t="str">
        <f aca="false">IFERROR(IF('Bulk Order Details'!Q79="","",IF(_xlfn.xlookup('Bulk Order Details'!Q79,Chest[Display],Chest[Use])="Flat",_xlfn.xlookup('Bulk Order Details'!Q79,Chest[Display],Chest[Flat]),ROUND(_xlfn.xlookup('Bulk Order Details'!Q79,Chest[Display],Chest[Pct])*$E69,2))),"")</f>
        <v/>
      </c>
      <c r="O69" s="222" t="str">
        <f aca="false">IFERROR(IF('Bulk Order Details'!R79="","",IF(_xlfn.xlookup('Bulk Order Details'!R79,LeftSleeve[Display],LeftSleeve[Use])="Flat",_xlfn.xlookup('Bulk Order Details'!R79,LeftSleeve[Display],LeftSleeve[Flat]),ROUND(_xlfn.xlookup('Bulk Order Details'!R79,LeftSleeve[Display],LeftSleeve[Pct])*$E69,2))),"")</f>
        <v/>
      </c>
      <c r="P69" s="222" t="str">
        <f aca="false">IFERROR(IF('Bulk Order Details'!S79="","",IF(_xlfn.xlookup('Bulk Order Details'!S79,RightSleeve[Display],RightSleeve[Use])="Flat",_xlfn.xlookup('Bulk Order Details'!S79,RightSleeve[Display],RightSleeve[Flat]),ROUND(_xlfn.xlookup('Bulk Order Details'!S79,RightSleeve[Display],RightSleeve[Pct])*$E69,2))),"")</f>
        <v/>
      </c>
      <c r="Q69" s="214" t="str">
        <f aca="false">IF('Bulk Order Details'!J79="","",SUM(F69:P69))</f>
        <v/>
      </c>
      <c r="R69" s="213" t="str">
        <f aca="false">IFERROR(E69-D69,"")</f>
        <v/>
      </c>
      <c r="S69" s="215" t="str">
        <f aca="false">IFERROR(MIN(IF(Summary!$D$11="Yes",-J69,0),IF(H69&gt;0,-J69,0)),"")</f>
        <v/>
      </c>
      <c r="T69" s="212" t="str">
        <f aca="false">IFERROR(IF(Summary!$D$10="Yes",-K69,""),"")</f>
        <v/>
      </c>
      <c r="U69" s="213" t="str">
        <f aca="false">IFERROR(IF(Summary!$D$12="Yes",-L69,""),"")</f>
        <v/>
      </c>
      <c r="V69" s="216" t="str">
        <f aca="false">IF('Bulk Order Details'!J79="","",SUM(R69:U69))</f>
        <v/>
      </c>
      <c r="W69" s="217" t="str">
        <f aca="false">IF('Bulk Order Details'!J79="","",D69+Q69)</f>
        <v/>
      </c>
      <c r="X69" s="218" t="str">
        <f aca="false">IF('Bulk Order Details'!J79="","",D69+Q69+V69)</f>
        <v/>
      </c>
      <c r="Y69" s="219" t="str">
        <f aca="false">IFERROR((W69-X69)/W69,"")</f>
        <v/>
      </c>
      <c r="Z69" s="220" t="str">
        <f aca="false">IF('Bulk Order Details'!J79="","",MAX(1,'Bulk Order Details'!D79))</f>
        <v/>
      </c>
      <c r="AA69" s="217" t="str">
        <f aca="false">IF(Pricing_Details[[#This Row],[Quantity]]="","",Pricing_Details[[#This Row],[Retail Price]]*Pricing_Details[[#This Row],[Quantity]])</f>
        <v/>
      </c>
      <c r="AB69" s="217" t="str">
        <f aca="false">IF(Pricing_Details[[#This Row],[Quantity]]="","",Pricing_Details[[#This Row],[Total Discount]]*Pricing_Details[[#This Row],[Quantity]])</f>
        <v/>
      </c>
      <c r="AC69" s="221" t="str">
        <f aca="false">IFERROR(ROUND(Pricing_Details[[#This Row],[Actual Price]]*Pricing_Details[[#This Row],[Quantity]],2),"")</f>
        <v/>
      </c>
      <c r="AE69" s="179" t="str">
        <f aca="false">IF('Bulk Order Details'!J79="","",VLOOKUP('Bulk Order Details'!H79,Collection[],3)&amp;VLOOKUP('Bulk Order Details'!J79,Collar[],4)&amp;VLOOKUP('Bulk Order Details'!I79,Sleeve[],4))</f>
        <v/>
      </c>
      <c r="AF69" s="179" t="str">
        <f aca="false">IF('Bulk Order Details'!J79="","",LOOKUP('Bulk Order Details'!E79,Cut[Display],Cut[Code])&amp;LOOKUP('Bulk Order Details'!F79,#REF!,#REF!)&amp;IF('Bulk Order Details'!G79="","",LOOKUP('Bulk Order Details'!G79,Length[Display],Length[Code])))</f>
        <v/>
      </c>
      <c r="AG69" s="179" t="str">
        <f aca="false">IF('Bulk Order Details'!J79="","",IF('Bulk Order Details'!C79="","",'Bulk Order Details'!C79))</f>
        <v/>
      </c>
      <c r="AH69" s="179" t="str">
        <f aca="false">IF('Bulk Order Details'!O79="","","-"&amp;LOOKUP('Bulk Order Details'!O79,#REF!,#REF!))</f>
        <v/>
      </c>
      <c r="AI69" s="179" t="str">
        <f aca="false">IF('Bulk Order Details'!P79="","","-"&amp;LOOKUP('Bulk Order Details'!P79,#REF!,#REF!))</f>
        <v/>
      </c>
      <c r="AJ69" s="179" t="str">
        <f aca="false">IF('Bulk Order Details'!Q79="","","-"&amp;LOOKUP('Bulk Order Details'!Q79,#REF!,#REF!))</f>
        <v/>
      </c>
      <c r="AK69" s="179" t="str">
        <f aca="false">IF('Bulk Order Details'!R79="","","-"&amp;LOOKUP('Bulk Order Details'!R79,#REF!,#REF!))</f>
        <v/>
      </c>
      <c r="AL69" s="179" t="str">
        <f aca="false">IF('Bulk Order Details'!S79="","","-"&amp;LOOKUP('Bulk Order Details'!S79,#REF!,#REF!))</f>
        <v/>
      </c>
      <c r="AM69" s="179" t="str">
        <f aca="false">IF(_xlfn.CONCAT(AH69:AL69)="","","Lo"&amp;_xlfn.CONCAT(AH69:AL69))</f>
        <v/>
      </c>
      <c r="AN69" s="179" t="str">
        <f aca="false">IF('Bulk Order Details'!K79="","","Na-"&amp;'Bulk Order Details'!K79)</f>
        <v/>
      </c>
      <c r="AO69" s="179" t="str">
        <f aca="false">IF('Bulk Order Details'!N79="","","Fo-"&amp;'Bulk Order Details'!N79)</f>
        <v/>
      </c>
      <c r="AP69" s="179" t="str">
        <f aca="false">IF(AE69="","",AE69&amp;"_"&amp;AF69&amp;"_"&amp;AG69&amp;IF(AM69="","","_"&amp;AM69)&amp;IF(AN69="","","_"&amp;AN69)&amp;IF(AO69="","","_"&amp;AO69))</f>
        <v/>
      </c>
      <c r="AQ69" s="218" t="str">
        <f aca="false">IF(X69="","",X69)</f>
        <v/>
      </c>
    </row>
    <row r="70" customFormat="false" ht="15" hidden="false" customHeight="true" outlineLevel="0" collapsed="false">
      <c r="B70" s="209" t="n">
        <f aca="false">'Bulk Order Details'!B80</f>
        <v>67</v>
      </c>
      <c r="C70" s="209" t="e">
        <f aca="false">IF('bulk order details'!#ref!="","",'bulk order details'!#ref!&amp;" "&amp;'bulk order details'!#ref!)</f>
        <v>#VALUE!</v>
      </c>
      <c r="D70" s="210" t="str">
        <f aca="false">IF('Bulk Order Details'!J80="","",VLOOKUP(1,Price[],3))</f>
        <v/>
      </c>
      <c r="E70" s="211" t="str">
        <f aca="false">IF('Bulk Order Details'!J80="","",Summary!$D$9)</f>
        <v/>
      </c>
      <c r="F70" s="212" t="str">
        <f aca="false">IF('Bulk Order Details'!F80="","",_xlfn.xlookup('Bulk Order Details'!F80,Size[Display],Size[Price]))</f>
        <v/>
      </c>
      <c r="G70" s="212" t="str">
        <f aca="false">IF('Bulk Order Details'!G80="","",_xlfn.xlookup('Bulk Order Details'!G80,Length[Display],Length[Price]))</f>
        <v/>
      </c>
      <c r="H70" s="212" t="str">
        <f aca="false">IF('Bulk Order Details'!H80="","",_xlfn.xlookup('Bulk Order Details'!H80,Collection[Display],Collection[Price]))</f>
        <v/>
      </c>
      <c r="I70" s="212" t="str">
        <f aca="false">IF('Bulk Order Details'!I80="","",_xlfn.xlookup('Bulk Order Details'!I80,Sleeve[Display],Sleeve[Price]))</f>
        <v/>
      </c>
      <c r="J70" s="212" t="str">
        <f aca="false">IF('Bulk Order Details'!J80="","",_xlfn.xlookup('Bulk Order Details'!J80,Collar[Display],Collar[Price]))</f>
        <v/>
      </c>
      <c r="K70" s="212" t="str">
        <f aca="false">IF('Bulk Order Details'!K80="","",_xlfn.xlookup("Name",Name[Name],Name[Price]))</f>
        <v/>
      </c>
      <c r="L70" s="213" t="str">
        <f aca="false">IFERROR(IF('Bulk Order Details'!O80="","",IF(_xlfn.xlookup('Bulk Order Details'!O80,Logos[Display],Logos[Use])="Flat",_xlfn.xlookup('Bulk Order Details'!O80,Logos[Display],Logos[Flat]),ROUND(_xlfn.xlookup('Bulk Order Details'!O80,Logos[Display],Logos[Pct])*$E70,2))),"")</f>
        <v/>
      </c>
      <c r="M70" s="222" t="str">
        <f aca="false">IFERROR(IF('Bulk Order Details'!P80="","",IF(_xlfn.xlookup('Bulk Order Details'!P80,Chest[Display],Chest[Use])="Flat",_xlfn.xlookup('Bulk Order Details'!P80,Chest[Display],Chest[Flat]),ROUND(_xlfn.xlookup('Bulk Order Details'!P80,Chest[Display],Chest[Pct])*$E70,2))),"")</f>
        <v/>
      </c>
      <c r="N70" s="222" t="str">
        <f aca="false">IFERROR(IF('Bulk Order Details'!Q80="","",IF(_xlfn.xlookup('Bulk Order Details'!Q80,Chest[Display],Chest[Use])="Flat",_xlfn.xlookup('Bulk Order Details'!Q80,Chest[Display],Chest[Flat]),ROUND(_xlfn.xlookup('Bulk Order Details'!Q80,Chest[Display],Chest[Pct])*$E70,2))),"")</f>
        <v/>
      </c>
      <c r="O70" s="222" t="str">
        <f aca="false">IFERROR(IF('Bulk Order Details'!R80="","",IF(_xlfn.xlookup('Bulk Order Details'!R80,LeftSleeve[Display],LeftSleeve[Use])="Flat",_xlfn.xlookup('Bulk Order Details'!R80,LeftSleeve[Display],LeftSleeve[Flat]),ROUND(_xlfn.xlookup('Bulk Order Details'!R80,LeftSleeve[Display],LeftSleeve[Pct])*$E70,2))),"")</f>
        <v/>
      </c>
      <c r="P70" s="222" t="str">
        <f aca="false">IFERROR(IF('Bulk Order Details'!S80="","",IF(_xlfn.xlookup('Bulk Order Details'!S80,RightSleeve[Display],RightSleeve[Use])="Flat",_xlfn.xlookup('Bulk Order Details'!S80,RightSleeve[Display],RightSleeve[Flat]),ROUND(_xlfn.xlookup('Bulk Order Details'!S80,RightSleeve[Display],RightSleeve[Pct])*$E70,2))),"")</f>
        <v/>
      </c>
      <c r="Q70" s="214" t="str">
        <f aca="false">IF('Bulk Order Details'!J80="","",SUM(F70:P70))</f>
        <v/>
      </c>
      <c r="R70" s="213" t="str">
        <f aca="false">IFERROR(E70-D70,"")</f>
        <v/>
      </c>
      <c r="S70" s="215" t="str">
        <f aca="false">IFERROR(MIN(IF(Summary!$D$11="Yes",-J70,0),IF(H70&gt;0,-J70,0)),"")</f>
        <v/>
      </c>
      <c r="T70" s="212" t="str">
        <f aca="false">IFERROR(IF(Summary!$D$10="Yes",-K70,""),"")</f>
        <v/>
      </c>
      <c r="U70" s="213" t="str">
        <f aca="false">IFERROR(IF(Summary!$D$12="Yes",-L70,""),"")</f>
        <v/>
      </c>
      <c r="V70" s="216" t="str">
        <f aca="false">IF('Bulk Order Details'!J80="","",SUM(R70:U70))</f>
        <v/>
      </c>
      <c r="W70" s="217" t="str">
        <f aca="false">IF('Bulk Order Details'!J80="","",D70+Q70)</f>
        <v/>
      </c>
      <c r="X70" s="218" t="str">
        <f aca="false">IF('Bulk Order Details'!J80="","",D70+Q70+V70)</f>
        <v/>
      </c>
      <c r="Y70" s="219" t="str">
        <f aca="false">IFERROR((W70-X70)/W70,"")</f>
        <v/>
      </c>
      <c r="Z70" s="220" t="str">
        <f aca="false">IF('Bulk Order Details'!J80="","",MAX(1,'Bulk Order Details'!D80))</f>
        <v/>
      </c>
      <c r="AA70" s="217" t="str">
        <f aca="false">IF(Pricing_Details[[#This Row],[Quantity]]="","",Pricing_Details[[#This Row],[Retail Price]]*Pricing_Details[[#This Row],[Quantity]])</f>
        <v/>
      </c>
      <c r="AB70" s="217" t="str">
        <f aca="false">IF(Pricing_Details[[#This Row],[Quantity]]="","",Pricing_Details[[#This Row],[Total Discount]]*Pricing_Details[[#This Row],[Quantity]])</f>
        <v/>
      </c>
      <c r="AC70" s="221" t="str">
        <f aca="false">IFERROR(ROUND(Pricing_Details[[#This Row],[Actual Price]]*Pricing_Details[[#This Row],[Quantity]],2),"")</f>
        <v/>
      </c>
      <c r="AE70" s="179" t="str">
        <f aca="false">IF('Bulk Order Details'!J80="","",VLOOKUP('Bulk Order Details'!H80,Collection[],3)&amp;VLOOKUP('Bulk Order Details'!J80,Collar[],4)&amp;VLOOKUP('Bulk Order Details'!I80,Sleeve[],4))</f>
        <v/>
      </c>
      <c r="AF70" s="179" t="str">
        <f aca="false">IF('Bulk Order Details'!J80="","",LOOKUP('Bulk Order Details'!E80,Cut[Display],Cut[Code])&amp;LOOKUP('Bulk Order Details'!F80,#REF!,#REF!)&amp;IF('Bulk Order Details'!G80="","",LOOKUP('Bulk Order Details'!G80,Length[Display],Length[Code])))</f>
        <v/>
      </c>
      <c r="AG70" s="179" t="str">
        <f aca="false">IF('Bulk Order Details'!J80="","",IF('Bulk Order Details'!C80="","",'Bulk Order Details'!C80))</f>
        <v/>
      </c>
      <c r="AH70" s="179" t="str">
        <f aca="false">IF('Bulk Order Details'!O80="","","-"&amp;LOOKUP('Bulk Order Details'!O80,#REF!,#REF!))</f>
        <v/>
      </c>
      <c r="AI70" s="179" t="str">
        <f aca="false">IF('Bulk Order Details'!P80="","","-"&amp;LOOKUP('Bulk Order Details'!P80,#REF!,#REF!))</f>
        <v/>
      </c>
      <c r="AJ70" s="179" t="str">
        <f aca="false">IF('Bulk Order Details'!Q80="","","-"&amp;LOOKUP('Bulk Order Details'!Q80,#REF!,#REF!))</f>
        <v/>
      </c>
      <c r="AK70" s="179" t="str">
        <f aca="false">IF('Bulk Order Details'!R80="","","-"&amp;LOOKUP('Bulk Order Details'!R80,#REF!,#REF!))</f>
        <v/>
      </c>
      <c r="AL70" s="179" t="str">
        <f aca="false">IF('Bulk Order Details'!S80="","","-"&amp;LOOKUP('Bulk Order Details'!S80,#REF!,#REF!))</f>
        <v/>
      </c>
      <c r="AM70" s="179" t="str">
        <f aca="false">IF(_xlfn.CONCAT(AH70:AL70)="","","Lo"&amp;_xlfn.CONCAT(AH70:AL70))</f>
        <v/>
      </c>
      <c r="AN70" s="179" t="str">
        <f aca="false">IF('Bulk Order Details'!K80="","","Na-"&amp;'Bulk Order Details'!K80)</f>
        <v/>
      </c>
      <c r="AO70" s="179" t="str">
        <f aca="false">IF('Bulk Order Details'!N80="","","Fo-"&amp;'Bulk Order Details'!N80)</f>
        <v/>
      </c>
      <c r="AP70" s="179" t="str">
        <f aca="false">IF(AE70="","",AE70&amp;"_"&amp;AF70&amp;"_"&amp;AG70&amp;IF(AM70="","","_"&amp;AM70)&amp;IF(AN70="","","_"&amp;AN70)&amp;IF(AO70="","","_"&amp;AO70))</f>
        <v/>
      </c>
      <c r="AQ70" s="218" t="str">
        <f aca="false">IF(X70="","",X70)</f>
        <v/>
      </c>
    </row>
    <row r="71" customFormat="false" ht="15" hidden="false" customHeight="true" outlineLevel="0" collapsed="false">
      <c r="B71" s="209" t="n">
        <f aca="false">'Bulk Order Details'!B81</f>
        <v>68</v>
      </c>
      <c r="C71" s="209" t="e">
        <f aca="false">IF('bulk order details'!#ref!="","",'bulk order details'!#ref!&amp;" "&amp;'bulk order details'!#ref!)</f>
        <v>#VALUE!</v>
      </c>
      <c r="D71" s="210" t="str">
        <f aca="false">IF('Bulk Order Details'!J81="","",VLOOKUP(1,Price[],3))</f>
        <v/>
      </c>
      <c r="E71" s="211" t="str">
        <f aca="false">IF('Bulk Order Details'!J81="","",Summary!$D$9)</f>
        <v/>
      </c>
      <c r="F71" s="212" t="str">
        <f aca="false">IF('Bulk Order Details'!F81="","",_xlfn.xlookup('Bulk Order Details'!F81,Size[Display],Size[Price]))</f>
        <v/>
      </c>
      <c r="G71" s="212" t="str">
        <f aca="false">IF('Bulk Order Details'!G81="","",_xlfn.xlookup('Bulk Order Details'!G81,Length[Display],Length[Price]))</f>
        <v/>
      </c>
      <c r="H71" s="212" t="str">
        <f aca="false">IF('Bulk Order Details'!H81="","",_xlfn.xlookup('Bulk Order Details'!H81,Collection[Display],Collection[Price]))</f>
        <v/>
      </c>
      <c r="I71" s="212" t="str">
        <f aca="false">IF('Bulk Order Details'!I81="","",_xlfn.xlookup('Bulk Order Details'!I81,Sleeve[Display],Sleeve[Price]))</f>
        <v/>
      </c>
      <c r="J71" s="212" t="str">
        <f aca="false">IF('Bulk Order Details'!J81="","",_xlfn.xlookup('Bulk Order Details'!J81,Collar[Display],Collar[Price]))</f>
        <v/>
      </c>
      <c r="K71" s="212" t="str">
        <f aca="false">IF('Bulk Order Details'!K81="","",_xlfn.xlookup("Name",Name[Name],Name[Price]))</f>
        <v/>
      </c>
      <c r="L71" s="213" t="str">
        <f aca="false">IFERROR(IF('Bulk Order Details'!O81="","",IF(_xlfn.xlookup('Bulk Order Details'!O81,Logos[Display],Logos[Use])="Flat",_xlfn.xlookup('Bulk Order Details'!O81,Logos[Display],Logos[Flat]),ROUND(_xlfn.xlookup('Bulk Order Details'!O81,Logos[Display],Logos[Pct])*$E71,2))),"")</f>
        <v/>
      </c>
      <c r="M71" s="222" t="str">
        <f aca="false">IFERROR(IF('Bulk Order Details'!P81="","",IF(_xlfn.xlookup('Bulk Order Details'!P81,Chest[Display],Chest[Use])="Flat",_xlfn.xlookup('Bulk Order Details'!P81,Chest[Display],Chest[Flat]),ROUND(_xlfn.xlookup('Bulk Order Details'!P81,Chest[Display],Chest[Pct])*$E71,2))),"")</f>
        <v/>
      </c>
      <c r="N71" s="222" t="str">
        <f aca="false">IFERROR(IF('Bulk Order Details'!Q81="","",IF(_xlfn.xlookup('Bulk Order Details'!Q81,Chest[Display],Chest[Use])="Flat",_xlfn.xlookup('Bulk Order Details'!Q81,Chest[Display],Chest[Flat]),ROUND(_xlfn.xlookup('Bulk Order Details'!Q81,Chest[Display],Chest[Pct])*$E71,2))),"")</f>
        <v/>
      </c>
      <c r="O71" s="222" t="str">
        <f aca="false">IFERROR(IF('Bulk Order Details'!R81="","",IF(_xlfn.xlookup('Bulk Order Details'!R81,LeftSleeve[Display],LeftSleeve[Use])="Flat",_xlfn.xlookup('Bulk Order Details'!R81,LeftSleeve[Display],LeftSleeve[Flat]),ROUND(_xlfn.xlookup('Bulk Order Details'!R81,LeftSleeve[Display],LeftSleeve[Pct])*$E71,2))),"")</f>
        <v/>
      </c>
      <c r="P71" s="222" t="str">
        <f aca="false">IFERROR(IF('Bulk Order Details'!S81="","",IF(_xlfn.xlookup('Bulk Order Details'!S81,RightSleeve[Display],RightSleeve[Use])="Flat",_xlfn.xlookup('Bulk Order Details'!S81,RightSleeve[Display],RightSleeve[Flat]),ROUND(_xlfn.xlookup('Bulk Order Details'!S81,RightSleeve[Display],RightSleeve[Pct])*$E71,2))),"")</f>
        <v/>
      </c>
      <c r="Q71" s="214" t="str">
        <f aca="false">IF('Bulk Order Details'!J81="","",SUM(F71:P71))</f>
        <v/>
      </c>
      <c r="R71" s="213" t="str">
        <f aca="false">IFERROR(E71-D71,"")</f>
        <v/>
      </c>
      <c r="S71" s="215" t="str">
        <f aca="false">IFERROR(MIN(IF(Summary!$D$11="Yes",-J71,0),IF(H71&gt;0,-J71,0)),"")</f>
        <v/>
      </c>
      <c r="T71" s="212" t="str">
        <f aca="false">IFERROR(IF(Summary!$D$10="Yes",-K71,""),"")</f>
        <v/>
      </c>
      <c r="U71" s="213" t="str">
        <f aca="false">IFERROR(IF(Summary!$D$12="Yes",-L71,""),"")</f>
        <v/>
      </c>
      <c r="V71" s="216" t="str">
        <f aca="false">IF('Bulk Order Details'!J81="","",SUM(R71:U71))</f>
        <v/>
      </c>
      <c r="W71" s="217" t="str">
        <f aca="false">IF('Bulk Order Details'!J81="","",D71+Q71)</f>
        <v/>
      </c>
      <c r="X71" s="218" t="str">
        <f aca="false">IF('Bulk Order Details'!J81="","",D71+Q71+V71)</f>
        <v/>
      </c>
      <c r="Y71" s="219" t="str">
        <f aca="false">IFERROR((W71-X71)/W71,"")</f>
        <v/>
      </c>
      <c r="Z71" s="220" t="str">
        <f aca="false">IF('Bulk Order Details'!J81="","",MAX(1,'Bulk Order Details'!D81))</f>
        <v/>
      </c>
      <c r="AA71" s="217" t="str">
        <f aca="false">IF(Pricing_Details[[#This Row],[Quantity]]="","",Pricing_Details[[#This Row],[Retail Price]]*Pricing_Details[[#This Row],[Quantity]])</f>
        <v/>
      </c>
      <c r="AB71" s="217" t="str">
        <f aca="false">IF(Pricing_Details[[#This Row],[Quantity]]="","",Pricing_Details[[#This Row],[Total Discount]]*Pricing_Details[[#This Row],[Quantity]])</f>
        <v/>
      </c>
      <c r="AC71" s="221" t="str">
        <f aca="false">IFERROR(ROUND(Pricing_Details[[#This Row],[Actual Price]]*Pricing_Details[[#This Row],[Quantity]],2),"")</f>
        <v/>
      </c>
      <c r="AE71" s="179" t="str">
        <f aca="false">IF('Bulk Order Details'!J81="","",VLOOKUP('Bulk Order Details'!H81,Collection[],3)&amp;VLOOKUP('Bulk Order Details'!J81,Collar[],4)&amp;VLOOKUP('Bulk Order Details'!I81,Sleeve[],4))</f>
        <v/>
      </c>
      <c r="AF71" s="179" t="str">
        <f aca="false">IF('Bulk Order Details'!J81="","",LOOKUP('Bulk Order Details'!E81,Cut[Display],Cut[Code])&amp;LOOKUP('Bulk Order Details'!F81,#REF!,#REF!)&amp;IF('Bulk Order Details'!G81="","",LOOKUP('Bulk Order Details'!G81,Length[Display],Length[Code])))</f>
        <v/>
      </c>
      <c r="AG71" s="179" t="str">
        <f aca="false">IF('Bulk Order Details'!J81="","",IF('Bulk Order Details'!C81="","",'Bulk Order Details'!C81))</f>
        <v/>
      </c>
      <c r="AH71" s="179" t="str">
        <f aca="false">IF('Bulk Order Details'!O81="","","-"&amp;LOOKUP('Bulk Order Details'!O81,#REF!,#REF!))</f>
        <v/>
      </c>
      <c r="AI71" s="179" t="str">
        <f aca="false">IF('Bulk Order Details'!P81="","","-"&amp;LOOKUP('Bulk Order Details'!P81,#REF!,#REF!))</f>
        <v/>
      </c>
      <c r="AJ71" s="179" t="str">
        <f aca="false">IF('Bulk Order Details'!Q81="","","-"&amp;LOOKUP('Bulk Order Details'!Q81,#REF!,#REF!))</f>
        <v/>
      </c>
      <c r="AK71" s="179" t="str">
        <f aca="false">IF('Bulk Order Details'!R81="","","-"&amp;LOOKUP('Bulk Order Details'!R81,#REF!,#REF!))</f>
        <v/>
      </c>
      <c r="AL71" s="179" t="str">
        <f aca="false">IF('Bulk Order Details'!S81="","","-"&amp;LOOKUP('Bulk Order Details'!S81,#REF!,#REF!))</f>
        <v/>
      </c>
      <c r="AM71" s="179" t="str">
        <f aca="false">IF(_xlfn.CONCAT(AH71:AL71)="","","Lo"&amp;_xlfn.CONCAT(AH71:AL71))</f>
        <v/>
      </c>
      <c r="AN71" s="179" t="str">
        <f aca="false">IF('Bulk Order Details'!K81="","","Na-"&amp;'Bulk Order Details'!K81)</f>
        <v/>
      </c>
      <c r="AO71" s="179" t="str">
        <f aca="false">IF('Bulk Order Details'!N81="","","Fo-"&amp;'Bulk Order Details'!N81)</f>
        <v/>
      </c>
      <c r="AP71" s="179" t="str">
        <f aca="false">IF(AE71="","",AE71&amp;"_"&amp;AF71&amp;"_"&amp;AG71&amp;IF(AM71="","","_"&amp;AM71)&amp;IF(AN71="","","_"&amp;AN71)&amp;IF(AO71="","","_"&amp;AO71))</f>
        <v/>
      </c>
      <c r="AQ71" s="218" t="str">
        <f aca="false">IF(X71="","",X71)</f>
        <v/>
      </c>
    </row>
    <row r="72" customFormat="false" ht="15" hidden="false" customHeight="true" outlineLevel="0" collapsed="false">
      <c r="B72" s="209" t="n">
        <f aca="false">'Bulk Order Details'!B82</f>
        <v>69</v>
      </c>
      <c r="C72" s="209" t="e">
        <f aca="false">IF('bulk order details'!#ref!="","",'bulk order details'!#ref!&amp;" "&amp;'bulk order details'!#ref!)</f>
        <v>#VALUE!</v>
      </c>
      <c r="D72" s="210" t="str">
        <f aca="false">IF('Bulk Order Details'!J82="","",VLOOKUP(1,Price[],3))</f>
        <v/>
      </c>
      <c r="E72" s="211" t="str">
        <f aca="false">IF('Bulk Order Details'!J82="","",Summary!$D$9)</f>
        <v/>
      </c>
      <c r="F72" s="212" t="str">
        <f aca="false">IF('Bulk Order Details'!F82="","",_xlfn.xlookup('Bulk Order Details'!F82,Size[Display],Size[Price]))</f>
        <v/>
      </c>
      <c r="G72" s="212" t="str">
        <f aca="false">IF('Bulk Order Details'!G82="","",_xlfn.xlookup('Bulk Order Details'!G82,Length[Display],Length[Price]))</f>
        <v/>
      </c>
      <c r="H72" s="212" t="str">
        <f aca="false">IF('Bulk Order Details'!H82="","",_xlfn.xlookup('Bulk Order Details'!H82,Collection[Display],Collection[Price]))</f>
        <v/>
      </c>
      <c r="I72" s="212" t="str">
        <f aca="false">IF('Bulk Order Details'!I82="","",_xlfn.xlookup('Bulk Order Details'!I82,Sleeve[Display],Sleeve[Price]))</f>
        <v/>
      </c>
      <c r="J72" s="212" t="str">
        <f aca="false">IF('Bulk Order Details'!J82="","",_xlfn.xlookup('Bulk Order Details'!J82,Collar[Display],Collar[Price]))</f>
        <v/>
      </c>
      <c r="K72" s="212" t="str">
        <f aca="false">IF('Bulk Order Details'!K82="","",_xlfn.xlookup("Name",Name[Name],Name[Price]))</f>
        <v/>
      </c>
      <c r="L72" s="213" t="str">
        <f aca="false">IFERROR(IF('Bulk Order Details'!O82="","",IF(_xlfn.xlookup('Bulk Order Details'!O82,Logos[Display],Logos[Use])="Flat",_xlfn.xlookup('Bulk Order Details'!O82,Logos[Display],Logos[Flat]),ROUND(_xlfn.xlookup('Bulk Order Details'!O82,Logos[Display],Logos[Pct])*$E72,2))),"")</f>
        <v/>
      </c>
      <c r="M72" s="222" t="str">
        <f aca="false">IFERROR(IF('Bulk Order Details'!P82="","",IF(_xlfn.xlookup('Bulk Order Details'!P82,Chest[Display],Chest[Use])="Flat",_xlfn.xlookup('Bulk Order Details'!P82,Chest[Display],Chest[Flat]),ROUND(_xlfn.xlookup('Bulk Order Details'!P82,Chest[Display],Chest[Pct])*$E72,2))),"")</f>
        <v/>
      </c>
      <c r="N72" s="222" t="str">
        <f aca="false">IFERROR(IF('Bulk Order Details'!Q82="","",IF(_xlfn.xlookup('Bulk Order Details'!Q82,Chest[Display],Chest[Use])="Flat",_xlfn.xlookup('Bulk Order Details'!Q82,Chest[Display],Chest[Flat]),ROUND(_xlfn.xlookup('Bulk Order Details'!Q82,Chest[Display],Chest[Pct])*$E72,2))),"")</f>
        <v/>
      </c>
      <c r="O72" s="222" t="str">
        <f aca="false">IFERROR(IF('Bulk Order Details'!R82="","",IF(_xlfn.xlookup('Bulk Order Details'!R82,LeftSleeve[Display],LeftSleeve[Use])="Flat",_xlfn.xlookup('Bulk Order Details'!R82,LeftSleeve[Display],LeftSleeve[Flat]),ROUND(_xlfn.xlookup('Bulk Order Details'!R82,LeftSleeve[Display],LeftSleeve[Pct])*$E72,2))),"")</f>
        <v/>
      </c>
      <c r="P72" s="222" t="str">
        <f aca="false">IFERROR(IF('Bulk Order Details'!S82="","",IF(_xlfn.xlookup('Bulk Order Details'!S82,RightSleeve[Display],RightSleeve[Use])="Flat",_xlfn.xlookup('Bulk Order Details'!S82,RightSleeve[Display],RightSleeve[Flat]),ROUND(_xlfn.xlookup('Bulk Order Details'!S82,RightSleeve[Display],RightSleeve[Pct])*$E72,2))),"")</f>
        <v/>
      </c>
      <c r="Q72" s="214" t="str">
        <f aca="false">IF('Bulk Order Details'!J82="","",SUM(F72:P72))</f>
        <v/>
      </c>
      <c r="R72" s="213" t="str">
        <f aca="false">IFERROR(E72-D72,"")</f>
        <v/>
      </c>
      <c r="S72" s="215" t="str">
        <f aca="false">IFERROR(MIN(IF(Summary!$D$11="Yes",-J72,0),IF(H72&gt;0,-J72,0)),"")</f>
        <v/>
      </c>
      <c r="T72" s="212" t="str">
        <f aca="false">IFERROR(IF(Summary!$D$10="Yes",-K72,""),"")</f>
        <v/>
      </c>
      <c r="U72" s="213" t="str">
        <f aca="false">IFERROR(IF(Summary!$D$12="Yes",-L72,""),"")</f>
        <v/>
      </c>
      <c r="V72" s="216" t="str">
        <f aca="false">IF('Bulk Order Details'!J82="","",SUM(R72:U72))</f>
        <v/>
      </c>
      <c r="W72" s="217" t="str">
        <f aca="false">IF('Bulk Order Details'!J82="","",D72+Q72)</f>
        <v/>
      </c>
      <c r="X72" s="218" t="str">
        <f aca="false">IF('Bulk Order Details'!J82="","",D72+Q72+V72)</f>
        <v/>
      </c>
      <c r="Y72" s="219" t="str">
        <f aca="false">IFERROR((W72-X72)/W72,"")</f>
        <v/>
      </c>
      <c r="Z72" s="220" t="str">
        <f aca="false">IF('Bulk Order Details'!J82="","",MAX(1,'Bulk Order Details'!D82))</f>
        <v/>
      </c>
      <c r="AA72" s="217" t="str">
        <f aca="false">IF(Pricing_Details[[#This Row],[Quantity]]="","",Pricing_Details[[#This Row],[Retail Price]]*Pricing_Details[[#This Row],[Quantity]])</f>
        <v/>
      </c>
      <c r="AB72" s="217" t="str">
        <f aca="false">IF(Pricing_Details[[#This Row],[Quantity]]="","",Pricing_Details[[#This Row],[Total Discount]]*Pricing_Details[[#This Row],[Quantity]])</f>
        <v/>
      </c>
      <c r="AC72" s="221" t="str">
        <f aca="false">IFERROR(ROUND(Pricing_Details[[#This Row],[Actual Price]]*Pricing_Details[[#This Row],[Quantity]],2),"")</f>
        <v/>
      </c>
      <c r="AE72" s="179" t="str">
        <f aca="false">IF('Bulk Order Details'!J82="","",VLOOKUP('Bulk Order Details'!H82,Collection[],3)&amp;VLOOKUP('Bulk Order Details'!J82,Collar[],4)&amp;VLOOKUP('Bulk Order Details'!I82,Sleeve[],4))</f>
        <v/>
      </c>
      <c r="AF72" s="179" t="str">
        <f aca="false">IF('Bulk Order Details'!J82="","",LOOKUP('Bulk Order Details'!E82,Cut[Display],Cut[Code])&amp;LOOKUP('Bulk Order Details'!F82,#REF!,#REF!)&amp;IF('Bulk Order Details'!G82="","",LOOKUP('Bulk Order Details'!G82,Length[Display],Length[Code])))</f>
        <v/>
      </c>
      <c r="AG72" s="179" t="str">
        <f aca="false">IF('Bulk Order Details'!J82="","",IF('Bulk Order Details'!C82="","",'Bulk Order Details'!C82))</f>
        <v/>
      </c>
      <c r="AH72" s="179" t="str">
        <f aca="false">IF('Bulk Order Details'!O82="","","-"&amp;LOOKUP('Bulk Order Details'!O82,#REF!,#REF!))</f>
        <v/>
      </c>
      <c r="AI72" s="179" t="str">
        <f aca="false">IF('Bulk Order Details'!P82="","","-"&amp;LOOKUP('Bulk Order Details'!P82,#REF!,#REF!))</f>
        <v/>
      </c>
      <c r="AJ72" s="179" t="str">
        <f aca="false">IF('Bulk Order Details'!Q82="","","-"&amp;LOOKUP('Bulk Order Details'!Q82,#REF!,#REF!))</f>
        <v/>
      </c>
      <c r="AK72" s="179" t="str">
        <f aca="false">IF('Bulk Order Details'!R82="","","-"&amp;LOOKUP('Bulk Order Details'!R82,#REF!,#REF!))</f>
        <v/>
      </c>
      <c r="AL72" s="179" t="str">
        <f aca="false">IF('Bulk Order Details'!S82="","","-"&amp;LOOKUP('Bulk Order Details'!S82,#REF!,#REF!))</f>
        <v/>
      </c>
      <c r="AM72" s="179" t="str">
        <f aca="false">IF(_xlfn.CONCAT(AH72:AL72)="","","Lo"&amp;_xlfn.CONCAT(AH72:AL72))</f>
        <v/>
      </c>
      <c r="AN72" s="179" t="str">
        <f aca="false">IF('Bulk Order Details'!K82="","","Na-"&amp;'Bulk Order Details'!K82)</f>
        <v/>
      </c>
      <c r="AO72" s="179" t="str">
        <f aca="false">IF('Bulk Order Details'!N82="","","Fo-"&amp;'Bulk Order Details'!N82)</f>
        <v/>
      </c>
      <c r="AP72" s="179" t="str">
        <f aca="false">IF(AE72="","",AE72&amp;"_"&amp;AF72&amp;"_"&amp;AG72&amp;IF(AM72="","","_"&amp;AM72)&amp;IF(AN72="","","_"&amp;AN72)&amp;IF(AO72="","","_"&amp;AO72))</f>
        <v/>
      </c>
      <c r="AQ72" s="218" t="str">
        <f aca="false">IF(X72="","",X72)</f>
        <v/>
      </c>
    </row>
    <row r="73" customFormat="false" ht="15" hidden="false" customHeight="true" outlineLevel="0" collapsed="false">
      <c r="B73" s="209" t="n">
        <f aca="false">'Bulk Order Details'!B83</f>
        <v>70</v>
      </c>
      <c r="C73" s="209" t="e">
        <f aca="false">IF('bulk order details'!#ref!="","",'bulk order details'!#ref!&amp;" "&amp;'bulk order details'!#ref!)</f>
        <v>#VALUE!</v>
      </c>
      <c r="D73" s="210" t="str">
        <f aca="false">IF('Bulk Order Details'!J83="","",VLOOKUP(1,Price[],3))</f>
        <v/>
      </c>
      <c r="E73" s="211" t="str">
        <f aca="false">IF('Bulk Order Details'!J83="","",Summary!$D$9)</f>
        <v/>
      </c>
      <c r="F73" s="212" t="str">
        <f aca="false">IF('Bulk Order Details'!F83="","",_xlfn.xlookup('Bulk Order Details'!F83,Size[Display],Size[Price]))</f>
        <v/>
      </c>
      <c r="G73" s="212" t="str">
        <f aca="false">IF('Bulk Order Details'!G83="","",_xlfn.xlookup('Bulk Order Details'!G83,Length[Display],Length[Price]))</f>
        <v/>
      </c>
      <c r="H73" s="212" t="str">
        <f aca="false">IF('Bulk Order Details'!H83="","",_xlfn.xlookup('Bulk Order Details'!H83,Collection[Display],Collection[Price]))</f>
        <v/>
      </c>
      <c r="I73" s="212" t="str">
        <f aca="false">IF('Bulk Order Details'!I83="","",_xlfn.xlookup('Bulk Order Details'!I83,Sleeve[Display],Sleeve[Price]))</f>
        <v/>
      </c>
      <c r="J73" s="212" t="str">
        <f aca="false">IF('Bulk Order Details'!J83="","",_xlfn.xlookup('Bulk Order Details'!J83,Collar[Display],Collar[Price]))</f>
        <v/>
      </c>
      <c r="K73" s="212" t="str">
        <f aca="false">IF('Bulk Order Details'!K83="","",_xlfn.xlookup("Name",Name[Name],Name[Price]))</f>
        <v/>
      </c>
      <c r="L73" s="213" t="str">
        <f aca="false">IFERROR(IF('Bulk Order Details'!O83="","",IF(_xlfn.xlookup('Bulk Order Details'!O83,Logos[Display],Logos[Use])="Flat",_xlfn.xlookup('Bulk Order Details'!O83,Logos[Display],Logos[Flat]),ROUND(_xlfn.xlookup('Bulk Order Details'!O83,Logos[Display],Logos[Pct])*$E73,2))),"")</f>
        <v/>
      </c>
      <c r="M73" s="222" t="str">
        <f aca="false">IFERROR(IF('Bulk Order Details'!P83="","",IF(_xlfn.xlookup('Bulk Order Details'!P83,Chest[Display],Chest[Use])="Flat",_xlfn.xlookup('Bulk Order Details'!P83,Chest[Display],Chest[Flat]),ROUND(_xlfn.xlookup('Bulk Order Details'!P83,Chest[Display],Chest[Pct])*$E73,2))),"")</f>
        <v/>
      </c>
      <c r="N73" s="222" t="str">
        <f aca="false">IFERROR(IF('Bulk Order Details'!Q83="","",IF(_xlfn.xlookup('Bulk Order Details'!Q83,Chest[Display],Chest[Use])="Flat",_xlfn.xlookup('Bulk Order Details'!Q83,Chest[Display],Chest[Flat]),ROUND(_xlfn.xlookup('Bulk Order Details'!Q83,Chest[Display],Chest[Pct])*$E73,2))),"")</f>
        <v/>
      </c>
      <c r="O73" s="222" t="str">
        <f aca="false">IFERROR(IF('Bulk Order Details'!R83="","",IF(_xlfn.xlookup('Bulk Order Details'!R83,LeftSleeve[Display],LeftSleeve[Use])="Flat",_xlfn.xlookup('Bulk Order Details'!R83,LeftSleeve[Display],LeftSleeve[Flat]),ROUND(_xlfn.xlookup('Bulk Order Details'!R83,LeftSleeve[Display],LeftSleeve[Pct])*$E73,2))),"")</f>
        <v/>
      </c>
      <c r="P73" s="222" t="str">
        <f aca="false">IFERROR(IF('Bulk Order Details'!S83="","",IF(_xlfn.xlookup('Bulk Order Details'!S83,RightSleeve[Display],RightSleeve[Use])="Flat",_xlfn.xlookup('Bulk Order Details'!S83,RightSleeve[Display],RightSleeve[Flat]),ROUND(_xlfn.xlookup('Bulk Order Details'!S83,RightSleeve[Display],RightSleeve[Pct])*$E73,2))),"")</f>
        <v/>
      </c>
      <c r="Q73" s="214" t="str">
        <f aca="false">IF('Bulk Order Details'!J83="","",SUM(F73:P73))</f>
        <v/>
      </c>
      <c r="R73" s="213" t="str">
        <f aca="false">IFERROR(E73-D73,"")</f>
        <v/>
      </c>
      <c r="S73" s="215" t="str">
        <f aca="false">IFERROR(MIN(IF(Summary!$D$11="Yes",-J73,0),IF(H73&gt;0,-J73,0)),"")</f>
        <v/>
      </c>
      <c r="T73" s="212" t="str">
        <f aca="false">IFERROR(IF(Summary!$D$10="Yes",-K73,""),"")</f>
        <v/>
      </c>
      <c r="U73" s="213" t="str">
        <f aca="false">IFERROR(IF(Summary!$D$12="Yes",-L73,""),"")</f>
        <v/>
      </c>
      <c r="V73" s="216" t="str">
        <f aca="false">IF('Bulk Order Details'!J83="","",SUM(R73:U73))</f>
        <v/>
      </c>
      <c r="W73" s="217" t="str">
        <f aca="false">IF('Bulk Order Details'!J83="","",D73+Q73)</f>
        <v/>
      </c>
      <c r="X73" s="218" t="str">
        <f aca="false">IF('Bulk Order Details'!J83="","",D73+Q73+V73)</f>
        <v/>
      </c>
      <c r="Y73" s="219" t="str">
        <f aca="false">IFERROR((W73-X73)/W73,"")</f>
        <v/>
      </c>
      <c r="Z73" s="220" t="str">
        <f aca="false">IF('Bulk Order Details'!J83="","",MAX(1,'Bulk Order Details'!D83))</f>
        <v/>
      </c>
      <c r="AA73" s="217" t="str">
        <f aca="false">IF(Pricing_Details[[#This Row],[Quantity]]="","",Pricing_Details[[#This Row],[Retail Price]]*Pricing_Details[[#This Row],[Quantity]])</f>
        <v/>
      </c>
      <c r="AB73" s="217" t="str">
        <f aca="false">IF(Pricing_Details[[#This Row],[Quantity]]="","",Pricing_Details[[#This Row],[Total Discount]]*Pricing_Details[[#This Row],[Quantity]])</f>
        <v/>
      </c>
      <c r="AC73" s="221" t="str">
        <f aca="false">IFERROR(ROUND(Pricing_Details[[#This Row],[Actual Price]]*Pricing_Details[[#This Row],[Quantity]],2),"")</f>
        <v/>
      </c>
      <c r="AE73" s="179" t="str">
        <f aca="false">IF('Bulk Order Details'!J83="","",VLOOKUP('Bulk Order Details'!H83,Collection[],3)&amp;VLOOKUP('Bulk Order Details'!J83,Collar[],4)&amp;VLOOKUP('Bulk Order Details'!I83,Sleeve[],4))</f>
        <v/>
      </c>
      <c r="AF73" s="179" t="str">
        <f aca="false">IF('Bulk Order Details'!J83="","",LOOKUP('Bulk Order Details'!E83,Cut[Display],Cut[Code])&amp;LOOKUP('Bulk Order Details'!F83,#REF!,#REF!)&amp;IF('Bulk Order Details'!G83="","",LOOKUP('Bulk Order Details'!G83,Length[Display],Length[Code])))</f>
        <v/>
      </c>
      <c r="AG73" s="179" t="str">
        <f aca="false">IF('Bulk Order Details'!J83="","",IF('Bulk Order Details'!C83="","",'Bulk Order Details'!C83))</f>
        <v/>
      </c>
      <c r="AH73" s="179" t="str">
        <f aca="false">IF('Bulk Order Details'!O83="","","-"&amp;LOOKUP('Bulk Order Details'!O83,#REF!,#REF!))</f>
        <v/>
      </c>
      <c r="AI73" s="179" t="str">
        <f aca="false">IF('Bulk Order Details'!P83="","","-"&amp;LOOKUP('Bulk Order Details'!P83,#REF!,#REF!))</f>
        <v/>
      </c>
      <c r="AJ73" s="179" t="str">
        <f aca="false">IF('Bulk Order Details'!Q83="","","-"&amp;LOOKUP('Bulk Order Details'!Q83,#REF!,#REF!))</f>
        <v/>
      </c>
      <c r="AK73" s="179" t="str">
        <f aca="false">IF('Bulk Order Details'!R83="","","-"&amp;LOOKUP('Bulk Order Details'!R83,#REF!,#REF!))</f>
        <v/>
      </c>
      <c r="AL73" s="179" t="str">
        <f aca="false">IF('Bulk Order Details'!S83="","","-"&amp;LOOKUP('Bulk Order Details'!S83,#REF!,#REF!))</f>
        <v/>
      </c>
      <c r="AM73" s="179" t="str">
        <f aca="false">IF(_xlfn.CONCAT(AH73:AL73)="","","Lo"&amp;_xlfn.CONCAT(AH73:AL73))</f>
        <v/>
      </c>
      <c r="AN73" s="179" t="str">
        <f aca="false">IF('Bulk Order Details'!K83="","","Na-"&amp;'Bulk Order Details'!K83)</f>
        <v/>
      </c>
      <c r="AO73" s="179" t="str">
        <f aca="false">IF('Bulk Order Details'!N83="","","Fo-"&amp;'Bulk Order Details'!N83)</f>
        <v/>
      </c>
      <c r="AP73" s="179" t="str">
        <f aca="false">IF(AE73="","",AE73&amp;"_"&amp;AF73&amp;"_"&amp;AG73&amp;IF(AM73="","","_"&amp;AM73)&amp;IF(AN73="","","_"&amp;AN73)&amp;IF(AO73="","","_"&amp;AO73))</f>
        <v/>
      </c>
      <c r="AQ73" s="218" t="str">
        <f aca="false">IF(X73="","",X73)</f>
        <v/>
      </c>
    </row>
    <row r="74" customFormat="false" ht="15" hidden="false" customHeight="true" outlineLevel="0" collapsed="false">
      <c r="B74" s="209" t="n">
        <f aca="false">'Bulk Order Details'!B84</f>
        <v>71</v>
      </c>
      <c r="C74" s="209" t="e">
        <f aca="false">IF('bulk order details'!#ref!="","",'bulk order details'!#ref!&amp;" "&amp;'bulk order details'!#ref!)</f>
        <v>#VALUE!</v>
      </c>
      <c r="D74" s="210" t="str">
        <f aca="false">IF('Bulk Order Details'!J84="","",VLOOKUP(1,Price[],3))</f>
        <v/>
      </c>
      <c r="E74" s="211" t="str">
        <f aca="false">IF('Bulk Order Details'!J84="","",Summary!$D$9)</f>
        <v/>
      </c>
      <c r="F74" s="212" t="str">
        <f aca="false">IF('Bulk Order Details'!F84="","",_xlfn.xlookup('Bulk Order Details'!F84,Size[Display],Size[Price]))</f>
        <v/>
      </c>
      <c r="G74" s="212" t="str">
        <f aca="false">IF('Bulk Order Details'!G84="","",_xlfn.xlookup('Bulk Order Details'!G84,Length[Display],Length[Price]))</f>
        <v/>
      </c>
      <c r="H74" s="212" t="str">
        <f aca="false">IF('Bulk Order Details'!H84="","",_xlfn.xlookup('Bulk Order Details'!H84,Collection[Display],Collection[Price]))</f>
        <v/>
      </c>
      <c r="I74" s="212" t="str">
        <f aca="false">IF('Bulk Order Details'!I84="","",_xlfn.xlookup('Bulk Order Details'!I84,Sleeve[Display],Sleeve[Price]))</f>
        <v/>
      </c>
      <c r="J74" s="212" t="str">
        <f aca="false">IF('Bulk Order Details'!J84="","",_xlfn.xlookup('Bulk Order Details'!J84,Collar[Display],Collar[Price]))</f>
        <v/>
      </c>
      <c r="K74" s="212" t="str">
        <f aca="false">IF('Bulk Order Details'!K84="","",_xlfn.xlookup("Name",Name[Name],Name[Price]))</f>
        <v/>
      </c>
      <c r="L74" s="213" t="str">
        <f aca="false">IFERROR(IF('Bulk Order Details'!O84="","",IF(_xlfn.xlookup('Bulk Order Details'!O84,Logos[Display],Logos[Use])="Flat",_xlfn.xlookup('Bulk Order Details'!O84,Logos[Display],Logos[Flat]),ROUND(_xlfn.xlookup('Bulk Order Details'!O84,Logos[Display],Logos[Pct])*$E74,2))),"")</f>
        <v/>
      </c>
      <c r="M74" s="222" t="str">
        <f aca="false">IFERROR(IF('Bulk Order Details'!P84="","",IF(_xlfn.xlookup('Bulk Order Details'!P84,Chest[Display],Chest[Use])="Flat",_xlfn.xlookup('Bulk Order Details'!P84,Chest[Display],Chest[Flat]),ROUND(_xlfn.xlookup('Bulk Order Details'!P84,Chest[Display],Chest[Pct])*$E74,2))),"")</f>
        <v/>
      </c>
      <c r="N74" s="222" t="str">
        <f aca="false">IFERROR(IF('Bulk Order Details'!Q84="","",IF(_xlfn.xlookup('Bulk Order Details'!Q84,Chest[Display],Chest[Use])="Flat",_xlfn.xlookup('Bulk Order Details'!Q84,Chest[Display],Chest[Flat]),ROUND(_xlfn.xlookup('Bulk Order Details'!Q84,Chest[Display],Chest[Pct])*$E74,2))),"")</f>
        <v/>
      </c>
      <c r="O74" s="222" t="str">
        <f aca="false">IFERROR(IF('Bulk Order Details'!R84="","",IF(_xlfn.xlookup('Bulk Order Details'!R84,LeftSleeve[Display],LeftSleeve[Use])="Flat",_xlfn.xlookup('Bulk Order Details'!R84,LeftSleeve[Display],LeftSleeve[Flat]),ROUND(_xlfn.xlookup('Bulk Order Details'!R84,LeftSleeve[Display],LeftSleeve[Pct])*$E74,2))),"")</f>
        <v/>
      </c>
      <c r="P74" s="222" t="str">
        <f aca="false">IFERROR(IF('Bulk Order Details'!S84="","",IF(_xlfn.xlookup('Bulk Order Details'!S84,RightSleeve[Display],RightSleeve[Use])="Flat",_xlfn.xlookup('Bulk Order Details'!S84,RightSleeve[Display],RightSleeve[Flat]),ROUND(_xlfn.xlookup('Bulk Order Details'!S84,RightSleeve[Display],RightSleeve[Pct])*$E74,2))),"")</f>
        <v/>
      </c>
      <c r="Q74" s="214" t="str">
        <f aca="false">IF('Bulk Order Details'!J84="","",SUM(F74:P74))</f>
        <v/>
      </c>
      <c r="R74" s="213" t="str">
        <f aca="false">IFERROR(E74-D74,"")</f>
        <v/>
      </c>
      <c r="S74" s="215" t="str">
        <f aca="false">IFERROR(MIN(IF(Summary!$D$11="Yes",-J74,0),IF(H74&gt;0,-J74,0)),"")</f>
        <v/>
      </c>
      <c r="T74" s="212" t="str">
        <f aca="false">IFERROR(IF(Summary!$D$10="Yes",-K74,""),"")</f>
        <v/>
      </c>
      <c r="U74" s="213" t="str">
        <f aca="false">IFERROR(IF(Summary!$D$12="Yes",-L74,""),"")</f>
        <v/>
      </c>
      <c r="V74" s="216" t="str">
        <f aca="false">IF('Bulk Order Details'!J84="","",SUM(R74:U74))</f>
        <v/>
      </c>
      <c r="W74" s="217" t="str">
        <f aca="false">IF('Bulk Order Details'!J84="","",D74+Q74)</f>
        <v/>
      </c>
      <c r="X74" s="218" t="str">
        <f aca="false">IF('Bulk Order Details'!J84="","",D74+Q74+V74)</f>
        <v/>
      </c>
      <c r="Y74" s="219" t="str">
        <f aca="false">IFERROR((W74-X74)/W74,"")</f>
        <v/>
      </c>
      <c r="Z74" s="220" t="str">
        <f aca="false">IF('Bulk Order Details'!J84="","",MAX(1,'Bulk Order Details'!D84))</f>
        <v/>
      </c>
      <c r="AA74" s="217" t="str">
        <f aca="false">IF(Pricing_Details[[#This Row],[Quantity]]="","",Pricing_Details[[#This Row],[Retail Price]]*Pricing_Details[[#This Row],[Quantity]])</f>
        <v/>
      </c>
      <c r="AB74" s="217" t="str">
        <f aca="false">IF(Pricing_Details[[#This Row],[Quantity]]="","",Pricing_Details[[#This Row],[Total Discount]]*Pricing_Details[[#This Row],[Quantity]])</f>
        <v/>
      </c>
      <c r="AC74" s="221" t="str">
        <f aca="false">IFERROR(ROUND(Pricing_Details[[#This Row],[Actual Price]]*Pricing_Details[[#This Row],[Quantity]],2),"")</f>
        <v/>
      </c>
      <c r="AE74" s="179" t="str">
        <f aca="false">IF('Bulk Order Details'!J84="","",VLOOKUP('Bulk Order Details'!H84,Collection[],3)&amp;VLOOKUP('Bulk Order Details'!J84,Collar[],4)&amp;VLOOKUP('Bulk Order Details'!I84,Sleeve[],4))</f>
        <v/>
      </c>
      <c r="AF74" s="179" t="str">
        <f aca="false">IF('Bulk Order Details'!J84="","",LOOKUP('Bulk Order Details'!E84,Cut[Display],Cut[Code])&amp;LOOKUP('Bulk Order Details'!F84,#REF!,#REF!)&amp;IF('Bulk Order Details'!G84="","",LOOKUP('Bulk Order Details'!G84,Length[Display],Length[Code])))</f>
        <v/>
      </c>
      <c r="AG74" s="179" t="str">
        <f aca="false">IF('Bulk Order Details'!J84="","",IF('Bulk Order Details'!C84="","",'Bulk Order Details'!C84))</f>
        <v/>
      </c>
      <c r="AH74" s="179" t="str">
        <f aca="false">IF('Bulk Order Details'!O84="","","-"&amp;LOOKUP('Bulk Order Details'!O84,#REF!,#REF!))</f>
        <v/>
      </c>
      <c r="AI74" s="179" t="str">
        <f aca="false">IF('Bulk Order Details'!P84="","","-"&amp;LOOKUP('Bulk Order Details'!P84,#REF!,#REF!))</f>
        <v/>
      </c>
      <c r="AJ74" s="179" t="str">
        <f aca="false">IF('Bulk Order Details'!Q84="","","-"&amp;LOOKUP('Bulk Order Details'!Q84,#REF!,#REF!))</f>
        <v/>
      </c>
      <c r="AK74" s="179" t="str">
        <f aca="false">IF('Bulk Order Details'!R84="","","-"&amp;LOOKUP('Bulk Order Details'!R84,#REF!,#REF!))</f>
        <v/>
      </c>
      <c r="AL74" s="179" t="str">
        <f aca="false">IF('Bulk Order Details'!S84="","","-"&amp;LOOKUP('Bulk Order Details'!S84,#REF!,#REF!))</f>
        <v/>
      </c>
      <c r="AM74" s="179" t="str">
        <f aca="false">IF(_xlfn.CONCAT(AH74:AL74)="","","Lo"&amp;_xlfn.CONCAT(AH74:AL74))</f>
        <v/>
      </c>
      <c r="AN74" s="179" t="str">
        <f aca="false">IF('Bulk Order Details'!K84="","","Na-"&amp;'Bulk Order Details'!K84)</f>
        <v/>
      </c>
      <c r="AO74" s="179" t="str">
        <f aca="false">IF('Bulk Order Details'!N84="","","Fo-"&amp;'Bulk Order Details'!N84)</f>
        <v/>
      </c>
      <c r="AP74" s="179" t="str">
        <f aca="false">IF(AE74="","",AE74&amp;"_"&amp;AF74&amp;"_"&amp;AG74&amp;IF(AM74="","","_"&amp;AM74)&amp;IF(AN74="","","_"&amp;AN74)&amp;IF(AO74="","","_"&amp;AO74))</f>
        <v/>
      </c>
      <c r="AQ74" s="218" t="str">
        <f aca="false">IF(X74="","",X74)</f>
        <v/>
      </c>
    </row>
    <row r="75" customFormat="false" ht="15" hidden="false" customHeight="true" outlineLevel="0" collapsed="false">
      <c r="B75" s="209" t="n">
        <f aca="false">'Bulk Order Details'!B85</f>
        <v>72</v>
      </c>
      <c r="C75" s="209" t="e">
        <f aca="false">IF('bulk order details'!#ref!="","",'bulk order details'!#ref!&amp;" "&amp;'bulk order details'!#ref!)</f>
        <v>#VALUE!</v>
      </c>
      <c r="D75" s="210" t="str">
        <f aca="false">IF('Bulk Order Details'!J85="","",VLOOKUP(1,Price[],3))</f>
        <v/>
      </c>
      <c r="E75" s="211" t="str">
        <f aca="false">IF('Bulk Order Details'!J85="","",Summary!$D$9)</f>
        <v/>
      </c>
      <c r="F75" s="212" t="str">
        <f aca="false">IF('Bulk Order Details'!F85="","",_xlfn.xlookup('Bulk Order Details'!F85,Size[Display],Size[Price]))</f>
        <v/>
      </c>
      <c r="G75" s="212" t="str">
        <f aca="false">IF('Bulk Order Details'!G85="","",_xlfn.xlookup('Bulk Order Details'!G85,Length[Display],Length[Price]))</f>
        <v/>
      </c>
      <c r="H75" s="212" t="str">
        <f aca="false">IF('Bulk Order Details'!H85="","",_xlfn.xlookup('Bulk Order Details'!H85,Collection[Display],Collection[Price]))</f>
        <v/>
      </c>
      <c r="I75" s="212" t="str">
        <f aca="false">IF('Bulk Order Details'!I85="","",_xlfn.xlookup('Bulk Order Details'!I85,Sleeve[Display],Sleeve[Price]))</f>
        <v/>
      </c>
      <c r="J75" s="212" t="str">
        <f aca="false">IF('Bulk Order Details'!J85="","",_xlfn.xlookup('Bulk Order Details'!J85,Collar[Display],Collar[Price]))</f>
        <v/>
      </c>
      <c r="K75" s="212" t="str">
        <f aca="false">IF('Bulk Order Details'!K85="","",_xlfn.xlookup("Name",Name[Name],Name[Price]))</f>
        <v/>
      </c>
      <c r="L75" s="213" t="str">
        <f aca="false">IFERROR(IF('Bulk Order Details'!O85="","",IF(_xlfn.xlookup('Bulk Order Details'!O85,Logos[Display],Logos[Use])="Flat",_xlfn.xlookup('Bulk Order Details'!O85,Logos[Display],Logos[Flat]),ROUND(_xlfn.xlookup('Bulk Order Details'!O85,Logos[Display],Logos[Pct])*$E75,2))),"")</f>
        <v/>
      </c>
      <c r="M75" s="222" t="str">
        <f aca="false">IFERROR(IF('Bulk Order Details'!P85="","",IF(_xlfn.xlookup('Bulk Order Details'!P85,Chest[Display],Chest[Use])="Flat",_xlfn.xlookup('Bulk Order Details'!P85,Chest[Display],Chest[Flat]),ROUND(_xlfn.xlookup('Bulk Order Details'!P85,Chest[Display],Chest[Pct])*$E75,2))),"")</f>
        <v/>
      </c>
      <c r="N75" s="222" t="str">
        <f aca="false">IFERROR(IF('Bulk Order Details'!Q85="","",IF(_xlfn.xlookup('Bulk Order Details'!Q85,Chest[Display],Chest[Use])="Flat",_xlfn.xlookup('Bulk Order Details'!Q85,Chest[Display],Chest[Flat]),ROUND(_xlfn.xlookup('Bulk Order Details'!Q85,Chest[Display],Chest[Pct])*$E75,2))),"")</f>
        <v/>
      </c>
      <c r="O75" s="222" t="str">
        <f aca="false">IFERROR(IF('Bulk Order Details'!R85="","",IF(_xlfn.xlookup('Bulk Order Details'!R85,LeftSleeve[Display],LeftSleeve[Use])="Flat",_xlfn.xlookup('Bulk Order Details'!R85,LeftSleeve[Display],LeftSleeve[Flat]),ROUND(_xlfn.xlookup('Bulk Order Details'!R85,LeftSleeve[Display],LeftSleeve[Pct])*$E75,2))),"")</f>
        <v/>
      </c>
      <c r="P75" s="222" t="str">
        <f aca="false">IFERROR(IF('Bulk Order Details'!S85="","",IF(_xlfn.xlookup('Bulk Order Details'!S85,RightSleeve[Display],RightSleeve[Use])="Flat",_xlfn.xlookup('Bulk Order Details'!S85,RightSleeve[Display],RightSleeve[Flat]),ROUND(_xlfn.xlookup('Bulk Order Details'!S85,RightSleeve[Display],RightSleeve[Pct])*$E75,2))),"")</f>
        <v/>
      </c>
      <c r="Q75" s="214" t="str">
        <f aca="false">IF('Bulk Order Details'!J85="","",SUM(F75:P75))</f>
        <v/>
      </c>
      <c r="R75" s="213" t="str">
        <f aca="false">IFERROR(E75-D75,"")</f>
        <v/>
      </c>
      <c r="S75" s="215" t="str">
        <f aca="false">IFERROR(MIN(IF(Summary!$D$11="Yes",-J75,0),IF(H75&gt;0,-J75,0)),"")</f>
        <v/>
      </c>
      <c r="T75" s="212" t="str">
        <f aca="false">IFERROR(IF(Summary!$D$10="Yes",-K75,""),"")</f>
        <v/>
      </c>
      <c r="U75" s="213" t="str">
        <f aca="false">IFERROR(IF(Summary!$D$12="Yes",-L75,""),"")</f>
        <v/>
      </c>
      <c r="V75" s="216" t="str">
        <f aca="false">IF('Bulk Order Details'!J85="","",SUM(R75:U75))</f>
        <v/>
      </c>
      <c r="W75" s="217" t="str">
        <f aca="false">IF('Bulk Order Details'!J85="","",D75+Q75)</f>
        <v/>
      </c>
      <c r="X75" s="218" t="str">
        <f aca="false">IF('Bulk Order Details'!J85="","",D75+Q75+V75)</f>
        <v/>
      </c>
      <c r="Y75" s="219" t="str">
        <f aca="false">IFERROR((W75-X75)/W75,"")</f>
        <v/>
      </c>
      <c r="Z75" s="220" t="str">
        <f aca="false">IF('Bulk Order Details'!J85="","",MAX(1,'Bulk Order Details'!D85))</f>
        <v/>
      </c>
      <c r="AA75" s="217" t="str">
        <f aca="false">IF(Pricing_Details[[#This Row],[Quantity]]="","",Pricing_Details[[#This Row],[Retail Price]]*Pricing_Details[[#This Row],[Quantity]])</f>
        <v/>
      </c>
      <c r="AB75" s="217" t="str">
        <f aca="false">IF(Pricing_Details[[#This Row],[Quantity]]="","",Pricing_Details[[#This Row],[Total Discount]]*Pricing_Details[[#This Row],[Quantity]])</f>
        <v/>
      </c>
      <c r="AC75" s="221" t="str">
        <f aca="false">IFERROR(ROUND(Pricing_Details[[#This Row],[Actual Price]]*Pricing_Details[[#This Row],[Quantity]],2),"")</f>
        <v/>
      </c>
      <c r="AE75" s="179" t="str">
        <f aca="false">IF('Bulk Order Details'!J85="","",VLOOKUP('Bulk Order Details'!H85,Collection[],3)&amp;VLOOKUP('Bulk Order Details'!J85,Collar[],4)&amp;VLOOKUP('Bulk Order Details'!I85,Sleeve[],4))</f>
        <v/>
      </c>
      <c r="AF75" s="179" t="str">
        <f aca="false">IF('Bulk Order Details'!J85="","",LOOKUP('Bulk Order Details'!E85,Cut[Display],Cut[Code])&amp;LOOKUP('Bulk Order Details'!F85,#REF!,#REF!)&amp;IF('Bulk Order Details'!G85="","",LOOKUP('Bulk Order Details'!G85,Length[Display],Length[Code])))</f>
        <v/>
      </c>
      <c r="AG75" s="179" t="str">
        <f aca="false">IF('Bulk Order Details'!J85="","",IF('Bulk Order Details'!C85="","",'Bulk Order Details'!C85))</f>
        <v/>
      </c>
      <c r="AH75" s="179" t="str">
        <f aca="false">IF('Bulk Order Details'!O85="","","-"&amp;LOOKUP('Bulk Order Details'!O85,#REF!,#REF!))</f>
        <v/>
      </c>
      <c r="AI75" s="179" t="str">
        <f aca="false">IF('Bulk Order Details'!P85="","","-"&amp;LOOKUP('Bulk Order Details'!P85,#REF!,#REF!))</f>
        <v/>
      </c>
      <c r="AJ75" s="179" t="str">
        <f aca="false">IF('Bulk Order Details'!Q85="","","-"&amp;LOOKUP('Bulk Order Details'!Q85,#REF!,#REF!))</f>
        <v/>
      </c>
      <c r="AK75" s="179" t="str">
        <f aca="false">IF('Bulk Order Details'!R85="","","-"&amp;LOOKUP('Bulk Order Details'!R85,#REF!,#REF!))</f>
        <v/>
      </c>
      <c r="AL75" s="179" t="str">
        <f aca="false">IF('Bulk Order Details'!S85="","","-"&amp;LOOKUP('Bulk Order Details'!S85,#REF!,#REF!))</f>
        <v/>
      </c>
      <c r="AM75" s="179" t="str">
        <f aca="false">IF(_xlfn.CONCAT(AH75:AL75)="","","Lo"&amp;_xlfn.CONCAT(AH75:AL75))</f>
        <v/>
      </c>
      <c r="AN75" s="179" t="str">
        <f aca="false">IF('Bulk Order Details'!K85="","","Na-"&amp;'Bulk Order Details'!K85)</f>
        <v/>
      </c>
      <c r="AO75" s="179" t="str">
        <f aca="false">IF('Bulk Order Details'!N85="","","Fo-"&amp;'Bulk Order Details'!N85)</f>
        <v/>
      </c>
      <c r="AP75" s="179" t="str">
        <f aca="false">IF(AE75="","",AE75&amp;"_"&amp;AF75&amp;"_"&amp;AG75&amp;IF(AM75="","","_"&amp;AM75)&amp;IF(AN75="","","_"&amp;AN75)&amp;IF(AO75="","","_"&amp;AO75))</f>
        <v/>
      </c>
      <c r="AQ75" s="218" t="str">
        <f aca="false">IF(X75="","",X75)</f>
        <v/>
      </c>
    </row>
    <row r="76" customFormat="false" ht="15" hidden="false" customHeight="true" outlineLevel="0" collapsed="false">
      <c r="B76" s="209" t="n">
        <f aca="false">'Bulk Order Details'!B86</f>
        <v>73</v>
      </c>
      <c r="C76" s="209" t="e">
        <f aca="false">IF('bulk order details'!#ref!="","",'bulk order details'!#ref!&amp;" "&amp;'bulk order details'!#ref!)</f>
        <v>#VALUE!</v>
      </c>
      <c r="D76" s="210" t="str">
        <f aca="false">IF('Bulk Order Details'!J86="","",VLOOKUP(1,Price[],3))</f>
        <v/>
      </c>
      <c r="E76" s="211" t="str">
        <f aca="false">IF('Bulk Order Details'!J86="","",Summary!$D$9)</f>
        <v/>
      </c>
      <c r="F76" s="212" t="str">
        <f aca="false">IF('Bulk Order Details'!F86="","",_xlfn.xlookup('Bulk Order Details'!F86,Size[Display],Size[Price]))</f>
        <v/>
      </c>
      <c r="G76" s="212" t="str">
        <f aca="false">IF('Bulk Order Details'!G86="","",_xlfn.xlookup('Bulk Order Details'!G86,Length[Display],Length[Price]))</f>
        <v/>
      </c>
      <c r="H76" s="212" t="str">
        <f aca="false">IF('Bulk Order Details'!H86="","",_xlfn.xlookup('Bulk Order Details'!H86,Collection[Display],Collection[Price]))</f>
        <v/>
      </c>
      <c r="I76" s="212" t="str">
        <f aca="false">IF('Bulk Order Details'!I86="","",_xlfn.xlookup('Bulk Order Details'!I86,Sleeve[Display],Sleeve[Price]))</f>
        <v/>
      </c>
      <c r="J76" s="212" t="str">
        <f aca="false">IF('Bulk Order Details'!J86="","",_xlfn.xlookup('Bulk Order Details'!J86,Collar[Display],Collar[Price]))</f>
        <v/>
      </c>
      <c r="K76" s="212" t="str">
        <f aca="false">IF('Bulk Order Details'!K86="","",_xlfn.xlookup("Name",Name[Name],Name[Price]))</f>
        <v/>
      </c>
      <c r="L76" s="213" t="str">
        <f aca="false">IFERROR(IF('Bulk Order Details'!O86="","",IF(_xlfn.xlookup('Bulk Order Details'!O86,Logos[Display],Logos[Use])="Flat",_xlfn.xlookup('Bulk Order Details'!O86,Logos[Display],Logos[Flat]),ROUND(_xlfn.xlookup('Bulk Order Details'!O86,Logos[Display],Logos[Pct])*$E76,2))),"")</f>
        <v/>
      </c>
      <c r="M76" s="222" t="str">
        <f aca="false">IFERROR(IF('Bulk Order Details'!P86="","",IF(_xlfn.xlookup('Bulk Order Details'!P86,Chest[Display],Chest[Use])="Flat",_xlfn.xlookup('Bulk Order Details'!P86,Chest[Display],Chest[Flat]),ROUND(_xlfn.xlookup('Bulk Order Details'!P86,Chest[Display],Chest[Pct])*$E76,2))),"")</f>
        <v/>
      </c>
      <c r="N76" s="222" t="str">
        <f aca="false">IFERROR(IF('Bulk Order Details'!Q86="","",IF(_xlfn.xlookup('Bulk Order Details'!Q86,Chest[Display],Chest[Use])="Flat",_xlfn.xlookup('Bulk Order Details'!Q86,Chest[Display],Chest[Flat]),ROUND(_xlfn.xlookup('Bulk Order Details'!Q86,Chest[Display],Chest[Pct])*$E76,2))),"")</f>
        <v/>
      </c>
      <c r="O76" s="222" t="str">
        <f aca="false">IFERROR(IF('Bulk Order Details'!R86="","",IF(_xlfn.xlookup('Bulk Order Details'!R86,LeftSleeve[Display],LeftSleeve[Use])="Flat",_xlfn.xlookup('Bulk Order Details'!R86,LeftSleeve[Display],LeftSleeve[Flat]),ROUND(_xlfn.xlookup('Bulk Order Details'!R86,LeftSleeve[Display],LeftSleeve[Pct])*$E76,2))),"")</f>
        <v/>
      </c>
      <c r="P76" s="222" t="str">
        <f aca="false">IFERROR(IF('Bulk Order Details'!S86="","",IF(_xlfn.xlookup('Bulk Order Details'!S86,RightSleeve[Display],RightSleeve[Use])="Flat",_xlfn.xlookup('Bulk Order Details'!S86,RightSleeve[Display],RightSleeve[Flat]),ROUND(_xlfn.xlookup('Bulk Order Details'!S86,RightSleeve[Display],RightSleeve[Pct])*$E76,2))),"")</f>
        <v/>
      </c>
      <c r="Q76" s="214" t="str">
        <f aca="false">IF('Bulk Order Details'!J86="","",SUM(F76:P76))</f>
        <v/>
      </c>
      <c r="R76" s="213" t="str">
        <f aca="false">IFERROR(E76-D76,"")</f>
        <v/>
      </c>
      <c r="S76" s="215" t="str">
        <f aca="false">IFERROR(MIN(IF(Summary!$D$11="Yes",-J76,0),IF(H76&gt;0,-J76,0)),"")</f>
        <v/>
      </c>
      <c r="T76" s="212" t="str">
        <f aca="false">IFERROR(IF(Summary!$D$10="Yes",-K76,""),"")</f>
        <v/>
      </c>
      <c r="U76" s="213" t="str">
        <f aca="false">IFERROR(IF(Summary!$D$12="Yes",-L76,""),"")</f>
        <v/>
      </c>
      <c r="V76" s="216" t="str">
        <f aca="false">IF('Bulk Order Details'!J86="","",SUM(R76:U76))</f>
        <v/>
      </c>
      <c r="W76" s="217" t="str">
        <f aca="false">IF('Bulk Order Details'!J86="","",D76+Q76)</f>
        <v/>
      </c>
      <c r="X76" s="218" t="str">
        <f aca="false">IF('Bulk Order Details'!J86="","",D76+Q76+V76)</f>
        <v/>
      </c>
      <c r="Y76" s="219" t="str">
        <f aca="false">IFERROR((W76-X76)/W76,"")</f>
        <v/>
      </c>
      <c r="Z76" s="220" t="str">
        <f aca="false">IF('Bulk Order Details'!J86="","",MAX(1,'Bulk Order Details'!D86))</f>
        <v/>
      </c>
      <c r="AA76" s="217" t="str">
        <f aca="false">IF(Pricing_Details[[#This Row],[Quantity]]="","",Pricing_Details[[#This Row],[Retail Price]]*Pricing_Details[[#This Row],[Quantity]])</f>
        <v/>
      </c>
      <c r="AB76" s="217" t="str">
        <f aca="false">IF(Pricing_Details[[#This Row],[Quantity]]="","",Pricing_Details[[#This Row],[Total Discount]]*Pricing_Details[[#This Row],[Quantity]])</f>
        <v/>
      </c>
      <c r="AC76" s="221" t="str">
        <f aca="false">IFERROR(ROUND(Pricing_Details[[#This Row],[Actual Price]]*Pricing_Details[[#This Row],[Quantity]],2),"")</f>
        <v/>
      </c>
      <c r="AE76" s="179" t="str">
        <f aca="false">IF('Bulk Order Details'!J86="","",VLOOKUP('Bulk Order Details'!H86,Collection[],3)&amp;VLOOKUP('Bulk Order Details'!J86,Collar[],4)&amp;VLOOKUP('Bulk Order Details'!I86,Sleeve[],4))</f>
        <v/>
      </c>
      <c r="AF76" s="179" t="str">
        <f aca="false">IF('Bulk Order Details'!J86="","",LOOKUP('Bulk Order Details'!E86,Cut[Display],Cut[Code])&amp;LOOKUP('Bulk Order Details'!F86,#REF!,#REF!)&amp;IF('Bulk Order Details'!G86="","",LOOKUP('Bulk Order Details'!G86,Length[Display],Length[Code])))</f>
        <v/>
      </c>
      <c r="AG76" s="179" t="str">
        <f aca="false">IF('Bulk Order Details'!J86="","",IF('Bulk Order Details'!C86="","",'Bulk Order Details'!C86))</f>
        <v/>
      </c>
      <c r="AH76" s="179" t="str">
        <f aca="false">IF('Bulk Order Details'!O86="","","-"&amp;LOOKUP('Bulk Order Details'!O86,#REF!,#REF!))</f>
        <v/>
      </c>
      <c r="AI76" s="179" t="str">
        <f aca="false">IF('Bulk Order Details'!P86="","","-"&amp;LOOKUP('Bulk Order Details'!P86,#REF!,#REF!))</f>
        <v/>
      </c>
      <c r="AJ76" s="179" t="str">
        <f aca="false">IF('Bulk Order Details'!Q86="","","-"&amp;LOOKUP('Bulk Order Details'!Q86,#REF!,#REF!))</f>
        <v/>
      </c>
      <c r="AK76" s="179" t="str">
        <f aca="false">IF('Bulk Order Details'!R86="","","-"&amp;LOOKUP('Bulk Order Details'!R86,#REF!,#REF!))</f>
        <v/>
      </c>
      <c r="AL76" s="179" t="str">
        <f aca="false">IF('Bulk Order Details'!S86="","","-"&amp;LOOKUP('Bulk Order Details'!S86,#REF!,#REF!))</f>
        <v/>
      </c>
      <c r="AM76" s="179" t="str">
        <f aca="false">IF(_xlfn.CONCAT(AH76:AL76)="","","Lo"&amp;_xlfn.CONCAT(AH76:AL76))</f>
        <v/>
      </c>
      <c r="AN76" s="179" t="str">
        <f aca="false">IF('Bulk Order Details'!K86="","","Na-"&amp;'Bulk Order Details'!K86)</f>
        <v/>
      </c>
      <c r="AO76" s="179" t="str">
        <f aca="false">IF('Bulk Order Details'!N86="","","Fo-"&amp;'Bulk Order Details'!N86)</f>
        <v/>
      </c>
      <c r="AP76" s="179" t="str">
        <f aca="false">IF(AE76="","",AE76&amp;"_"&amp;AF76&amp;"_"&amp;AG76&amp;IF(AM76="","","_"&amp;AM76)&amp;IF(AN76="","","_"&amp;AN76)&amp;IF(AO76="","","_"&amp;AO76))</f>
        <v/>
      </c>
      <c r="AQ76" s="218" t="str">
        <f aca="false">IF(X76="","",X76)</f>
        <v/>
      </c>
    </row>
    <row r="77" customFormat="false" ht="15" hidden="false" customHeight="true" outlineLevel="0" collapsed="false">
      <c r="B77" s="209" t="n">
        <f aca="false">'Bulk Order Details'!B87</f>
        <v>74</v>
      </c>
      <c r="C77" s="209" t="e">
        <f aca="false">IF('bulk order details'!#ref!="","",'bulk order details'!#ref!&amp;" "&amp;'bulk order details'!#ref!)</f>
        <v>#VALUE!</v>
      </c>
      <c r="D77" s="210" t="str">
        <f aca="false">IF('Bulk Order Details'!J87="","",VLOOKUP(1,Price[],3))</f>
        <v/>
      </c>
      <c r="E77" s="211" t="str">
        <f aca="false">IF('Bulk Order Details'!J87="","",Summary!$D$9)</f>
        <v/>
      </c>
      <c r="F77" s="212" t="str">
        <f aca="false">IF('Bulk Order Details'!F87="","",_xlfn.xlookup('Bulk Order Details'!F87,Size[Display],Size[Price]))</f>
        <v/>
      </c>
      <c r="G77" s="212" t="str">
        <f aca="false">IF('Bulk Order Details'!G87="","",_xlfn.xlookup('Bulk Order Details'!G87,Length[Display],Length[Price]))</f>
        <v/>
      </c>
      <c r="H77" s="212" t="str">
        <f aca="false">IF('Bulk Order Details'!H87="","",_xlfn.xlookup('Bulk Order Details'!H87,Collection[Display],Collection[Price]))</f>
        <v/>
      </c>
      <c r="I77" s="212" t="str">
        <f aca="false">IF('Bulk Order Details'!I87="","",_xlfn.xlookup('Bulk Order Details'!I87,Sleeve[Display],Sleeve[Price]))</f>
        <v/>
      </c>
      <c r="J77" s="212" t="str">
        <f aca="false">IF('Bulk Order Details'!J87="","",_xlfn.xlookup('Bulk Order Details'!J87,Collar[Display],Collar[Price]))</f>
        <v/>
      </c>
      <c r="K77" s="212" t="str">
        <f aca="false">IF('Bulk Order Details'!K87="","",_xlfn.xlookup("Name",Name[Name],Name[Price]))</f>
        <v/>
      </c>
      <c r="L77" s="213" t="str">
        <f aca="false">IFERROR(IF('Bulk Order Details'!O87="","",IF(_xlfn.xlookup('Bulk Order Details'!O87,Logos[Display],Logos[Use])="Flat",_xlfn.xlookup('Bulk Order Details'!O87,Logos[Display],Logos[Flat]),ROUND(_xlfn.xlookup('Bulk Order Details'!O87,Logos[Display],Logos[Pct])*$E77,2))),"")</f>
        <v/>
      </c>
      <c r="M77" s="222" t="str">
        <f aca="false">IFERROR(IF('Bulk Order Details'!P87="","",IF(_xlfn.xlookup('Bulk Order Details'!P87,Chest[Display],Chest[Use])="Flat",_xlfn.xlookup('Bulk Order Details'!P87,Chest[Display],Chest[Flat]),ROUND(_xlfn.xlookup('Bulk Order Details'!P87,Chest[Display],Chest[Pct])*$E77,2))),"")</f>
        <v/>
      </c>
      <c r="N77" s="222" t="str">
        <f aca="false">IFERROR(IF('Bulk Order Details'!Q87="","",IF(_xlfn.xlookup('Bulk Order Details'!Q87,Chest[Display],Chest[Use])="Flat",_xlfn.xlookup('Bulk Order Details'!Q87,Chest[Display],Chest[Flat]),ROUND(_xlfn.xlookup('Bulk Order Details'!Q87,Chest[Display],Chest[Pct])*$E77,2))),"")</f>
        <v/>
      </c>
      <c r="O77" s="222" t="str">
        <f aca="false">IFERROR(IF('Bulk Order Details'!R87="","",IF(_xlfn.xlookup('Bulk Order Details'!R87,LeftSleeve[Display],LeftSleeve[Use])="Flat",_xlfn.xlookup('Bulk Order Details'!R87,LeftSleeve[Display],LeftSleeve[Flat]),ROUND(_xlfn.xlookup('Bulk Order Details'!R87,LeftSleeve[Display],LeftSleeve[Pct])*$E77,2))),"")</f>
        <v/>
      </c>
      <c r="P77" s="222" t="str">
        <f aca="false">IFERROR(IF('Bulk Order Details'!S87="","",IF(_xlfn.xlookup('Bulk Order Details'!S87,RightSleeve[Display],RightSleeve[Use])="Flat",_xlfn.xlookup('Bulk Order Details'!S87,RightSleeve[Display],RightSleeve[Flat]),ROUND(_xlfn.xlookup('Bulk Order Details'!S87,RightSleeve[Display],RightSleeve[Pct])*$E77,2))),"")</f>
        <v/>
      </c>
      <c r="Q77" s="214" t="str">
        <f aca="false">IF('Bulk Order Details'!J87="","",SUM(F77:P77))</f>
        <v/>
      </c>
      <c r="R77" s="213" t="str">
        <f aca="false">IFERROR(E77-D77,"")</f>
        <v/>
      </c>
      <c r="S77" s="215" t="str">
        <f aca="false">IFERROR(MIN(IF(Summary!$D$11="Yes",-J77,0),IF(H77&gt;0,-J77,0)),"")</f>
        <v/>
      </c>
      <c r="T77" s="212" t="str">
        <f aca="false">IFERROR(IF(Summary!$D$10="Yes",-K77,""),"")</f>
        <v/>
      </c>
      <c r="U77" s="213" t="str">
        <f aca="false">IFERROR(IF(Summary!$D$12="Yes",-L77,""),"")</f>
        <v/>
      </c>
      <c r="V77" s="216" t="str">
        <f aca="false">IF('Bulk Order Details'!J87="","",SUM(R77:U77))</f>
        <v/>
      </c>
      <c r="W77" s="217" t="str">
        <f aca="false">IF('Bulk Order Details'!J87="","",D77+Q77)</f>
        <v/>
      </c>
      <c r="X77" s="218" t="str">
        <f aca="false">IF('Bulk Order Details'!J87="","",D77+Q77+V77)</f>
        <v/>
      </c>
      <c r="Y77" s="219" t="str">
        <f aca="false">IFERROR((W77-X77)/W77,"")</f>
        <v/>
      </c>
      <c r="Z77" s="220" t="str">
        <f aca="false">IF('Bulk Order Details'!J87="","",MAX(1,'Bulk Order Details'!D87))</f>
        <v/>
      </c>
      <c r="AA77" s="217" t="str">
        <f aca="false">IF(Pricing_Details[[#This Row],[Quantity]]="","",Pricing_Details[[#This Row],[Retail Price]]*Pricing_Details[[#This Row],[Quantity]])</f>
        <v/>
      </c>
      <c r="AB77" s="217" t="str">
        <f aca="false">IF(Pricing_Details[[#This Row],[Quantity]]="","",Pricing_Details[[#This Row],[Total Discount]]*Pricing_Details[[#This Row],[Quantity]])</f>
        <v/>
      </c>
      <c r="AC77" s="221" t="str">
        <f aca="false">IFERROR(ROUND(Pricing_Details[[#This Row],[Actual Price]]*Pricing_Details[[#This Row],[Quantity]],2),"")</f>
        <v/>
      </c>
      <c r="AE77" s="179" t="str">
        <f aca="false">IF('Bulk Order Details'!J87="","",VLOOKUP('Bulk Order Details'!H87,Collection[],3)&amp;VLOOKUP('Bulk Order Details'!J87,Collar[],4)&amp;VLOOKUP('Bulk Order Details'!I87,Sleeve[],4))</f>
        <v/>
      </c>
      <c r="AF77" s="179" t="str">
        <f aca="false">IF('Bulk Order Details'!J87="","",LOOKUP('Bulk Order Details'!E87,Cut[Display],Cut[Code])&amp;LOOKUP('Bulk Order Details'!F87,#REF!,#REF!)&amp;IF('Bulk Order Details'!G87="","",LOOKUP('Bulk Order Details'!G87,Length[Display],Length[Code])))</f>
        <v/>
      </c>
      <c r="AG77" s="179" t="str">
        <f aca="false">IF('Bulk Order Details'!J87="","",IF('Bulk Order Details'!C87="","",'Bulk Order Details'!C87))</f>
        <v/>
      </c>
      <c r="AH77" s="179" t="str">
        <f aca="false">IF('Bulk Order Details'!O87="","","-"&amp;LOOKUP('Bulk Order Details'!O87,#REF!,#REF!))</f>
        <v/>
      </c>
      <c r="AI77" s="179" t="str">
        <f aca="false">IF('Bulk Order Details'!P87="","","-"&amp;LOOKUP('Bulk Order Details'!P87,#REF!,#REF!))</f>
        <v/>
      </c>
      <c r="AJ77" s="179" t="str">
        <f aca="false">IF('Bulk Order Details'!Q87="","","-"&amp;LOOKUP('Bulk Order Details'!Q87,#REF!,#REF!))</f>
        <v/>
      </c>
      <c r="AK77" s="179" t="str">
        <f aca="false">IF('Bulk Order Details'!R87="","","-"&amp;LOOKUP('Bulk Order Details'!R87,#REF!,#REF!))</f>
        <v/>
      </c>
      <c r="AL77" s="179" t="str">
        <f aca="false">IF('Bulk Order Details'!S87="","","-"&amp;LOOKUP('Bulk Order Details'!S87,#REF!,#REF!))</f>
        <v/>
      </c>
      <c r="AM77" s="179" t="str">
        <f aca="false">IF(_xlfn.CONCAT(AH77:AL77)="","","Lo"&amp;_xlfn.CONCAT(AH77:AL77))</f>
        <v/>
      </c>
      <c r="AN77" s="179" t="str">
        <f aca="false">IF('Bulk Order Details'!K87="","","Na-"&amp;'Bulk Order Details'!K87)</f>
        <v/>
      </c>
      <c r="AO77" s="179" t="str">
        <f aca="false">IF('Bulk Order Details'!N87="","","Fo-"&amp;'Bulk Order Details'!N87)</f>
        <v/>
      </c>
      <c r="AP77" s="179" t="str">
        <f aca="false">IF(AE77="","",AE77&amp;"_"&amp;AF77&amp;"_"&amp;AG77&amp;IF(AM77="","","_"&amp;AM77)&amp;IF(AN77="","","_"&amp;AN77)&amp;IF(AO77="","","_"&amp;AO77))</f>
        <v/>
      </c>
      <c r="AQ77" s="218" t="str">
        <f aca="false">IF(X77="","",X77)</f>
        <v/>
      </c>
    </row>
    <row r="78" customFormat="false" ht="15" hidden="false" customHeight="true" outlineLevel="0" collapsed="false">
      <c r="B78" s="209" t="n">
        <f aca="false">'Bulk Order Details'!B88</f>
        <v>75</v>
      </c>
      <c r="C78" s="209" t="e">
        <f aca="false">IF('bulk order details'!#ref!="","",'bulk order details'!#ref!&amp;" "&amp;'bulk order details'!#ref!)</f>
        <v>#VALUE!</v>
      </c>
      <c r="D78" s="210" t="str">
        <f aca="false">IF('Bulk Order Details'!J88="","",VLOOKUP(1,Price[],3))</f>
        <v/>
      </c>
      <c r="E78" s="211" t="str">
        <f aca="false">IF('Bulk Order Details'!J88="","",Summary!$D$9)</f>
        <v/>
      </c>
      <c r="F78" s="212" t="str">
        <f aca="false">IF('Bulk Order Details'!F88="","",_xlfn.xlookup('Bulk Order Details'!F88,Size[Display],Size[Price]))</f>
        <v/>
      </c>
      <c r="G78" s="212" t="str">
        <f aca="false">IF('Bulk Order Details'!G88="","",_xlfn.xlookup('Bulk Order Details'!G88,Length[Display],Length[Price]))</f>
        <v/>
      </c>
      <c r="H78" s="212" t="str">
        <f aca="false">IF('Bulk Order Details'!H88="","",_xlfn.xlookup('Bulk Order Details'!H88,Collection[Display],Collection[Price]))</f>
        <v/>
      </c>
      <c r="I78" s="212" t="str">
        <f aca="false">IF('Bulk Order Details'!I88="","",_xlfn.xlookup('Bulk Order Details'!I88,Sleeve[Display],Sleeve[Price]))</f>
        <v/>
      </c>
      <c r="J78" s="212" t="str">
        <f aca="false">IF('Bulk Order Details'!J88="","",_xlfn.xlookup('Bulk Order Details'!J88,Collar[Display],Collar[Price]))</f>
        <v/>
      </c>
      <c r="K78" s="212" t="str">
        <f aca="false">IF('Bulk Order Details'!K88="","",_xlfn.xlookup("Name",Name[Name],Name[Price]))</f>
        <v/>
      </c>
      <c r="L78" s="213" t="str">
        <f aca="false">IFERROR(IF('Bulk Order Details'!O88="","",IF(_xlfn.xlookup('Bulk Order Details'!O88,Logos[Display],Logos[Use])="Flat",_xlfn.xlookup('Bulk Order Details'!O88,Logos[Display],Logos[Flat]),ROUND(_xlfn.xlookup('Bulk Order Details'!O88,Logos[Display],Logos[Pct])*$E78,2))),"")</f>
        <v/>
      </c>
      <c r="M78" s="222" t="str">
        <f aca="false">IFERROR(IF('Bulk Order Details'!P88="","",IF(_xlfn.xlookup('Bulk Order Details'!P88,Chest[Display],Chest[Use])="Flat",_xlfn.xlookup('Bulk Order Details'!P88,Chest[Display],Chest[Flat]),ROUND(_xlfn.xlookup('Bulk Order Details'!P88,Chest[Display],Chest[Pct])*$E78,2))),"")</f>
        <v/>
      </c>
      <c r="N78" s="222" t="str">
        <f aca="false">IFERROR(IF('Bulk Order Details'!Q88="","",IF(_xlfn.xlookup('Bulk Order Details'!Q88,Chest[Display],Chest[Use])="Flat",_xlfn.xlookup('Bulk Order Details'!Q88,Chest[Display],Chest[Flat]),ROUND(_xlfn.xlookup('Bulk Order Details'!Q88,Chest[Display],Chest[Pct])*$E78,2))),"")</f>
        <v/>
      </c>
      <c r="O78" s="222" t="str">
        <f aca="false">IFERROR(IF('Bulk Order Details'!R88="","",IF(_xlfn.xlookup('Bulk Order Details'!R88,LeftSleeve[Display],LeftSleeve[Use])="Flat",_xlfn.xlookup('Bulk Order Details'!R88,LeftSleeve[Display],LeftSleeve[Flat]),ROUND(_xlfn.xlookup('Bulk Order Details'!R88,LeftSleeve[Display],LeftSleeve[Pct])*$E78,2))),"")</f>
        <v/>
      </c>
      <c r="P78" s="222" t="str">
        <f aca="false">IFERROR(IF('Bulk Order Details'!S88="","",IF(_xlfn.xlookup('Bulk Order Details'!S88,RightSleeve[Display],RightSleeve[Use])="Flat",_xlfn.xlookup('Bulk Order Details'!S88,RightSleeve[Display],RightSleeve[Flat]),ROUND(_xlfn.xlookup('Bulk Order Details'!S88,RightSleeve[Display],RightSleeve[Pct])*$E78,2))),"")</f>
        <v/>
      </c>
      <c r="Q78" s="214" t="str">
        <f aca="false">IF('Bulk Order Details'!J88="","",SUM(F78:P78))</f>
        <v/>
      </c>
      <c r="R78" s="213" t="str">
        <f aca="false">IFERROR(E78-D78,"")</f>
        <v/>
      </c>
      <c r="S78" s="215" t="str">
        <f aca="false">IFERROR(MIN(IF(Summary!$D$11="Yes",-J78,0),IF(H78&gt;0,-J78,0)),"")</f>
        <v/>
      </c>
      <c r="T78" s="212" t="str">
        <f aca="false">IFERROR(IF(Summary!$D$10="Yes",-K78,""),"")</f>
        <v/>
      </c>
      <c r="U78" s="213" t="str">
        <f aca="false">IFERROR(IF(Summary!$D$12="Yes",-L78,""),"")</f>
        <v/>
      </c>
      <c r="V78" s="216" t="str">
        <f aca="false">IF('Bulk Order Details'!J88="","",SUM(R78:U78))</f>
        <v/>
      </c>
      <c r="W78" s="217" t="str">
        <f aca="false">IF('Bulk Order Details'!J88="","",D78+Q78)</f>
        <v/>
      </c>
      <c r="X78" s="218" t="str">
        <f aca="false">IF('Bulk Order Details'!J88="","",D78+Q78+V78)</f>
        <v/>
      </c>
      <c r="Y78" s="219" t="str">
        <f aca="false">IFERROR((W78-X78)/W78,"")</f>
        <v/>
      </c>
      <c r="Z78" s="220" t="str">
        <f aca="false">IF('Bulk Order Details'!J88="","",MAX(1,'Bulk Order Details'!D88))</f>
        <v/>
      </c>
      <c r="AA78" s="217" t="str">
        <f aca="false">IF(Pricing_Details[[#This Row],[Quantity]]="","",Pricing_Details[[#This Row],[Retail Price]]*Pricing_Details[[#This Row],[Quantity]])</f>
        <v/>
      </c>
      <c r="AB78" s="217" t="str">
        <f aca="false">IF(Pricing_Details[[#This Row],[Quantity]]="","",Pricing_Details[[#This Row],[Total Discount]]*Pricing_Details[[#This Row],[Quantity]])</f>
        <v/>
      </c>
      <c r="AC78" s="221" t="str">
        <f aca="false">IFERROR(ROUND(Pricing_Details[[#This Row],[Actual Price]]*Pricing_Details[[#This Row],[Quantity]],2),"")</f>
        <v/>
      </c>
      <c r="AE78" s="179" t="str">
        <f aca="false">IF('Bulk Order Details'!J88="","",VLOOKUP('Bulk Order Details'!H88,Collection[],3)&amp;VLOOKUP('Bulk Order Details'!J88,Collar[],4)&amp;VLOOKUP('Bulk Order Details'!I88,Sleeve[],4))</f>
        <v/>
      </c>
      <c r="AF78" s="179" t="str">
        <f aca="false">IF('Bulk Order Details'!J88="","",LOOKUP('Bulk Order Details'!E88,Cut[Display],Cut[Code])&amp;LOOKUP('Bulk Order Details'!F88,#REF!,#REF!)&amp;IF('Bulk Order Details'!G88="","",LOOKUP('Bulk Order Details'!G88,Length[Display],Length[Code])))</f>
        <v/>
      </c>
      <c r="AG78" s="179" t="str">
        <f aca="false">IF('Bulk Order Details'!J88="","",IF('Bulk Order Details'!C88="","",'Bulk Order Details'!C88))</f>
        <v/>
      </c>
      <c r="AH78" s="179" t="str">
        <f aca="false">IF('Bulk Order Details'!O88="","","-"&amp;LOOKUP('Bulk Order Details'!O88,#REF!,#REF!))</f>
        <v/>
      </c>
      <c r="AI78" s="179" t="str">
        <f aca="false">IF('Bulk Order Details'!P88="","","-"&amp;LOOKUP('Bulk Order Details'!P88,#REF!,#REF!))</f>
        <v/>
      </c>
      <c r="AJ78" s="179" t="str">
        <f aca="false">IF('Bulk Order Details'!Q88="","","-"&amp;LOOKUP('Bulk Order Details'!Q88,#REF!,#REF!))</f>
        <v/>
      </c>
      <c r="AK78" s="179" t="str">
        <f aca="false">IF('Bulk Order Details'!R88="","","-"&amp;LOOKUP('Bulk Order Details'!R88,#REF!,#REF!))</f>
        <v/>
      </c>
      <c r="AL78" s="179" t="str">
        <f aca="false">IF('Bulk Order Details'!S88="","","-"&amp;LOOKUP('Bulk Order Details'!S88,#REF!,#REF!))</f>
        <v/>
      </c>
      <c r="AM78" s="179" t="str">
        <f aca="false">IF(_xlfn.CONCAT(AH78:AL78)="","","Lo"&amp;_xlfn.CONCAT(AH78:AL78))</f>
        <v/>
      </c>
      <c r="AN78" s="179" t="str">
        <f aca="false">IF('Bulk Order Details'!K88="","","Na-"&amp;'Bulk Order Details'!K88)</f>
        <v/>
      </c>
      <c r="AO78" s="179" t="str">
        <f aca="false">IF('Bulk Order Details'!N88="","","Fo-"&amp;'Bulk Order Details'!N88)</f>
        <v/>
      </c>
      <c r="AP78" s="179" t="str">
        <f aca="false">IF(AE78="","",AE78&amp;"_"&amp;AF78&amp;"_"&amp;AG78&amp;IF(AM78="","","_"&amp;AM78)&amp;IF(AN78="","","_"&amp;AN78)&amp;IF(AO78="","","_"&amp;AO78))</f>
        <v/>
      </c>
      <c r="AQ78" s="218" t="str">
        <f aca="false">IF(X78="","",X78)</f>
        <v/>
      </c>
    </row>
    <row r="79" customFormat="false" ht="15" hidden="false" customHeight="true" outlineLevel="0" collapsed="false">
      <c r="B79" s="209" t="n">
        <f aca="false">'Bulk Order Details'!B89</f>
        <v>76</v>
      </c>
      <c r="C79" s="209" t="e">
        <f aca="false">IF('bulk order details'!#ref!="","",'bulk order details'!#ref!&amp;" "&amp;'bulk order details'!#ref!)</f>
        <v>#VALUE!</v>
      </c>
      <c r="D79" s="210" t="str">
        <f aca="false">IF('Bulk Order Details'!J89="","",VLOOKUP(1,Price[],3))</f>
        <v/>
      </c>
      <c r="E79" s="211" t="str">
        <f aca="false">IF('Bulk Order Details'!J89="","",Summary!$D$9)</f>
        <v/>
      </c>
      <c r="F79" s="212" t="str">
        <f aca="false">IF('Bulk Order Details'!F89="","",_xlfn.xlookup('Bulk Order Details'!F89,Size[Display],Size[Price]))</f>
        <v/>
      </c>
      <c r="G79" s="212" t="str">
        <f aca="false">IF('Bulk Order Details'!G89="","",_xlfn.xlookup('Bulk Order Details'!G89,Length[Display],Length[Price]))</f>
        <v/>
      </c>
      <c r="H79" s="212" t="str">
        <f aca="false">IF('Bulk Order Details'!H89="","",_xlfn.xlookup('Bulk Order Details'!H89,Collection[Display],Collection[Price]))</f>
        <v/>
      </c>
      <c r="I79" s="212" t="str">
        <f aca="false">IF('Bulk Order Details'!I89="","",_xlfn.xlookup('Bulk Order Details'!I89,Sleeve[Display],Sleeve[Price]))</f>
        <v/>
      </c>
      <c r="J79" s="212" t="str">
        <f aca="false">IF('Bulk Order Details'!J89="","",_xlfn.xlookup('Bulk Order Details'!J89,Collar[Display],Collar[Price]))</f>
        <v/>
      </c>
      <c r="K79" s="212" t="str">
        <f aca="false">IF('Bulk Order Details'!K89="","",_xlfn.xlookup("Name",Name[Name],Name[Price]))</f>
        <v/>
      </c>
      <c r="L79" s="213" t="str">
        <f aca="false">IFERROR(IF('Bulk Order Details'!O89="","",IF(_xlfn.xlookup('Bulk Order Details'!O89,Logos[Display],Logos[Use])="Flat",_xlfn.xlookup('Bulk Order Details'!O89,Logos[Display],Logos[Flat]),ROUND(_xlfn.xlookup('Bulk Order Details'!O89,Logos[Display],Logos[Pct])*$E79,2))),"")</f>
        <v/>
      </c>
      <c r="M79" s="222" t="str">
        <f aca="false">IFERROR(IF('Bulk Order Details'!P89="","",IF(_xlfn.xlookup('Bulk Order Details'!P89,Chest[Display],Chest[Use])="Flat",_xlfn.xlookup('Bulk Order Details'!P89,Chest[Display],Chest[Flat]),ROUND(_xlfn.xlookup('Bulk Order Details'!P89,Chest[Display],Chest[Pct])*$E79,2))),"")</f>
        <v/>
      </c>
      <c r="N79" s="222" t="str">
        <f aca="false">IFERROR(IF('Bulk Order Details'!Q89="","",IF(_xlfn.xlookup('Bulk Order Details'!Q89,Chest[Display],Chest[Use])="Flat",_xlfn.xlookup('Bulk Order Details'!Q89,Chest[Display],Chest[Flat]),ROUND(_xlfn.xlookup('Bulk Order Details'!Q89,Chest[Display],Chest[Pct])*$E79,2))),"")</f>
        <v/>
      </c>
      <c r="O79" s="222" t="str">
        <f aca="false">IFERROR(IF('Bulk Order Details'!R89="","",IF(_xlfn.xlookup('Bulk Order Details'!R89,LeftSleeve[Display],LeftSleeve[Use])="Flat",_xlfn.xlookup('Bulk Order Details'!R89,LeftSleeve[Display],LeftSleeve[Flat]),ROUND(_xlfn.xlookup('Bulk Order Details'!R89,LeftSleeve[Display],LeftSleeve[Pct])*$E79,2))),"")</f>
        <v/>
      </c>
      <c r="P79" s="222" t="str">
        <f aca="false">IFERROR(IF('Bulk Order Details'!S89="","",IF(_xlfn.xlookup('Bulk Order Details'!S89,RightSleeve[Display],RightSleeve[Use])="Flat",_xlfn.xlookup('Bulk Order Details'!S89,RightSleeve[Display],RightSleeve[Flat]),ROUND(_xlfn.xlookup('Bulk Order Details'!S89,RightSleeve[Display],RightSleeve[Pct])*$E79,2))),"")</f>
        <v/>
      </c>
      <c r="Q79" s="214" t="str">
        <f aca="false">IF('Bulk Order Details'!J89="","",SUM(F79:P79))</f>
        <v/>
      </c>
      <c r="R79" s="213" t="str">
        <f aca="false">IFERROR(E79-D79,"")</f>
        <v/>
      </c>
      <c r="S79" s="215" t="str">
        <f aca="false">IFERROR(MIN(IF(Summary!$D$11="Yes",-J79,0),IF(H79&gt;0,-J79,0)),"")</f>
        <v/>
      </c>
      <c r="T79" s="212" t="str">
        <f aca="false">IFERROR(IF(Summary!$D$10="Yes",-K79,""),"")</f>
        <v/>
      </c>
      <c r="U79" s="213" t="str">
        <f aca="false">IFERROR(IF(Summary!$D$12="Yes",-L79,""),"")</f>
        <v/>
      </c>
      <c r="V79" s="216" t="str">
        <f aca="false">IF('Bulk Order Details'!J89="","",SUM(R79:U79))</f>
        <v/>
      </c>
      <c r="W79" s="217" t="str">
        <f aca="false">IF('Bulk Order Details'!J89="","",D79+Q79)</f>
        <v/>
      </c>
      <c r="X79" s="218" t="str">
        <f aca="false">IF('Bulk Order Details'!J89="","",D79+Q79+V79)</f>
        <v/>
      </c>
      <c r="Y79" s="219" t="str">
        <f aca="false">IFERROR((W79-X79)/W79,"")</f>
        <v/>
      </c>
      <c r="Z79" s="220" t="str">
        <f aca="false">IF('Bulk Order Details'!J89="","",MAX(1,'Bulk Order Details'!D89))</f>
        <v/>
      </c>
      <c r="AA79" s="217" t="str">
        <f aca="false">IF(Pricing_Details[[#This Row],[Quantity]]="","",Pricing_Details[[#This Row],[Retail Price]]*Pricing_Details[[#This Row],[Quantity]])</f>
        <v/>
      </c>
      <c r="AB79" s="217" t="str">
        <f aca="false">IF(Pricing_Details[[#This Row],[Quantity]]="","",Pricing_Details[[#This Row],[Total Discount]]*Pricing_Details[[#This Row],[Quantity]])</f>
        <v/>
      </c>
      <c r="AC79" s="221" t="str">
        <f aca="false">IFERROR(ROUND(Pricing_Details[[#This Row],[Actual Price]]*Pricing_Details[[#This Row],[Quantity]],2),"")</f>
        <v/>
      </c>
      <c r="AE79" s="179" t="str">
        <f aca="false">IF('Bulk Order Details'!J89="","",VLOOKUP('Bulk Order Details'!H89,Collection[],3)&amp;VLOOKUP('Bulk Order Details'!J89,Collar[],4)&amp;VLOOKUP('Bulk Order Details'!I89,Sleeve[],4))</f>
        <v/>
      </c>
      <c r="AF79" s="179" t="str">
        <f aca="false">IF('Bulk Order Details'!J89="","",LOOKUP('Bulk Order Details'!E89,Cut[Display],Cut[Code])&amp;LOOKUP('Bulk Order Details'!F89,#REF!,#REF!)&amp;IF('Bulk Order Details'!G89="","",LOOKUP('Bulk Order Details'!G89,Length[Display],Length[Code])))</f>
        <v/>
      </c>
      <c r="AG79" s="179" t="str">
        <f aca="false">IF('Bulk Order Details'!J89="","",IF('Bulk Order Details'!C89="","",'Bulk Order Details'!C89))</f>
        <v/>
      </c>
      <c r="AH79" s="179" t="str">
        <f aca="false">IF('Bulk Order Details'!O89="","","-"&amp;LOOKUP('Bulk Order Details'!O89,#REF!,#REF!))</f>
        <v/>
      </c>
      <c r="AI79" s="179" t="str">
        <f aca="false">IF('Bulk Order Details'!P89="","","-"&amp;LOOKUP('Bulk Order Details'!P89,#REF!,#REF!))</f>
        <v/>
      </c>
      <c r="AJ79" s="179" t="str">
        <f aca="false">IF('Bulk Order Details'!Q89="","","-"&amp;LOOKUP('Bulk Order Details'!Q89,#REF!,#REF!))</f>
        <v/>
      </c>
      <c r="AK79" s="179" t="str">
        <f aca="false">IF('Bulk Order Details'!R89="","","-"&amp;LOOKUP('Bulk Order Details'!R89,#REF!,#REF!))</f>
        <v/>
      </c>
      <c r="AL79" s="179" t="str">
        <f aca="false">IF('Bulk Order Details'!S89="","","-"&amp;LOOKUP('Bulk Order Details'!S89,#REF!,#REF!))</f>
        <v/>
      </c>
      <c r="AM79" s="179" t="str">
        <f aca="false">IF(_xlfn.CONCAT(AH79:AL79)="","","Lo"&amp;_xlfn.CONCAT(AH79:AL79))</f>
        <v/>
      </c>
      <c r="AN79" s="179" t="str">
        <f aca="false">IF('Bulk Order Details'!K89="","","Na-"&amp;'Bulk Order Details'!K89)</f>
        <v/>
      </c>
      <c r="AO79" s="179" t="str">
        <f aca="false">IF('Bulk Order Details'!N89="","","Fo-"&amp;'Bulk Order Details'!N89)</f>
        <v/>
      </c>
      <c r="AP79" s="179" t="str">
        <f aca="false">IF(AE79="","",AE79&amp;"_"&amp;AF79&amp;"_"&amp;AG79&amp;IF(AM79="","","_"&amp;AM79)&amp;IF(AN79="","","_"&amp;AN79)&amp;IF(AO79="","","_"&amp;AO79))</f>
        <v/>
      </c>
      <c r="AQ79" s="218" t="str">
        <f aca="false">IF(X79="","",X79)</f>
        <v/>
      </c>
    </row>
    <row r="80" customFormat="false" ht="15" hidden="false" customHeight="true" outlineLevel="0" collapsed="false">
      <c r="B80" s="209" t="n">
        <f aca="false">'Bulk Order Details'!B90</f>
        <v>77</v>
      </c>
      <c r="C80" s="209" t="e">
        <f aca="false">IF('bulk order details'!#ref!="","",'bulk order details'!#ref!&amp;" "&amp;'bulk order details'!#ref!)</f>
        <v>#VALUE!</v>
      </c>
      <c r="D80" s="210" t="str">
        <f aca="false">IF('Bulk Order Details'!J90="","",VLOOKUP(1,Price[],3))</f>
        <v/>
      </c>
      <c r="E80" s="211" t="str">
        <f aca="false">IF('Bulk Order Details'!J90="","",Summary!$D$9)</f>
        <v/>
      </c>
      <c r="F80" s="212" t="str">
        <f aca="false">IF('Bulk Order Details'!F90="","",_xlfn.xlookup('Bulk Order Details'!F90,Size[Display],Size[Price]))</f>
        <v/>
      </c>
      <c r="G80" s="212" t="str">
        <f aca="false">IF('Bulk Order Details'!G90="","",_xlfn.xlookup('Bulk Order Details'!G90,Length[Display],Length[Price]))</f>
        <v/>
      </c>
      <c r="H80" s="212" t="str">
        <f aca="false">IF('Bulk Order Details'!H90="","",_xlfn.xlookup('Bulk Order Details'!H90,Collection[Display],Collection[Price]))</f>
        <v/>
      </c>
      <c r="I80" s="212" t="str">
        <f aca="false">IF('Bulk Order Details'!I90="","",_xlfn.xlookup('Bulk Order Details'!I90,Sleeve[Display],Sleeve[Price]))</f>
        <v/>
      </c>
      <c r="J80" s="212" t="str">
        <f aca="false">IF('Bulk Order Details'!J90="","",_xlfn.xlookup('Bulk Order Details'!J90,Collar[Display],Collar[Price]))</f>
        <v/>
      </c>
      <c r="K80" s="212" t="str">
        <f aca="false">IF('Bulk Order Details'!K90="","",_xlfn.xlookup("Name",Name[Name],Name[Price]))</f>
        <v/>
      </c>
      <c r="L80" s="213" t="str">
        <f aca="false">IFERROR(IF('Bulk Order Details'!O90="","",IF(_xlfn.xlookup('Bulk Order Details'!O90,Logos[Display],Logos[Use])="Flat",_xlfn.xlookup('Bulk Order Details'!O90,Logos[Display],Logos[Flat]),ROUND(_xlfn.xlookup('Bulk Order Details'!O90,Logos[Display],Logos[Pct])*$E80,2))),"")</f>
        <v/>
      </c>
      <c r="M80" s="222" t="str">
        <f aca="false">IFERROR(IF('Bulk Order Details'!P90="","",IF(_xlfn.xlookup('Bulk Order Details'!P90,Chest[Display],Chest[Use])="Flat",_xlfn.xlookup('Bulk Order Details'!P90,Chest[Display],Chest[Flat]),ROUND(_xlfn.xlookup('Bulk Order Details'!P90,Chest[Display],Chest[Pct])*$E80,2))),"")</f>
        <v/>
      </c>
      <c r="N80" s="222" t="str">
        <f aca="false">IFERROR(IF('Bulk Order Details'!Q90="","",IF(_xlfn.xlookup('Bulk Order Details'!Q90,Chest[Display],Chest[Use])="Flat",_xlfn.xlookup('Bulk Order Details'!Q90,Chest[Display],Chest[Flat]),ROUND(_xlfn.xlookup('Bulk Order Details'!Q90,Chest[Display],Chest[Pct])*$E80,2))),"")</f>
        <v/>
      </c>
      <c r="O80" s="222" t="str">
        <f aca="false">IFERROR(IF('Bulk Order Details'!R90="","",IF(_xlfn.xlookup('Bulk Order Details'!R90,LeftSleeve[Display],LeftSleeve[Use])="Flat",_xlfn.xlookup('Bulk Order Details'!R90,LeftSleeve[Display],LeftSleeve[Flat]),ROUND(_xlfn.xlookup('Bulk Order Details'!R90,LeftSleeve[Display],LeftSleeve[Pct])*$E80,2))),"")</f>
        <v/>
      </c>
      <c r="P80" s="222" t="str">
        <f aca="false">IFERROR(IF('Bulk Order Details'!S90="","",IF(_xlfn.xlookup('Bulk Order Details'!S90,RightSleeve[Display],RightSleeve[Use])="Flat",_xlfn.xlookup('Bulk Order Details'!S90,RightSleeve[Display],RightSleeve[Flat]),ROUND(_xlfn.xlookup('Bulk Order Details'!S90,RightSleeve[Display],RightSleeve[Pct])*$E80,2))),"")</f>
        <v/>
      </c>
      <c r="Q80" s="214" t="str">
        <f aca="false">IF('Bulk Order Details'!J90="","",SUM(F80:P80))</f>
        <v/>
      </c>
      <c r="R80" s="213" t="str">
        <f aca="false">IFERROR(E80-D80,"")</f>
        <v/>
      </c>
      <c r="S80" s="215" t="str">
        <f aca="false">IFERROR(MIN(IF(Summary!$D$11="Yes",-J80,0),IF(H80&gt;0,-J80,0)),"")</f>
        <v/>
      </c>
      <c r="T80" s="212" t="str">
        <f aca="false">IFERROR(IF(Summary!$D$10="Yes",-K80,""),"")</f>
        <v/>
      </c>
      <c r="U80" s="213" t="str">
        <f aca="false">IFERROR(IF(Summary!$D$12="Yes",-L80,""),"")</f>
        <v/>
      </c>
      <c r="V80" s="216" t="str">
        <f aca="false">IF('Bulk Order Details'!J90="","",SUM(R80:U80))</f>
        <v/>
      </c>
      <c r="W80" s="217" t="str">
        <f aca="false">IF('Bulk Order Details'!J90="","",D80+Q80)</f>
        <v/>
      </c>
      <c r="X80" s="218" t="str">
        <f aca="false">IF('Bulk Order Details'!J90="","",D80+Q80+V80)</f>
        <v/>
      </c>
      <c r="Y80" s="219" t="str">
        <f aca="false">IFERROR((W80-X80)/W80,"")</f>
        <v/>
      </c>
      <c r="Z80" s="220" t="str">
        <f aca="false">IF('Bulk Order Details'!J90="","",MAX(1,'Bulk Order Details'!D90))</f>
        <v/>
      </c>
      <c r="AA80" s="217" t="str">
        <f aca="false">IF(Pricing_Details[[#This Row],[Quantity]]="","",Pricing_Details[[#This Row],[Retail Price]]*Pricing_Details[[#This Row],[Quantity]])</f>
        <v/>
      </c>
      <c r="AB80" s="217" t="str">
        <f aca="false">IF(Pricing_Details[[#This Row],[Quantity]]="","",Pricing_Details[[#This Row],[Total Discount]]*Pricing_Details[[#This Row],[Quantity]])</f>
        <v/>
      </c>
      <c r="AC80" s="221" t="str">
        <f aca="false">IFERROR(ROUND(Pricing_Details[[#This Row],[Actual Price]]*Pricing_Details[[#This Row],[Quantity]],2),"")</f>
        <v/>
      </c>
      <c r="AE80" s="179" t="str">
        <f aca="false">IF('Bulk Order Details'!J90="","",VLOOKUP('Bulk Order Details'!H90,Collection[],3)&amp;VLOOKUP('Bulk Order Details'!J90,Collar[],4)&amp;VLOOKUP('Bulk Order Details'!I90,Sleeve[],4))</f>
        <v/>
      </c>
      <c r="AF80" s="179" t="str">
        <f aca="false">IF('Bulk Order Details'!J90="","",LOOKUP('Bulk Order Details'!E90,Cut[Display],Cut[Code])&amp;LOOKUP('Bulk Order Details'!F90,#REF!,#REF!)&amp;IF('Bulk Order Details'!G90="","",LOOKUP('Bulk Order Details'!G90,Length[Display],Length[Code])))</f>
        <v/>
      </c>
      <c r="AG80" s="179" t="str">
        <f aca="false">IF('Bulk Order Details'!J90="","",IF('Bulk Order Details'!C90="","",'Bulk Order Details'!C90))</f>
        <v/>
      </c>
      <c r="AH80" s="179" t="str">
        <f aca="false">IF('Bulk Order Details'!O90="","","-"&amp;LOOKUP('Bulk Order Details'!O90,#REF!,#REF!))</f>
        <v/>
      </c>
      <c r="AI80" s="179" t="str">
        <f aca="false">IF('Bulk Order Details'!P90="","","-"&amp;LOOKUP('Bulk Order Details'!P90,#REF!,#REF!))</f>
        <v/>
      </c>
      <c r="AJ80" s="179" t="str">
        <f aca="false">IF('Bulk Order Details'!Q90="","","-"&amp;LOOKUP('Bulk Order Details'!Q90,#REF!,#REF!))</f>
        <v/>
      </c>
      <c r="AK80" s="179" t="str">
        <f aca="false">IF('Bulk Order Details'!R90="","","-"&amp;LOOKUP('Bulk Order Details'!R90,#REF!,#REF!))</f>
        <v/>
      </c>
      <c r="AL80" s="179" t="str">
        <f aca="false">IF('Bulk Order Details'!S90="","","-"&amp;LOOKUP('Bulk Order Details'!S90,#REF!,#REF!))</f>
        <v/>
      </c>
      <c r="AM80" s="179" t="str">
        <f aca="false">IF(_xlfn.CONCAT(AH80:AL80)="","","Lo"&amp;_xlfn.CONCAT(AH80:AL80))</f>
        <v/>
      </c>
      <c r="AN80" s="179" t="str">
        <f aca="false">IF('Bulk Order Details'!K90="","","Na-"&amp;'Bulk Order Details'!K90)</f>
        <v/>
      </c>
      <c r="AO80" s="179" t="str">
        <f aca="false">IF('Bulk Order Details'!N90="","","Fo-"&amp;'Bulk Order Details'!N90)</f>
        <v/>
      </c>
      <c r="AP80" s="179" t="str">
        <f aca="false">IF(AE80="","",AE80&amp;"_"&amp;AF80&amp;"_"&amp;AG80&amp;IF(AM80="","","_"&amp;AM80)&amp;IF(AN80="","","_"&amp;AN80)&amp;IF(AO80="","","_"&amp;AO80))</f>
        <v/>
      </c>
      <c r="AQ80" s="218" t="str">
        <f aca="false">IF(X80="","",X80)</f>
        <v/>
      </c>
    </row>
    <row r="81" customFormat="false" ht="15" hidden="false" customHeight="true" outlineLevel="0" collapsed="false">
      <c r="B81" s="209" t="n">
        <f aca="false">'Bulk Order Details'!B91</f>
        <v>78</v>
      </c>
      <c r="C81" s="209" t="e">
        <f aca="false">IF('bulk order details'!#ref!="","",'bulk order details'!#ref!&amp;" "&amp;'bulk order details'!#ref!)</f>
        <v>#VALUE!</v>
      </c>
      <c r="D81" s="210" t="str">
        <f aca="false">IF('Bulk Order Details'!J91="","",VLOOKUP(1,Price[],3))</f>
        <v/>
      </c>
      <c r="E81" s="211" t="str">
        <f aca="false">IF('Bulk Order Details'!J91="","",Summary!$D$9)</f>
        <v/>
      </c>
      <c r="F81" s="212" t="str">
        <f aca="false">IF('Bulk Order Details'!F91="","",_xlfn.xlookup('Bulk Order Details'!F91,Size[Display],Size[Price]))</f>
        <v/>
      </c>
      <c r="G81" s="212" t="str">
        <f aca="false">IF('Bulk Order Details'!G91="","",_xlfn.xlookup('Bulk Order Details'!G91,Length[Display],Length[Price]))</f>
        <v/>
      </c>
      <c r="H81" s="212" t="str">
        <f aca="false">IF('Bulk Order Details'!H91="","",_xlfn.xlookup('Bulk Order Details'!H91,Collection[Display],Collection[Price]))</f>
        <v/>
      </c>
      <c r="I81" s="212" t="str">
        <f aca="false">IF('Bulk Order Details'!I91="","",_xlfn.xlookup('Bulk Order Details'!I91,Sleeve[Display],Sleeve[Price]))</f>
        <v/>
      </c>
      <c r="J81" s="212" t="str">
        <f aca="false">IF('Bulk Order Details'!J91="","",_xlfn.xlookup('Bulk Order Details'!J91,Collar[Display],Collar[Price]))</f>
        <v/>
      </c>
      <c r="K81" s="212" t="str">
        <f aca="false">IF('Bulk Order Details'!K91="","",_xlfn.xlookup("Name",Name[Name],Name[Price]))</f>
        <v/>
      </c>
      <c r="L81" s="213" t="str">
        <f aca="false">IFERROR(IF('Bulk Order Details'!O91="","",IF(_xlfn.xlookup('Bulk Order Details'!O91,Logos[Display],Logos[Use])="Flat",_xlfn.xlookup('Bulk Order Details'!O91,Logos[Display],Logos[Flat]),ROUND(_xlfn.xlookup('Bulk Order Details'!O91,Logos[Display],Logos[Pct])*$E81,2))),"")</f>
        <v/>
      </c>
      <c r="M81" s="222" t="str">
        <f aca="false">IFERROR(IF('Bulk Order Details'!P91="","",IF(_xlfn.xlookup('Bulk Order Details'!P91,Chest[Display],Chest[Use])="Flat",_xlfn.xlookup('Bulk Order Details'!P91,Chest[Display],Chest[Flat]),ROUND(_xlfn.xlookup('Bulk Order Details'!P91,Chest[Display],Chest[Pct])*$E81,2))),"")</f>
        <v/>
      </c>
      <c r="N81" s="222" t="str">
        <f aca="false">IFERROR(IF('Bulk Order Details'!Q91="","",IF(_xlfn.xlookup('Bulk Order Details'!Q91,Chest[Display],Chest[Use])="Flat",_xlfn.xlookup('Bulk Order Details'!Q91,Chest[Display],Chest[Flat]),ROUND(_xlfn.xlookup('Bulk Order Details'!Q91,Chest[Display],Chest[Pct])*$E81,2))),"")</f>
        <v/>
      </c>
      <c r="O81" s="222" t="str">
        <f aca="false">IFERROR(IF('Bulk Order Details'!R91="","",IF(_xlfn.xlookup('Bulk Order Details'!R91,LeftSleeve[Display],LeftSleeve[Use])="Flat",_xlfn.xlookup('Bulk Order Details'!R91,LeftSleeve[Display],LeftSleeve[Flat]),ROUND(_xlfn.xlookup('Bulk Order Details'!R91,LeftSleeve[Display],LeftSleeve[Pct])*$E81,2))),"")</f>
        <v/>
      </c>
      <c r="P81" s="222" t="str">
        <f aca="false">IFERROR(IF('Bulk Order Details'!S91="","",IF(_xlfn.xlookup('Bulk Order Details'!S91,RightSleeve[Display],RightSleeve[Use])="Flat",_xlfn.xlookup('Bulk Order Details'!S91,RightSleeve[Display],RightSleeve[Flat]),ROUND(_xlfn.xlookup('Bulk Order Details'!S91,RightSleeve[Display],RightSleeve[Pct])*$E81,2))),"")</f>
        <v/>
      </c>
      <c r="Q81" s="214" t="str">
        <f aca="false">IF('Bulk Order Details'!J91="","",SUM(F81:P81))</f>
        <v/>
      </c>
      <c r="R81" s="213" t="str">
        <f aca="false">IFERROR(E81-D81,"")</f>
        <v/>
      </c>
      <c r="S81" s="215" t="str">
        <f aca="false">IFERROR(MIN(IF(Summary!$D$11="Yes",-J81,0),IF(H81&gt;0,-J81,0)),"")</f>
        <v/>
      </c>
      <c r="T81" s="212" t="str">
        <f aca="false">IFERROR(IF(Summary!$D$10="Yes",-K81,""),"")</f>
        <v/>
      </c>
      <c r="U81" s="213" t="str">
        <f aca="false">IFERROR(IF(Summary!$D$12="Yes",-L81,""),"")</f>
        <v/>
      </c>
      <c r="V81" s="216" t="str">
        <f aca="false">IF('Bulk Order Details'!J91="","",SUM(R81:U81))</f>
        <v/>
      </c>
      <c r="W81" s="217" t="str">
        <f aca="false">IF('Bulk Order Details'!J91="","",D81+Q81)</f>
        <v/>
      </c>
      <c r="X81" s="218" t="str">
        <f aca="false">IF('Bulk Order Details'!J91="","",D81+Q81+V81)</f>
        <v/>
      </c>
      <c r="Y81" s="219" t="str">
        <f aca="false">IFERROR((W81-X81)/W81,"")</f>
        <v/>
      </c>
      <c r="Z81" s="220" t="str">
        <f aca="false">IF('Bulk Order Details'!J91="","",MAX(1,'Bulk Order Details'!D91))</f>
        <v/>
      </c>
      <c r="AA81" s="217" t="str">
        <f aca="false">IF(Pricing_Details[[#This Row],[Quantity]]="","",Pricing_Details[[#This Row],[Retail Price]]*Pricing_Details[[#This Row],[Quantity]])</f>
        <v/>
      </c>
      <c r="AB81" s="217" t="str">
        <f aca="false">IF(Pricing_Details[[#This Row],[Quantity]]="","",Pricing_Details[[#This Row],[Total Discount]]*Pricing_Details[[#This Row],[Quantity]])</f>
        <v/>
      </c>
      <c r="AC81" s="221" t="str">
        <f aca="false">IFERROR(ROUND(Pricing_Details[[#This Row],[Actual Price]]*Pricing_Details[[#This Row],[Quantity]],2),"")</f>
        <v/>
      </c>
      <c r="AE81" s="179" t="str">
        <f aca="false">IF('Bulk Order Details'!J91="","",VLOOKUP('Bulk Order Details'!H91,Collection[],3)&amp;VLOOKUP('Bulk Order Details'!J91,Collar[],4)&amp;VLOOKUP('Bulk Order Details'!I91,Sleeve[],4))</f>
        <v/>
      </c>
      <c r="AF81" s="179" t="str">
        <f aca="false">IF('Bulk Order Details'!J91="","",LOOKUP('Bulk Order Details'!E91,Cut[Display],Cut[Code])&amp;LOOKUP('Bulk Order Details'!F91,#REF!,#REF!)&amp;IF('Bulk Order Details'!G91="","",LOOKUP('Bulk Order Details'!G91,Length[Display],Length[Code])))</f>
        <v/>
      </c>
      <c r="AG81" s="179" t="str">
        <f aca="false">IF('Bulk Order Details'!J91="","",IF('Bulk Order Details'!C91="","",'Bulk Order Details'!C91))</f>
        <v/>
      </c>
      <c r="AH81" s="179" t="str">
        <f aca="false">IF('Bulk Order Details'!O91="","","-"&amp;LOOKUP('Bulk Order Details'!O91,#REF!,#REF!))</f>
        <v/>
      </c>
      <c r="AI81" s="179" t="str">
        <f aca="false">IF('Bulk Order Details'!P91="","","-"&amp;LOOKUP('Bulk Order Details'!P91,#REF!,#REF!))</f>
        <v/>
      </c>
      <c r="AJ81" s="179" t="str">
        <f aca="false">IF('Bulk Order Details'!Q91="","","-"&amp;LOOKUP('Bulk Order Details'!Q91,#REF!,#REF!))</f>
        <v/>
      </c>
      <c r="AK81" s="179" t="str">
        <f aca="false">IF('Bulk Order Details'!R91="","","-"&amp;LOOKUP('Bulk Order Details'!R91,#REF!,#REF!))</f>
        <v/>
      </c>
      <c r="AL81" s="179" t="str">
        <f aca="false">IF('Bulk Order Details'!S91="","","-"&amp;LOOKUP('Bulk Order Details'!S91,#REF!,#REF!))</f>
        <v/>
      </c>
      <c r="AM81" s="179" t="str">
        <f aca="false">IF(_xlfn.CONCAT(AH81:AL81)="","","Lo"&amp;_xlfn.CONCAT(AH81:AL81))</f>
        <v/>
      </c>
      <c r="AN81" s="179" t="str">
        <f aca="false">IF('Bulk Order Details'!K91="","","Na-"&amp;'Bulk Order Details'!K91)</f>
        <v/>
      </c>
      <c r="AO81" s="179" t="str">
        <f aca="false">IF('Bulk Order Details'!N91="","","Fo-"&amp;'Bulk Order Details'!N91)</f>
        <v/>
      </c>
      <c r="AP81" s="179" t="str">
        <f aca="false">IF(AE81="","",AE81&amp;"_"&amp;AF81&amp;"_"&amp;AG81&amp;IF(AM81="","","_"&amp;AM81)&amp;IF(AN81="","","_"&amp;AN81)&amp;IF(AO81="","","_"&amp;AO81))</f>
        <v/>
      </c>
      <c r="AQ81" s="218" t="str">
        <f aca="false">IF(X81="","",X81)</f>
        <v/>
      </c>
    </row>
    <row r="82" customFormat="false" ht="15" hidden="false" customHeight="true" outlineLevel="0" collapsed="false">
      <c r="B82" s="209" t="n">
        <f aca="false">'Bulk Order Details'!B92</f>
        <v>79</v>
      </c>
      <c r="C82" s="209" t="e">
        <f aca="false">IF('bulk order details'!#ref!="","",'bulk order details'!#ref!&amp;" "&amp;'bulk order details'!#ref!)</f>
        <v>#VALUE!</v>
      </c>
      <c r="D82" s="210" t="str">
        <f aca="false">IF('Bulk Order Details'!J92="","",VLOOKUP(1,Price[],3))</f>
        <v/>
      </c>
      <c r="E82" s="211" t="str">
        <f aca="false">IF('Bulk Order Details'!J92="","",Summary!$D$9)</f>
        <v/>
      </c>
      <c r="F82" s="212" t="str">
        <f aca="false">IF('Bulk Order Details'!F92="","",_xlfn.xlookup('Bulk Order Details'!F92,Size[Display],Size[Price]))</f>
        <v/>
      </c>
      <c r="G82" s="212" t="str">
        <f aca="false">IF('Bulk Order Details'!G92="","",_xlfn.xlookup('Bulk Order Details'!G92,Length[Display],Length[Price]))</f>
        <v/>
      </c>
      <c r="H82" s="212" t="str">
        <f aca="false">IF('Bulk Order Details'!H92="","",_xlfn.xlookup('Bulk Order Details'!H92,Collection[Display],Collection[Price]))</f>
        <v/>
      </c>
      <c r="I82" s="212" t="str">
        <f aca="false">IF('Bulk Order Details'!I92="","",_xlfn.xlookup('Bulk Order Details'!I92,Sleeve[Display],Sleeve[Price]))</f>
        <v/>
      </c>
      <c r="J82" s="212" t="str">
        <f aca="false">IF('Bulk Order Details'!J92="","",_xlfn.xlookup('Bulk Order Details'!J92,Collar[Display],Collar[Price]))</f>
        <v/>
      </c>
      <c r="K82" s="212" t="str">
        <f aca="false">IF('Bulk Order Details'!K92="","",_xlfn.xlookup("Name",Name[Name],Name[Price]))</f>
        <v/>
      </c>
      <c r="L82" s="213" t="str">
        <f aca="false">IFERROR(IF('Bulk Order Details'!O92="","",IF(_xlfn.xlookup('Bulk Order Details'!O92,Logos[Display],Logos[Use])="Flat",_xlfn.xlookup('Bulk Order Details'!O92,Logos[Display],Logos[Flat]),ROUND(_xlfn.xlookup('Bulk Order Details'!O92,Logos[Display],Logos[Pct])*$E82,2))),"")</f>
        <v/>
      </c>
      <c r="M82" s="222" t="str">
        <f aca="false">IFERROR(IF('Bulk Order Details'!P92="","",IF(_xlfn.xlookup('Bulk Order Details'!P92,Chest[Display],Chest[Use])="Flat",_xlfn.xlookup('Bulk Order Details'!P92,Chest[Display],Chest[Flat]),ROUND(_xlfn.xlookup('Bulk Order Details'!P92,Chest[Display],Chest[Pct])*$E82,2))),"")</f>
        <v/>
      </c>
      <c r="N82" s="222" t="str">
        <f aca="false">IFERROR(IF('Bulk Order Details'!Q92="","",IF(_xlfn.xlookup('Bulk Order Details'!Q92,Chest[Display],Chest[Use])="Flat",_xlfn.xlookup('Bulk Order Details'!Q92,Chest[Display],Chest[Flat]),ROUND(_xlfn.xlookup('Bulk Order Details'!Q92,Chest[Display],Chest[Pct])*$E82,2))),"")</f>
        <v/>
      </c>
      <c r="O82" s="222" t="str">
        <f aca="false">IFERROR(IF('Bulk Order Details'!R92="","",IF(_xlfn.xlookup('Bulk Order Details'!R92,LeftSleeve[Display],LeftSleeve[Use])="Flat",_xlfn.xlookup('Bulk Order Details'!R92,LeftSleeve[Display],LeftSleeve[Flat]),ROUND(_xlfn.xlookup('Bulk Order Details'!R92,LeftSleeve[Display],LeftSleeve[Pct])*$E82,2))),"")</f>
        <v/>
      </c>
      <c r="P82" s="222" t="str">
        <f aca="false">IFERROR(IF('Bulk Order Details'!S92="","",IF(_xlfn.xlookup('Bulk Order Details'!S92,RightSleeve[Display],RightSleeve[Use])="Flat",_xlfn.xlookup('Bulk Order Details'!S92,RightSleeve[Display],RightSleeve[Flat]),ROUND(_xlfn.xlookup('Bulk Order Details'!S92,RightSleeve[Display],RightSleeve[Pct])*$E82,2))),"")</f>
        <v/>
      </c>
      <c r="Q82" s="214" t="str">
        <f aca="false">IF('Bulk Order Details'!J92="","",SUM(F82:P82))</f>
        <v/>
      </c>
      <c r="R82" s="213" t="str">
        <f aca="false">IFERROR(E82-D82,"")</f>
        <v/>
      </c>
      <c r="S82" s="215" t="str">
        <f aca="false">IFERROR(MIN(IF(Summary!$D$11="Yes",-J82,0),IF(H82&gt;0,-J82,0)),"")</f>
        <v/>
      </c>
      <c r="T82" s="212" t="str">
        <f aca="false">IFERROR(IF(Summary!$D$10="Yes",-K82,""),"")</f>
        <v/>
      </c>
      <c r="U82" s="213" t="str">
        <f aca="false">IFERROR(IF(Summary!$D$12="Yes",-L82,""),"")</f>
        <v/>
      </c>
      <c r="V82" s="216" t="str">
        <f aca="false">IF('Bulk Order Details'!J92="","",SUM(R82:U82))</f>
        <v/>
      </c>
      <c r="W82" s="217" t="str">
        <f aca="false">IF('Bulk Order Details'!J92="","",D82+Q82)</f>
        <v/>
      </c>
      <c r="X82" s="218" t="str">
        <f aca="false">IF('Bulk Order Details'!J92="","",D82+Q82+V82)</f>
        <v/>
      </c>
      <c r="Y82" s="219" t="str">
        <f aca="false">IFERROR((W82-X82)/W82,"")</f>
        <v/>
      </c>
      <c r="Z82" s="220" t="str">
        <f aca="false">IF('Bulk Order Details'!J92="","",MAX(1,'Bulk Order Details'!D92))</f>
        <v/>
      </c>
      <c r="AA82" s="217" t="str">
        <f aca="false">IF(Pricing_Details[[#This Row],[Quantity]]="","",Pricing_Details[[#This Row],[Retail Price]]*Pricing_Details[[#This Row],[Quantity]])</f>
        <v/>
      </c>
      <c r="AB82" s="217" t="str">
        <f aca="false">IF(Pricing_Details[[#This Row],[Quantity]]="","",Pricing_Details[[#This Row],[Total Discount]]*Pricing_Details[[#This Row],[Quantity]])</f>
        <v/>
      </c>
      <c r="AC82" s="221" t="str">
        <f aca="false">IFERROR(ROUND(Pricing_Details[[#This Row],[Actual Price]]*Pricing_Details[[#This Row],[Quantity]],2),"")</f>
        <v/>
      </c>
      <c r="AE82" s="179" t="str">
        <f aca="false">IF('Bulk Order Details'!J92="","",VLOOKUP('Bulk Order Details'!H92,Collection[],3)&amp;VLOOKUP('Bulk Order Details'!J92,Collar[],4)&amp;VLOOKUP('Bulk Order Details'!I92,Sleeve[],4))</f>
        <v/>
      </c>
      <c r="AF82" s="179" t="str">
        <f aca="false">IF('Bulk Order Details'!J92="","",LOOKUP('Bulk Order Details'!E92,Cut[Display],Cut[Code])&amp;LOOKUP('Bulk Order Details'!F92,#REF!,#REF!)&amp;IF('Bulk Order Details'!G92="","",LOOKUP('Bulk Order Details'!G92,Length[Display],Length[Code])))</f>
        <v/>
      </c>
      <c r="AG82" s="179" t="str">
        <f aca="false">IF('Bulk Order Details'!J92="","",IF('Bulk Order Details'!C92="","",'Bulk Order Details'!C92))</f>
        <v/>
      </c>
      <c r="AH82" s="179" t="str">
        <f aca="false">IF('Bulk Order Details'!O92="","","-"&amp;LOOKUP('Bulk Order Details'!O92,#REF!,#REF!))</f>
        <v/>
      </c>
      <c r="AI82" s="179" t="str">
        <f aca="false">IF('Bulk Order Details'!P92="","","-"&amp;LOOKUP('Bulk Order Details'!P92,#REF!,#REF!))</f>
        <v/>
      </c>
      <c r="AJ82" s="179" t="str">
        <f aca="false">IF('Bulk Order Details'!Q92="","","-"&amp;LOOKUP('Bulk Order Details'!Q92,#REF!,#REF!))</f>
        <v/>
      </c>
      <c r="AK82" s="179" t="str">
        <f aca="false">IF('Bulk Order Details'!R92="","","-"&amp;LOOKUP('Bulk Order Details'!R92,#REF!,#REF!))</f>
        <v/>
      </c>
      <c r="AL82" s="179" t="str">
        <f aca="false">IF('Bulk Order Details'!S92="","","-"&amp;LOOKUP('Bulk Order Details'!S92,#REF!,#REF!))</f>
        <v/>
      </c>
      <c r="AM82" s="179" t="str">
        <f aca="false">IF(_xlfn.CONCAT(AH82:AL82)="","","Lo"&amp;_xlfn.CONCAT(AH82:AL82))</f>
        <v/>
      </c>
      <c r="AN82" s="179" t="str">
        <f aca="false">IF('Bulk Order Details'!K92="","","Na-"&amp;'Bulk Order Details'!K92)</f>
        <v/>
      </c>
      <c r="AO82" s="179" t="str">
        <f aca="false">IF('Bulk Order Details'!N92="","","Fo-"&amp;'Bulk Order Details'!N92)</f>
        <v/>
      </c>
      <c r="AP82" s="179" t="str">
        <f aca="false">IF(AE82="","",AE82&amp;"_"&amp;AF82&amp;"_"&amp;AG82&amp;IF(AM82="","","_"&amp;AM82)&amp;IF(AN82="","","_"&amp;AN82)&amp;IF(AO82="","","_"&amp;AO82))</f>
        <v/>
      </c>
      <c r="AQ82" s="218" t="str">
        <f aca="false">IF(X82="","",X82)</f>
        <v/>
      </c>
    </row>
    <row r="83" customFormat="false" ht="15" hidden="false" customHeight="true" outlineLevel="0" collapsed="false">
      <c r="B83" s="209" t="n">
        <f aca="false">'Bulk Order Details'!B93</f>
        <v>80</v>
      </c>
      <c r="C83" s="209" t="e">
        <f aca="false">IF('bulk order details'!#ref!="","",'bulk order details'!#ref!&amp;" "&amp;'bulk order details'!#ref!)</f>
        <v>#VALUE!</v>
      </c>
      <c r="D83" s="210" t="str">
        <f aca="false">IF('Bulk Order Details'!J93="","",VLOOKUP(1,Price[],3))</f>
        <v/>
      </c>
      <c r="E83" s="211" t="str">
        <f aca="false">IF('Bulk Order Details'!J93="","",Summary!$D$9)</f>
        <v/>
      </c>
      <c r="F83" s="212" t="str">
        <f aca="false">IF('Bulk Order Details'!F93="","",_xlfn.xlookup('Bulk Order Details'!F93,Size[Display],Size[Price]))</f>
        <v/>
      </c>
      <c r="G83" s="212" t="str">
        <f aca="false">IF('Bulk Order Details'!G93="","",_xlfn.xlookup('Bulk Order Details'!G93,Length[Display],Length[Price]))</f>
        <v/>
      </c>
      <c r="H83" s="212" t="str">
        <f aca="false">IF('Bulk Order Details'!H93="","",_xlfn.xlookup('Bulk Order Details'!H93,Collection[Display],Collection[Price]))</f>
        <v/>
      </c>
      <c r="I83" s="212" t="str">
        <f aca="false">IF('Bulk Order Details'!I93="","",_xlfn.xlookup('Bulk Order Details'!I93,Sleeve[Display],Sleeve[Price]))</f>
        <v/>
      </c>
      <c r="J83" s="212" t="str">
        <f aca="false">IF('Bulk Order Details'!J93="","",_xlfn.xlookup('Bulk Order Details'!J93,Collar[Display],Collar[Price]))</f>
        <v/>
      </c>
      <c r="K83" s="212" t="str">
        <f aca="false">IF('Bulk Order Details'!K93="","",_xlfn.xlookup("Name",Name[Name],Name[Price]))</f>
        <v/>
      </c>
      <c r="L83" s="213" t="str">
        <f aca="false">IFERROR(IF('Bulk Order Details'!O93="","",IF(_xlfn.xlookup('Bulk Order Details'!O93,Logos[Display],Logos[Use])="Flat",_xlfn.xlookup('Bulk Order Details'!O93,Logos[Display],Logos[Flat]),ROUND(_xlfn.xlookup('Bulk Order Details'!O93,Logos[Display],Logos[Pct])*$E83,2))),"")</f>
        <v/>
      </c>
      <c r="M83" s="222" t="str">
        <f aca="false">IFERROR(IF('Bulk Order Details'!P93="","",IF(_xlfn.xlookup('Bulk Order Details'!P93,Chest[Display],Chest[Use])="Flat",_xlfn.xlookup('Bulk Order Details'!P93,Chest[Display],Chest[Flat]),ROUND(_xlfn.xlookup('Bulk Order Details'!P93,Chest[Display],Chest[Pct])*$E83,2))),"")</f>
        <v/>
      </c>
      <c r="N83" s="222" t="str">
        <f aca="false">IFERROR(IF('Bulk Order Details'!Q93="","",IF(_xlfn.xlookup('Bulk Order Details'!Q93,Chest[Display],Chest[Use])="Flat",_xlfn.xlookup('Bulk Order Details'!Q93,Chest[Display],Chest[Flat]),ROUND(_xlfn.xlookup('Bulk Order Details'!Q93,Chest[Display],Chest[Pct])*$E83,2))),"")</f>
        <v/>
      </c>
      <c r="O83" s="222" t="str">
        <f aca="false">IFERROR(IF('Bulk Order Details'!R93="","",IF(_xlfn.xlookup('Bulk Order Details'!R93,LeftSleeve[Display],LeftSleeve[Use])="Flat",_xlfn.xlookup('Bulk Order Details'!R93,LeftSleeve[Display],LeftSleeve[Flat]),ROUND(_xlfn.xlookup('Bulk Order Details'!R93,LeftSleeve[Display],LeftSleeve[Pct])*$E83,2))),"")</f>
        <v/>
      </c>
      <c r="P83" s="222" t="str">
        <f aca="false">IFERROR(IF('Bulk Order Details'!S93="","",IF(_xlfn.xlookup('Bulk Order Details'!S93,RightSleeve[Display],RightSleeve[Use])="Flat",_xlfn.xlookup('Bulk Order Details'!S93,RightSleeve[Display],RightSleeve[Flat]),ROUND(_xlfn.xlookup('Bulk Order Details'!S93,RightSleeve[Display],RightSleeve[Pct])*$E83,2))),"")</f>
        <v/>
      </c>
      <c r="Q83" s="214" t="str">
        <f aca="false">IF('Bulk Order Details'!J93="","",SUM(F83:P83))</f>
        <v/>
      </c>
      <c r="R83" s="213" t="str">
        <f aca="false">IFERROR(E83-D83,"")</f>
        <v/>
      </c>
      <c r="S83" s="215" t="str">
        <f aca="false">IFERROR(MIN(IF(Summary!$D$11="Yes",-J83,0),IF(H83&gt;0,-J83,0)),"")</f>
        <v/>
      </c>
      <c r="T83" s="212" t="str">
        <f aca="false">IFERROR(IF(Summary!$D$10="Yes",-K83,""),"")</f>
        <v/>
      </c>
      <c r="U83" s="213" t="str">
        <f aca="false">IFERROR(IF(Summary!$D$12="Yes",-L83,""),"")</f>
        <v/>
      </c>
      <c r="V83" s="216" t="str">
        <f aca="false">IF('Bulk Order Details'!J93="","",SUM(R83:U83))</f>
        <v/>
      </c>
      <c r="W83" s="217" t="str">
        <f aca="false">IF('Bulk Order Details'!J93="","",D83+Q83)</f>
        <v/>
      </c>
      <c r="X83" s="218" t="str">
        <f aca="false">IF('Bulk Order Details'!J93="","",D83+Q83+V83)</f>
        <v/>
      </c>
      <c r="Y83" s="219" t="str">
        <f aca="false">IFERROR((W83-X83)/W83,"")</f>
        <v/>
      </c>
      <c r="Z83" s="220" t="str">
        <f aca="false">IF('Bulk Order Details'!J93="","",MAX(1,'Bulk Order Details'!D93))</f>
        <v/>
      </c>
      <c r="AA83" s="217" t="str">
        <f aca="false">IF(Pricing_Details[[#This Row],[Quantity]]="","",Pricing_Details[[#This Row],[Retail Price]]*Pricing_Details[[#This Row],[Quantity]])</f>
        <v/>
      </c>
      <c r="AB83" s="217" t="str">
        <f aca="false">IF(Pricing_Details[[#This Row],[Quantity]]="","",Pricing_Details[[#This Row],[Total Discount]]*Pricing_Details[[#This Row],[Quantity]])</f>
        <v/>
      </c>
      <c r="AC83" s="221" t="str">
        <f aca="false">IFERROR(ROUND(Pricing_Details[[#This Row],[Actual Price]]*Pricing_Details[[#This Row],[Quantity]],2),"")</f>
        <v/>
      </c>
      <c r="AE83" s="179" t="str">
        <f aca="false">IF('Bulk Order Details'!J93="","",VLOOKUP('Bulk Order Details'!H93,Collection[],3)&amp;VLOOKUP('Bulk Order Details'!J93,Collar[],4)&amp;VLOOKUP('Bulk Order Details'!I93,Sleeve[],4))</f>
        <v/>
      </c>
      <c r="AF83" s="179" t="str">
        <f aca="false">IF('Bulk Order Details'!J93="","",LOOKUP('Bulk Order Details'!E93,Cut[Display],Cut[Code])&amp;LOOKUP('Bulk Order Details'!F93,#REF!,#REF!)&amp;IF('Bulk Order Details'!G93="","",LOOKUP('Bulk Order Details'!G93,Length[Display],Length[Code])))</f>
        <v/>
      </c>
      <c r="AG83" s="179" t="str">
        <f aca="false">IF('Bulk Order Details'!J93="","",IF('Bulk Order Details'!C93="","",'Bulk Order Details'!C93))</f>
        <v/>
      </c>
      <c r="AH83" s="179" t="str">
        <f aca="false">IF('Bulk Order Details'!O93="","","-"&amp;LOOKUP('Bulk Order Details'!O93,#REF!,#REF!))</f>
        <v/>
      </c>
      <c r="AI83" s="179" t="str">
        <f aca="false">IF('Bulk Order Details'!P93="","","-"&amp;LOOKUP('Bulk Order Details'!P93,#REF!,#REF!))</f>
        <v/>
      </c>
      <c r="AJ83" s="179" t="str">
        <f aca="false">IF('Bulk Order Details'!Q93="","","-"&amp;LOOKUP('Bulk Order Details'!Q93,#REF!,#REF!))</f>
        <v/>
      </c>
      <c r="AK83" s="179" t="str">
        <f aca="false">IF('Bulk Order Details'!R93="","","-"&amp;LOOKUP('Bulk Order Details'!R93,#REF!,#REF!))</f>
        <v/>
      </c>
      <c r="AL83" s="179" t="str">
        <f aca="false">IF('Bulk Order Details'!S93="","","-"&amp;LOOKUP('Bulk Order Details'!S93,#REF!,#REF!))</f>
        <v/>
      </c>
      <c r="AM83" s="179" t="str">
        <f aca="false">IF(_xlfn.CONCAT(AH83:AL83)="","","Lo"&amp;_xlfn.CONCAT(AH83:AL83))</f>
        <v/>
      </c>
      <c r="AN83" s="179" t="str">
        <f aca="false">IF('Bulk Order Details'!K93="","","Na-"&amp;'Bulk Order Details'!K93)</f>
        <v/>
      </c>
      <c r="AO83" s="179" t="str">
        <f aca="false">IF('Bulk Order Details'!N93="","","Fo-"&amp;'Bulk Order Details'!N93)</f>
        <v/>
      </c>
      <c r="AP83" s="179" t="str">
        <f aca="false">IF(AE83="","",AE83&amp;"_"&amp;AF83&amp;"_"&amp;AG83&amp;IF(AM83="","","_"&amp;AM83)&amp;IF(AN83="","","_"&amp;AN83)&amp;IF(AO83="","","_"&amp;AO83))</f>
        <v/>
      </c>
      <c r="AQ83" s="218" t="str">
        <f aca="false">IF(X83="","",X83)</f>
        <v/>
      </c>
    </row>
    <row r="84" customFormat="false" ht="15" hidden="false" customHeight="true" outlineLevel="0" collapsed="false">
      <c r="B84" s="209" t="n">
        <f aca="false">'Bulk Order Details'!B94</f>
        <v>81</v>
      </c>
      <c r="C84" s="209" t="e">
        <f aca="false">IF('bulk order details'!#ref!="","",'bulk order details'!#ref!&amp;" "&amp;'bulk order details'!#ref!)</f>
        <v>#VALUE!</v>
      </c>
      <c r="D84" s="210" t="str">
        <f aca="false">IF('Bulk Order Details'!J94="","",VLOOKUP(1,Price[],3))</f>
        <v/>
      </c>
      <c r="E84" s="211" t="str">
        <f aca="false">IF('Bulk Order Details'!J94="","",Summary!$D$9)</f>
        <v/>
      </c>
      <c r="F84" s="212" t="str">
        <f aca="false">IF('Bulk Order Details'!F94="","",_xlfn.xlookup('Bulk Order Details'!F94,Size[Display],Size[Price]))</f>
        <v/>
      </c>
      <c r="G84" s="212" t="str">
        <f aca="false">IF('Bulk Order Details'!G94="","",_xlfn.xlookup('Bulk Order Details'!G94,Length[Display],Length[Price]))</f>
        <v/>
      </c>
      <c r="H84" s="212" t="str">
        <f aca="false">IF('Bulk Order Details'!H94="","",_xlfn.xlookup('Bulk Order Details'!H94,Collection[Display],Collection[Price]))</f>
        <v/>
      </c>
      <c r="I84" s="212" t="str">
        <f aca="false">IF('Bulk Order Details'!I94="","",_xlfn.xlookup('Bulk Order Details'!I94,Sleeve[Display],Sleeve[Price]))</f>
        <v/>
      </c>
      <c r="J84" s="212" t="str">
        <f aca="false">IF('Bulk Order Details'!J94="","",_xlfn.xlookup('Bulk Order Details'!J94,Collar[Display],Collar[Price]))</f>
        <v/>
      </c>
      <c r="K84" s="212" t="str">
        <f aca="false">IF('Bulk Order Details'!K94="","",_xlfn.xlookup("Name",Name[Name],Name[Price]))</f>
        <v/>
      </c>
      <c r="L84" s="213" t="str">
        <f aca="false">IFERROR(IF('Bulk Order Details'!O94="","",IF(_xlfn.xlookup('Bulk Order Details'!O94,Logos[Display],Logos[Use])="Flat",_xlfn.xlookup('Bulk Order Details'!O94,Logos[Display],Logos[Flat]),ROUND(_xlfn.xlookup('Bulk Order Details'!O94,Logos[Display],Logos[Pct])*$E84,2))),"")</f>
        <v/>
      </c>
      <c r="M84" s="222" t="str">
        <f aca="false">IFERROR(IF('Bulk Order Details'!P94="","",IF(_xlfn.xlookup('Bulk Order Details'!P94,Chest[Display],Chest[Use])="Flat",_xlfn.xlookup('Bulk Order Details'!P94,Chest[Display],Chest[Flat]),ROUND(_xlfn.xlookup('Bulk Order Details'!P94,Chest[Display],Chest[Pct])*$E84,2))),"")</f>
        <v/>
      </c>
      <c r="N84" s="222" t="str">
        <f aca="false">IFERROR(IF('Bulk Order Details'!Q94="","",IF(_xlfn.xlookup('Bulk Order Details'!Q94,Chest[Display],Chest[Use])="Flat",_xlfn.xlookup('Bulk Order Details'!Q94,Chest[Display],Chest[Flat]),ROUND(_xlfn.xlookup('Bulk Order Details'!Q94,Chest[Display],Chest[Pct])*$E84,2))),"")</f>
        <v/>
      </c>
      <c r="O84" s="222" t="str">
        <f aca="false">IFERROR(IF('Bulk Order Details'!R94="","",IF(_xlfn.xlookup('Bulk Order Details'!R94,LeftSleeve[Display],LeftSleeve[Use])="Flat",_xlfn.xlookup('Bulk Order Details'!R94,LeftSleeve[Display],LeftSleeve[Flat]),ROUND(_xlfn.xlookup('Bulk Order Details'!R94,LeftSleeve[Display],LeftSleeve[Pct])*$E84,2))),"")</f>
        <v/>
      </c>
      <c r="P84" s="222" t="str">
        <f aca="false">IFERROR(IF('Bulk Order Details'!S94="","",IF(_xlfn.xlookup('Bulk Order Details'!S94,RightSleeve[Display],RightSleeve[Use])="Flat",_xlfn.xlookup('Bulk Order Details'!S94,RightSleeve[Display],RightSleeve[Flat]),ROUND(_xlfn.xlookup('Bulk Order Details'!S94,RightSleeve[Display],RightSleeve[Pct])*$E84,2))),"")</f>
        <v/>
      </c>
      <c r="Q84" s="214" t="str">
        <f aca="false">IF('Bulk Order Details'!J94="","",SUM(F84:P84))</f>
        <v/>
      </c>
      <c r="R84" s="213" t="str">
        <f aca="false">IFERROR(E84-D84,"")</f>
        <v/>
      </c>
      <c r="S84" s="215" t="str">
        <f aca="false">IFERROR(MIN(IF(Summary!$D$11="Yes",-J84,0),IF(H84&gt;0,-J84,0)),"")</f>
        <v/>
      </c>
      <c r="T84" s="212" t="str">
        <f aca="false">IFERROR(IF(Summary!$D$10="Yes",-K84,""),"")</f>
        <v/>
      </c>
      <c r="U84" s="213" t="str">
        <f aca="false">IFERROR(IF(Summary!$D$12="Yes",-L84,""),"")</f>
        <v/>
      </c>
      <c r="V84" s="216" t="str">
        <f aca="false">IF('Bulk Order Details'!J94="","",SUM(R84:U84))</f>
        <v/>
      </c>
      <c r="W84" s="217" t="str">
        <f aca="false">IF('Bulk Order Details'!J94="","",D84+Q84)</f>
        <v/>
      </c>
      <c r="X84" s="218" t="str">
        <f aca="false">IF('Bulk Order Details'!J94="","",D84+Q84+V84)</f>
        <v/>
      </c>
      <c r="Y84" s="219" t="str">
        <f aca="false">IFERROR((W84-X84)/W84,"")</f>
        <v/>
      </c>
      <c r="Z84" s="220" t="str">
        <f aca="false">IF('Bulk Order Details'!J94="","",MAX(1,'Bulk Order Details'!D94))</f>
        <v/>
      </c>
      <c r="AA84" s="217" t="str">
        <f aca="false">IF(Pricing_Details[[#This Row],[Quantity]]="","",Pricing_Details[[#This Row],[Retail Price]]*Pricing_Details[[#This Row],[Quantity]])</f>
        <v/>
      </c>
      <c r="AB84" s="217" t="str">
        <f aca="false">IF(Pricing_Details[[#This Row],[Quantity]]="","",Pricing_Details[[#This Row],[Total Discount]]*Pricing_Details[[#This Row],[Quantity]])</f>
        <v/>
      </c>
      <c r="AC84" s="221" t="str">
        <f aca="false">IFERROR(ROUND(Pricing_Details[[#This Row],[Actual Price]]*Pricing_Details[[#This Row],[Quantity]],2),"")</f>
        <v/>
      </c>
      <c r="AE84" s="179" t="str">
        <f aca="false">IF('Bulk Order Details'!J94="","",VLOOKUP('Bulk Order Details'!H94,Collection[],3)&amp;VLOOKUP('Bulk Order Details'!J94,Collar[],4)&amp;VLOOKUP('Bulk Order Details'!I94,Sleeve[],4))</f>
        <v/>
      </c>
      <c r="AF84" s="179" t="str">
        <f aca="false">IF('Bulk Order Details'!J94="","",LOOKUP('Bulk Order Details'!E94,Cut[Display],Cut[Code])&amp;LOOKUP('Bulk Order Details'!F94,#REF!,#REF!)&amp;IF('Bulk Order Details'!G94="","",LOOKUP('Bulk Order Details'!G94,Length[Display],Length[Code])))</f>
        <v/>
      </c>
      <c r="AG84" s="179" t="str">
        <f aca="false">IF('Bulk Order Details'!J94="","",IF('Bulk Order Details'!C94="","",'Bulk Order Details'!C94))</f>
        <v/>
      </c>
      <c r="AH84" s="179" t="str">
        <f aca="false">IF('Bulk Order Details'!O94="","","-"&amp;LOOKUP('Bulk Order Details'!O94,#REF!,#REF!))</f>
        <v/>
      </c>
      <c r="AI84" s="179" t="str">
        <f aca="false">IF('Bulk Order Details'!P94="","","-"&amp;LOOKUP('Bulk Order Details'!P94,#REF!,#REF!))</f>
        <v/>
      </c>
      <c r="AJ84" s="179" t="str">
        <f aca="false">IF('Bulk Order Details'!Q94="","","-"&amp;LOOKUP('Bulk Order Details'!Q94,#REF!,#REF!))</f>
        <v/>
      </c>
      <c r="AK84" s="179" t="str">
        <f aca="false">IF('Bulk Order Details'!R94="","","-"&amp;LOOKUP('Bulk Order Details'!R94,#REF!,#REF!))</f>
        <v/>
      </c>
      <c r="AL84" s="179" t="str">
        <f aca="false">IF('Bulk Order Details'!S94="","","-"&amp;LOOKUP('Bulk Order Details'!S94,#REF!,#REF!))</f>
        <v/>
      </c>
      <c r="AM84" s="179" t="str">
        <f aca="false">IF(_xlfn.CONCAT(AH84:AL84)="","","Lo"&amp;_xlfn.CONCAT(AH84:AL84))</f>
        <v/>
      </c>
      <c r="AN84" s="179" t="str">
        <f aca="false">IF('Bulk Order Details'!K94="","","Na-"&amp;'Bulk Order Details'!K94)</f>
        <v/>
      </c>
      <c r="AO84" s="179" t="str">
        <f aca="false">IF('Bulk Order Details'!N94="","","Fo-"&amp;'Bulk Order Details'!N94)</f>
        <v/>
      </c>
      <c r="AP84" s="179" t="str">
        <f aca="false">IF(AE84="","",AE84&amp;"_"&amp;AF84&amp;"_"&amp;AG84&amp;IF(AM84="","","_"&amp;AM84)&amp;IF(AN84="","","_"&amp;AN84)&amp;IF(AO84="","","_"&amp;AO84))</f>
        <v/>
      </c>
      <c r="AQ84" s="218" t="str">
        <f aca="false">IF(X84="","",X84)</f>
        <v/>
      </c>
    </row>
    <row r="85" customFormat="false" ht="15" hidden="false" customHeight="true" outlineLevel="0" collapsed="false">
      <c r="B85" s="209" t="n">
        <f aca="false">'Bulk Order Details'!B95</f>
        <v>82</v>
      </c>
      <c r="C85" s="209" t="e">
        <f aca="false">IF('bulk order details'!#ref!="","",'bulk order details'!#ref!&amp;" "&amp;'bulk order details'!#ref!)</f>
        <v>#VALUE!</v>
      </c>
      <c r="D85" s="210" t="str">
        <f aca="false">IF('Bulk Order Details'!J95="","",VLOOKUP(1,Price[],3))</f>
        <v/>
      </c>
      <c r="E85" s="211" t="str">
        <f aca="false">IF('Bulk Order Details'!J95="","",Summary!$D$9)</f>
        <v/>
      </c>
      <c r="F85" s="212" t="str">
        <f aca="false">IF('Bulk Order Details'!F95="","",_xlfn.xlookup('Bulk Order Details'!F95,Size[Display],Size[Price]))</f>
        <v/>
      </c>
      <c r="G85" s="212" t="str">
        <f aca="false">IF('Bulk Order Details'!G95="","",_xlfn.xlookup('Bulk Order Details'!G95,Length[Display],Length[Price]))</f>
        <v/>
      </c>
      <c r="H85" s="212" t="str">
        <f aca="false">IF('Bulk Order Details'!H95="","",_xlfn.xlookup('Bulk Order Details'!H95,Collection[Display],Collection[Price]))</f>
        <v/>
      </c>
      <c r="I85" s="212" t="str">
        <f aca="false">IF('Bulk Order Details'!I95="","",_xlfn.xlookup('Bulk Order Details'!I95,Sleeve[Display],Sleeve[Price]))</f>
        <v/>
      </c>
      <c r="J85" s="212" t="str">
        <f aca="false">IF('Bulk Order Details'!J95="","",_xlfn.xlookup('Bulk Order Details'!J95,Collar[Display],Collar[Price]))</f>
        <v/>
      </c>
      <c r="K85" s="212" t="str">
        <f aca="false">IF('Bulk Order Details'!K95="","",_xlfn.xlookup("Name",Name[Name],Name[Price]))</f>
        <v/>
      </c>
      <c r="L85" s="213" t="str">
        <f aca="false">IFERROR(IF('Bulk Order Details'!O95="","",IF(_xlfn.xlookup('Bulk Order Details'!O95,Logos[Display],Logos[Use])="Flat",_xlfn.xlookup('Bulk Order Details'!O95,Logos[Display],Logos[Flat]),ROUND(_xlfn.xlookup('Bulk Order Details'!O95,Logos[Display],Logos[Pct])*$E85,2))),"")</f>
        <v/>
      </c>
      <c r="M85" s="222" t="str">
        <f aca="false">IFERROR(IF('Bulk Order Details'!P95="","",IF(_xlfn.xlookup('Bulk Order Details'!P95,Chest[Display],Chest[Use])="Flat",_xlfn.xlookup('Bulk Order Details'!P95,Chest[Display],Chest[Flat]),ROUND(_xlfn.xlookup('Bulk Order Details'!P95,Chest[Display],Chest[Pct])*$E85,2))),"")</f>
        <v/>
      </c>
      <c r="N85" s="222" t="str">
        <f aca="false">IFERROR(IF('Bulk Order Details'!Q95="","",IF(_xlfn.xlookup('Bulk Order Details'!Q95,Chest[Display],Chest[Use])="Flat",_xlfn.xlookup('Bulk Order Details'!Q95,Chest[Display],Chest[Flat]),ROUND(_xlfn.xlookup('Bulk Order Details'!Q95,Chest[Display],Chest[Pct])*$E85,2))),"")</f>
        <v/>
      </c>
      <c r="O85" s="222" t="str">
        <f aca="false">IFERROR(IF('Bulk Order Details'!R95="","",IF(_xlfn.xlookup('Bulk Order Details'!R95,LeftSleeve[Display],LeftSleeve[Use])="Flat",_xlfn.xlookup('Bulk Order Details'!R95,LeftSleeve[Display],LeftSleeve[Flat]),ROUND(_xlfn.xlookup('Bulk Order Details'!R95,LeftSleeve[Display],LeftSleeve[Pct])*$E85,2))),"")</f>
        <v/>
      </c>
      <c r="P85" s="222" t="str">
        <f aca="false">IFERROR(IF('Bulk Order Details'!S95="","",IF(_xlfn.xlookup('Bulk Order Details'!S95,RightSleeve[Display],RightSleeve[Use])="Flat",_xlfn.xlookup('Bulk Order Details'!S95,RightSleeve[Display],RightSleeve[Flat]),ROUND(_xlfn.xlookup('Bulk Order Details'!S95,RightSleeve[Display],RightSleeve[Pct])*$E85,2))),"")</f>
        <v/>
      </c>
      <c r="Q85" s="214" t="str">
        <f aca="false">IF('Bulk Order Details'!J95="","",SUM(F85:P85))</f>
        <v/>
      </c>
      <c r="R85" s="213" t="str">
        <f aca="false">IFERROR(E85-D85,"")</f>
        <v/>
      </c>
      <c r="S85" s="215" t="str">
        <f aca="false">IFERROR(MIN(IF(Summary!$D$11="Yes",-J85,0),IF(H85&gt;0,-J85,0)),"")</f>
        <v/>
      </c>
      <c r="T85" s="212" t="str">
        <f aca="false">IFERROR(IF(Summary!$D$10="Yes",-K85,""),"")</f>
        <v/>
      </c>
      <c r="U85" s="213" t="str">
        <f aca="false">IFERROR(IF(Summary!$D$12="Yes",-L85,""),"")</f>
        <v/>
      </c>
      <c r="V85" s="216" t="str">
        <f aca="false">IF('Bulk Order Details'!J95="","",SUM(R85:U85))</f>
        <v/>
      </c>
      <c r="W85" s="217" t="str">
        <f aca="false">IF('Bulk Order Details'!J95="","",D85+Q85)</f>
        <v/>
      </c>
      <c r="X85" s="218" t="str">
        <f aca="false">IF('Bulk Order Details'!J95="","",D85+Q85+V85)</f>
        <v/>
      </c>
      <c r="Y85" s="219" t="str">
        <f aca="false">IFERROR((W85-X85)/W85,"")</f>
        <v/>
      </c>
      <c r="Z85" s="220" t="str">
        <f aca="false">IF('Bulk Order Details'!J95="","",MAX(1,'Bulk Order Details'!D95))</f>
        <v/>
      </c>
      <c r="AA85" s="217" t="str">
        <f aca="false">IF(Pricing_Details[[#This Row],[Quantity]]="","",Pricing_Details[[#This Row],[Retail Price]]*Pricing_Details[[#This Row],[Quantity]])</f>
        <v/>
      </c>
      <c r="AB85" s="217" t="str">
        <f aca="false">IF(Pricing_Details[[#This Row],[Quantity]]="","",Pricing_Details[[#This Row],[Total Discount]]*Pricing_Details[[#This Row],[Quantity]])</f>
        <v/>
      </c>
      <c r="AC85" s="221" t="str">
        <f aca="false">IFERROR(ROUND(Pricing_Details[[#This Row],[Actual Price]]*Pricing_Details[[#This Row],[Quantity]],2),"")</f>
        <v/>
      </c>
      <c r="AE85" s="179" t="str">
        <f aca="false">IF('Bulk Order Details'!J95="","",VLOOKUP('Bulk Order Details'!H95,Collection[],3)&amp;VLOOKUP('Bulk Order Details'!J95,Collar[],4)&amp;VLOOKUP('Bulk Order Details'!I95,Sleeve[],4))</f>
        <v/>
      </c>
      <c r="AF85" s="179" t="str">
        <f aca="false">IF('Bulk Order Details'!J95="","",LOOKUP('Bulk Order Details'!E95,Cut[Display],Cut[Code])&amp;LOOKUP('Bulk Order Details'!F95,#REF!,#REF!)&amp;IF('Bulk Order Details'!G95="","",LOOKUP('Bulk Order Details'!G95,Length[Display],Length[Code])))</f>
        <v/>
      </c>
      <c r="AG85" s="179" t="str">
        <f aca="false">IF('Bulk Order Details'!J95="","",IF('Bulk Order Details'!C95="","",'Bulk Order Details'!C95))</f>
        <v/>
      </c>
      <c r="AH85" s="179" t="str">
        <f aca="false">IF('Bulk Order Details'!O95="","","-"&amp;LOOKUP('Bulk Order Details'!O95,#REF!,#REF!))</f>
        <v/>
      </c>
      <c r="AI85" s="179" t="str">
        <f aca="false">IF('Bulk Order Details'!P95="","","-"&amp;LOOKUP('Bulk Order Details'!P95,#REF!,#REF!))</f>
        <v/>
      </c>
      <c r="AJ85" s="179" t="str">
        <f aca="false">IF('Bulk Order Details'!Q95="","","-"&amp;LOOKUP('Bulk Order Details'!Q95,#REF!,#REF!))</f>
        <v/>
      </c>
      <c r="AK85" s="179" t="str">
        <f aca="false">IF('Bulk Order Details'!R95="","","-"&amp;LOOKUP('Bulk Order Details'!R95,#REF!,#REF!))</f>
        <v/>
      </c>
      <c r="AL85" s="179" t="str">
        <f aca="false">IF('Bulk Order Details'!S95="","","-"&amp;LOOKUP('Bulk Order Details'!S95,#REF!,#REF!))</f>
        <v/>
      </c>
      <c r="AM85" s="179" t="str">
        <f aca="false">IF(_xlfn.CONCAT(AH85:AL85)="","","Lo"&amp;_xlfn.CONCAT(AH85:AL85))</f>
        <v/>
      </c>
      <c r="AN85" s="179" t="str">
        <f aca="false">IF('Bulk Order Details'!K95="","","Na-"&amp;'Bulk Order Details'!K95)</f>
        <v/>
      </c>
      <c r="AO85" s="179" t="str">
        <f aca="false">IF('Bulk Order Details'!N95="","","Fo-"&amp;'Bulk Order Details'!N95)</f>
        <v/>
      </c>
      <c r="AP85" s="179" t="str">
        <f aca="false">IF(AE85="","",AE85&amp;"_"&amp;AF85&amp;"_"&amp;AG85&amp;IF(AM85="","","_"&amp;AM85)&amp;IF(AN85="","","_"&amp;AN85)&amp;IF(AO85="","","_"&amp;AO85))</f>
        <v/>
      </c>
      <c r="AQ85" s="218" t="str">
        <f aca="false">IF(X85="","",X85)</f>
        <v/>
      </c>
    </row>
    <row r="86" customFormat="false" ht="15" hidden="false" customHeight="true" outlineLevel="0" collapsed="false">
      <c r="B86" s="209" t="n">
        <f aca="false">'Bulk Order Details'!B96</f>
        <v>83</v>
      </c>
      <c r="C86" s="209" t="e">
        <f aca="false">IF('bulk order details'!#ref!="","",'bulk order details'!#ref!&amp;" "&amp;'bulk order details'!#ref!)</f>
        <v>#VALUE!</v>
      </c>
      <c r="D86" s="210" t="str">
        <f aca="false">IF('Bulk Order Details'!J96="","",VLOOKUP(1,Price[],3))</f>
        <v/>
      </c>
      <c r="E86" s="211" t="str">
        <f aca="false">IF('Bulk Order Details'!J96="","",Summary!$D$9)</f>
        <v/>
      </c>
      <c r="F86" s="212" t="str">
        <f aca="false">IF('Bulk Order Details'!F96="","",_xlfn.xlookup('Bulk Order Details'!F96,Size[Display],Size[Price]))</f>
        <v/>
      </c>
      <c r="G86" s="212" t="str">
        <f aca="false">IF('Bulk Order Details'!G96="","",_xlfn.xlookup('Bulk Order Details'!G96,Length[Display],Length[Price]))</f>
        <v/>
      </c>
      <c r="H86" s="212" t="str">
        <f aca="false">IF('Bulk Order Details'!H96="","",_xlfn.xlookup('Bulk Order Details'!H96,Collection[Display],Collection[Price]))</f>
        <v/>
      </c>
      <c r="I86" s="212" t="str">
        <f aca="false">IF('Bulk Order Details'!I96="","",_xlfn.xlookup('Bulk Order Details'!I96,Sleeve[Display],Sleeve[Price]))</f>
        <v/>
      </c>
      <c r="J86" s="212" t="str">
        <f aca="false">IF('Bulk Order Details'!J96="","",_xlfn.xlookup('Bulk Order Details'!J96,Collar[Display],Collar[Price]))</f>
        <v/>
      </c>
      <c r="K86" s="212" t="str">
        <f aca="false">IF('Bulk Order Details'!K96="","",_xlfn.xlookup("Name",Name[Name],Name[Price]))</f>
        <v/>
      </c>
      <c r="L86" s="213" t="str">
        <f aca="false">IFERROR(IF('Bulk Order Details'!O96="","",IF(_xlfn.xlookup('Bulk Order Details'!O96,Logos[Display],Logos[Use])="Flat",_xlfn.xlookup('Bulk Order Details'!O96,Logos[Display],Logos[Flat]),ROUND(_xlfn.xlookup('Bulk Order Details'!O96,Logos[Display],Logos[Pct])*$E86,2))),"")</f>
        <v/>
      </c>
      <c r="M86" s="222" t="str">
        <f aca="false">IFERROR(IF('Bulk Order Details'!P96="","",IF(_xlfn.xlookup('Bulk Order Details'!P96,Chest[Display],Chest[Use])="Flat",_xlfn.xlookup('Bulk Order Details'!P96,Chest[Display],Chest[Flat]),ROUND(_xlfn.xlookup('Bulk Order Details'!P96,Chest[Display],Chest[Pct])*$E86,2))),"")</f>
        <v/>
      </c>
      <c r="N86" s="222" t="str">
        <f aca="false">IFERROR(IF('Bulk Order Details'!Q96="","",IF(_xlfn.xlookup('Bulk Order Details'!Q96,Chest[Display],Chest[Use])="Flat",_xlfn.xlookup('Bulk Order Details'!Q96,Chest[Display],Chest[Flat]),ROUND(_xlfn.xlookup('Bulk Order Details'!Q96,Chest[Display],Chest[Pct])*$E86,2))),"")</f>
        <v/>
      </c>
      <c r="O86" s="222" t="str">
        <f aca="false">IFERROR(IF('Bulk Order Details'!R96="","",IF(_xlfn.xlookup('Bulk Order Details'!R96,LeftSleeve[Display],LeftSleeve[Use])="Flat",_xlfn.xlookup('Bulk Order Details'!R96,LeftSleeve[Display],LeftSleeve[Flat]),ROUND(_xlfn.xlookup('Bulk Order Details'!R96,LeftSleeve[Display],LeftSleeve[Pct])*$E86,2))),"")</f>
        <v/>
      </c>
      <c r="P86" s="222" t="str">
        <f aca="false">IFERROR(IF('Bulk Order Details'!S96="","",IF(_xlfn.xlookup('Bulk Order Details'!S96,RightSleeve[Display],RightSleeve[Use])="Flat",_xlfn.xlookup('Bulk Order Details'!S96,RightSleeve[Display],RightSleeve[Flat]),ROUND(_xlfn.xlookup('Bulk Order Details'!S96,RightSleeve[Display],RightSleeve[Pct])*$E86,2))),"")</f>
        <v/>
      </c>
      <c r="Q86" s="214" t="str">
        <f aca="false">IF('Bulk Order Details'!J96="","",SUM(F86:P86))</f>
        <v/>
      </c>
      <c r="R86" s="213" t="str">
        <f aca="false">IFERROR(E86-D86,"")</f>
        <v/>
      </c>
      <c r="S86" s="215" t="str">
        <f aca="false">IFERROR(MIN(IF(Summary!$D$11="Yes",-J86,0),IF(H86&gt;0,-J86,0)),"")</f>
        <v/>
      </c>
      <c r="T86" s="212" t="str">
        <f aca="false">IFERROR(IF(Summary!$D$10="Yes",-K86,""),"")</f>
        <v/>
      </c>
      <c r="U86" s="213" t="str">
        <f aca="false">IFERROR(IF(Summary!$D$12="Yes",-L86,""),"")</f>
        <v/>
      </c>
      <c r="V86" s="216" t="str">
        <f aca="false">IF('Bulk Order Details'!J96="","",SUM(R86:U86))</f>
        <v/>
      </c>
      <c r="W86" s="217" t="str">
        <f aca="false">IF('Bulk Order Details'!J96="","",D86+Q86)</f>
        <v/>
      </c>
      <c r="X86" s="218" t="str">
        <f aca="false">IF('Bulk Order Details'!J96="","",D86+Q86+V86)</f>
        <v/>
      </c>
      <c r="Y86" s="219" t="str">
        <f aca="false">IFERROR((W86-X86)/W86,"")</f>
        <v/>
      </c>
      <c r="Z86" s="220" t="str">
        <f aca="false">IF('Bulk Order Details'!J96="","",MAX(1,'Bulk Order Details'!D96))</f>
        <v/>
      </c>
      <c r="AA86" s="217" t="str">
        <f aca="false">IF(Pricing_Details[[#This Row],[Quantity]]="","",Pricing_Details[[#This Row],[Retail Price]]*Pricing_Details[[#This Row],[Quantity]])</f>
        <v/>
      </c>
      <c r="AB86" s="217" t="str">
        <f aca="false">IF(Pricing_Details[[#This Row],[Quantity]]="","",Pricing_Details[[#This Row],[Total Discount]]*Pricing_Details[[#This Row],[Quantity]])</f>
        <v/>
      </c>
      <c r="AC86" s="221" t="str">
        <f aca="false">IFERROR(ROUND(Pricing_Details[[#This Row],[Actual Price]]*Pricing_Details[[#This Row],[Quantity]],2),"")</f>
        <v/>
      </c>
      <c r="AE86" s="179" t="str">
        <f aca="false">IF('Bulk Order Details'!J96="","",VLOOKUP('Bulk Order Details'!H96,Collection[],3)&amp;VLOOKUP('Bulk Order Details'!J96,Collar[],4)&amp;VLOOKUP('Bulk Order Details'!I96,Sleeve[],4))</f>
        <v/>
      </c>
      <c r="AF86" s="179" t="str">
        <f aca="false">IF('Bulk Order Details'!J96="","",LOOKUP('Bulk Order Details'!E96,Cut[Display],Cut[Code])&amp;LOOKUP('Bulk Order Details'!F96,#REF!,#REF!)&amp;IF('Bulk Order Details'!G96="","",LOOKUP('Bulk Order Details'!G96,Length[Display],Length[Code])))</f>
        <v/>
      </c>
      <c r="AG86" s="179" t="str">
        <f aca="false">IF('Bulk Order Details'!J96="","",IF('Bulk Order Details'!C96="","",'Bulk Order Details'!C96))</f>
        <v/>
      </c>
      <c r="AH86" s="179" t="str">
        <f aca="false">IF('Bulk Order Details'!O96="","","-"&amp;LOOKUP('Bulk Order Details'!O96,#REF!,#REF!))</f>
        <v/>
      </c>
      <c r="AI86" s="179" t="str">
        <f aca="false">IF('Bulk Order Details'!P96="","","-"&amp;LOOKUP('Bulk Order Details'!P96,#REF!,#REF!))</f>
        <v/>
      </c>
      <c r="AJ86" s="179" t="str">
        <f aca="false">IF('Bulk Order Details'!Q96="","","-"&amp;LOOKUP('Bulk Order Details'!Q96,#REF!,#REF!))</f>
        <v/>
      </c>
      <c r="AK86" s="179" t="str">
        <f aca="false">IF('Bulk Order Details'!R96="","","-"&amp;LOOKUP('Bulk Order Details'!R96,#REF!,#REF!))</f>
        <v/>
      </c>
      <c r="AL86" s="179" t="str">
        <f aca="false">IF('Bulk Order Details'!S96="","","-"&amp;LOOKUP('Bulk Order Details'!S96,#REF!,#REF!))</f>
        <v/>
      </c>
      <c r="AM86" s="179" t="str">
        <f aca="false">IF(_xlfn.CONCAT(AH86:AL86)="","","Lo"&amp;_xlfn.CONCAT(AH86:AL86))</f>
        <v/>
      </c>
      <c r="AN86" s="179" t="str">
        <f aca="false">IF('Bulk Order Details'!K96="","","Na-"&amp;'Bulk Order Details'!K96)</f>
        <v/>
      </c>
      <c r="AO86" s="179" t="str">
        <f aca="false">IF('Bulk Order Details'!N96="","","Fo-"&amp;'Bulk Order Details'!N96)</f>
        <v/>
      </c>
      <c r="AP86" s="179" t="str">
        <f aca="false">IF(AE86="","",AE86&amp;"_"&amp;AF86&amp;"_"&amp;AG86&amp;IF(AM86="","","_"&amp;AM86)&amp;IF(AN86="","","_"&amp;AN86)&amp;IF(AO86="","","_"&amp;AO86))</f>
        <v/>
      </c>
      <c r="AQ86" s="218" t="str">
        <f aca="false">IF(X86="","",X86)</f>
        <v/>
      </c>
    </row>
    <row r="87" customFormat="false" ht="15" hidden="false" customHeight="true" outlineLevel="0" collapsed="false">
      <c r="B87" s="209" t="n">
        <f aca="false">'Bulk Order Details'!B97</f>
        <v>84</v>
      </c>
      <c r="C87" s="209" t="e">
        <f aca="false">IF('bulk order details'!#ref!="","",'bulk order details'!#ref!&amp;" "&amp;'bulk order details'!#ref!)</f>
        <v>#VALUE!</v>
      </c>
      <c r="D87" s="210" t="str">
        <f aca="false">IF('Bulk Order Details'!J97="","",VLOOKUP(1,Price[],3))</f>
        <v/>
      </c>
      <c r="E87" s="211" t="str">
        <f aca="false">IF('Bulk Order Details'!J97="","",Summary!$D$9)</f>
        <v/>
      </c>
      <c r="F87" s="212" t="str">
        <f aca="false">IF('Bulk Order Details'!F97="","",_xlfn.xlookup('Bulk Order Details'!F97,Size[Display],Size[Price]))</f>
        <v/>
      </c>
      <c r="G87" s="212" t="str">
        <f aca="false">IF('Bulk Order Details'!G97="","",_xlfn.xlookup('Bulk Order Details'!G97,Length[Display],Length[Price]))</f>
        <v/>
      </c>
      <c r="H87" s="212" t="str">
        <f aca="false">IF('Bulk Order Details'!H97="","",_xlfn.xlookup('Bulk Order Details'!H97,Collection[Display],Collection[Price]))</f>
        <v/>
      </c>
      <c r="I87" s="212" t="str">
        <f aca="false">IF('Bulk Order Details'!I97="","",_xlfn.xlookup('Bulk Order Details'!I97,Sleeve[Display],Sleeve[Price]))</f>
        <v/>
      </c>
      <c r="J87" s="212" t="str">
        <f aca="false">IF('Bulk Order Details'!J97="","",_xlfn.xlookup('Bulk Order Details'!J97,Collar[Display],Collar[Price]))</f>
        <v/>
      </c>
      <c r="K87" s="212" t="str">
        <f aca="false">IF('Bulk Order Details'!K97="","",_xlfn.xlookup("Name",Name[Name],Name[Price]))</f>
        <v/>
      </c>
      <c r="L87" s="213" t="str">
        <f aca="false">IFERROR(IF('Bulk Order Details'!O97="","",IF(_xlfn.xlookup('Bulk Order Details'!O97,Logos[Display],Logos[Use])="Flat",_xlfn.xlookup('Bulk Order Details'!O97,Logos[Display],Logos[Flat]),ROUND(_xlfn.xlookup('Bulk Order Details'!O97,Logos[Display],Logos[Pct])*$E87,2))),"")</f>
        <v/>
      </c>
      <c r="M87" s="222" t="str">
        <f aca="false">IFERROR(IF('Bulk Order Details'!P97="","",IF(_xlfn.xlookup('Bulk Order Details'!P97,Chest[Display],Chest[Use])="Flat",_xlfn.xlookup('Bulk Order Details'!P97,Chest[Display],Chest[Flat]),ROUND(_xlfn.xlookup('Bulk Order Details'!P97,Chest[Display],Chest[Pct])*$E87,2))),"")</f>
        <v/>
      </c>
      <c r="N87" s="222" t="str">
        <f aca="false">IFERROR(IF('Bulk Order Details'!Q97="","",IF(_xlfn.xlookup('Bulk Order Details'!Q97,Chest[Display],Chest[Use])="Flat",_xlfn.xlookup('Bulk Order Details'!Q97,Chest[Display],Chest[Flat]),ROUND(_xlfn.xlookup('Bulk Order Details'!Q97,Chest[Display],Chest[Pct])*$E87,2))),"")</f>
        <v/>
      </c>
      <c r="O87" s="222" t="str">
        <f aca="false">IFERROR(IF('Bulk Order Details'!R97="","",IF(_xlfn.xlookup('Bulk Order Details'!R97,LeftSleeve[Display],LeftSleeve[Use])="Flat",_xlfn.xlookup('Bulk Order Details'!R97,LeftSleeve[Display],LeftSleeve[Flat]),ROUND(_xlfn.xlookup('Bulk Order Details'!R97,LeftSleeve[Display],LeftSleeve[Pct])*$E87,2))),"")</f>
        <v/>
      </c>
      <c r="P87" s="222" t="str">
        <f aca="false">IFERROR(IF('Bulk Order Details'!S97="","",IF(_xlfn.xlookup('Bulk Order Details'!S97,RightSleeve[Display],RightSleeve[Use])="Flat",_xlfn.xlookup('Bulk Order Details'!S97,RightSleeve[Display],RightSleeve[Flat]),ROUND(_xlfn.xlookup('Bulk Order Details'!S97,RightSleeve[Display],RightSleeve[Pct])*$E87,2))),"")</f>
        <v/>
      </c>
      <c r="Q87" s="214" t="str">
        <f aca="false">IF('Bulk Order Details'!J97="","",SUM(F87:P87))</f>
        <v/>
      </c>
      <c r="R87" s="213" t="str">
        <f aca="false">IFERROR(E87-D87,"")</f>
        <v/>
      </c>
      <c r="S87" s="215" t="str">
        <f aca="false">IFERROR(MIN(IF(Summary!$D$11="Yes",-J87,0),IF(H87&gt;0,-J87,0)),"")</f>
        <v/>
      </c>
      <c r="T87" s="212" t="str">
        <f aca="false">IFERROR(IF(Summary!$D$10="Yes",-K87,""),"")</f>
        <v/>
      </c>
      <c r="U87" s="213" t="str">
        <f aca="false">IFERROR(IF(Summary!$D$12="Yes",-L87,""),"")</f>
        <v/>
      </c>
      <c r="V87" s="216" t="str">
        <f aca="false">IF('Bulk Order Details'!J97="","",SUM(R87:U87))</f>
        <v/>
      </c>
      <c r="W87" s="217" t="str">
        <f aca="false">IF('Bulk Order Details'!J97="","",D87+Q87)</f>
        <v/>
      </c>
      <c r="X87" s="218" t="str">
        <f aca="false">IF('Bulk Order Details'!J97="","",D87+Q87+V87)</f>
        <v/>
      </c>
      <c r="Y87" s="219" t="str">
        <f aca="false">IFERROR((W87-X87)/W87,"")</f>
        <v/>
      </c>
      <c r="Z87" s="220" t="str">
        <f aca="false">IF('Bulk Order Details'!J97="","",MAX(1,'Bulk Order Details'!D97))</f>
        <v/>
      </c>
      <c r="AA87" s="217" t="str">
        <f aca="false">IF(Pricing_Details[[#This Row],[Quantity]]="","",Pricing_Details[[#This Row],[Retail Price]]*Pricing_Details[[#This Row],[Quantity]])</f>
        <v/>
      </c>
      <c r="AB87" s="217" t="str">
        <f aca="false">IF(Pricing_Details[[#This Row],[Quantity]]="","",Pricing_Details[[#This Row],[Total Discount]]*Pricing_Details[[#This Row],[Quantity]])</f>
        <v/>
      </c>
      <c r="AC87" s="221" t="str">
        <f aca="false">IFERROR(ROUND(Pricing_Details[[#This Row],[Actual Price]]*Pricing_Details[[#This Row],[Quantity]],2),"")</f>
        <v/>
      </c>
      <c r="AE87" s="179" t="str">
        <f aca="false">IF('Bulk Order Details'!J97="","",VLOOKUP('Bulk Order Details'!H97,Collection[],3)&amp;VLOOKUP('Bulk Order Details'!J97,Collar[],4)&amp;VLOOKUP('Bulk Order Details'!I97,Sleeve[],4))</f>
        <v/>
      </c>
      <c r="AF87" s="179" t="str">
        <f aca="false">IF('Bulk Order Details'!J97="","",LOOKUP('Bulk Order Details'!E97,Cut[Display],Cut[Code])&amp;LOOKUP('Bulk Order Details'!F97,#REF!,#REF!)&amp;IF('Bulk Order Details'!G97="","",LOOKUP('Bulk Order Details'!G97,Length[Display],Length[Code])))</f>
        <v/>
      </c>
      <c r="AG87" s="179" t="str">
        <f aca="false">IF('Bulk Order Details'!J97="","",IF('Bulk Order Details'!C97="","",'Bulk Order Details'!C97))</f>
        <v/>
      </c>
      <c r="AH87" s="179" t="str">
        <f aca="false">IF('Bulk Order Details'!O97="","","-"&amp;LOOKUP('Bulk Order Details'!O97,#REF!,#REF!))</f>
        <v/>
      </c>
      <c r="AI87" s="179" t="str">
        <f aca="false">IF('Bulk Order Details'!P97="","","-"&amp;LOOKUP('Bulk Order Details'!P97,#REF!,#REF!))</f>
        <v/>
      </c>
      <c r="AJ87" s="179" t="str">
        <f aca="false">IF('Bulk Order Details'!Q97="","","-"&amp;LOOKUP('Bulk Order Details'!Q97,#REF!,#REF!))</f>
        <v/>
      </c>
      <c r="AK87" s="179" t="str">
        <f aca="false">IF('Bulk Order Details'!R97="","","-"&amp;LOOKUP('Bulk Order Details'!R97,#REF!,#REF!))</f>
        <v/>
      </c>
      <c r="AL87" s="179" t="str">
        <f aca="false">IF('Bulk Order Details'!S97="","","-"&amp;LOOKUP('Bulk Order Details'!S97,#REF!,#REF!))</f>
        <v/>
      </c>
      <c r="AM87" s="179" t="str">
        <f aca="false">IF(_xlfn.CONCAT(AH87:AL87)="","","Lo"&amp;_xlfn.CONCAT(AH87:AL87))</f>
        <v/>
      </c>
      <c r="AN87" s="179" t="str">
        <f aca="false">IF('Bulk Order Details'!K97="","","Na-"&amp;'Bulk Order Details'!K97)</f>
        <v/>
      </c>
      <c r="AO87" s="179" t="str">
        <f aca="false">IF('Bulk Order Details'!N97="","","Fo-"&amp;'Bulk Order Details'!N97)</f>
        <v/>
      </c>
      <c r="AP87" s="179" t="str">
        <f aca="false">IF(AE87="","",AE87&amp;"_"&amp;AF87&amp;"_"&amp;AG87&amp;IF(AM87="","","_"&amp;AM87)&amp;IF(AN87="","","_"&amp;AN87)&amp;IF(AO87="","","_"&amp;AO87))</f>
        <v/>
      </c>
      <c r="AQ87" s="218" t="str">
        <f aca="false">IF(X87="","",X87)</f>
        <v/>
      </c>
    </row>
    <row r="88" customFormat="false" ht="15" hidden="false" customHeight="true" outlineLevel="0" collapsed="false">
      <c r="B88" s="209" t="n">
        <f aca="false">'Bulk Order Details'!B98</f>
        <v>85</v>
      </c>
      <c r="C88" s="209" t="e">
        <f aca="false">IF('bulk order details'!#ref!="","",'bulk order details'!#ref!&amp;" "&amp;'bulk order details'!#ref!)</f>
        <v>#VALUE!</v>
      </c>
      <c r="D88" s="210" t="str">
        <f aca="false">IF('Bulk Order Details'!J98="","",VLOOKUP(1,Price[],3))</f>
        <v/>
      </c>
      <c r="E88" s="211" t="str">
        <f aca="false">IF('Bulk Order Details'!J98="","",Summary!$D$9)</f>
        <v/>
      </c>
      <c r="F88" s="212" t="str">
        <f aca="false">IF('Bulk Order Details'!F98="","",_xlfn.xlookup('Bulk Order Details'!F98,Size[Display],Size[Price]))</f>
        <v/>
      </c>
      <c r="G88" s="212" t="str">
        <f aca="false">IF('Bulk Order Details'!G98="","",_xlfn.xlookup('Bulk Order Details'!G98,Length[Display],Length[Price]))</f>
        <v/>
      </c>
      <c r="H88" s="212" t="str">
        <f aca="false">IF('Bulk Order Details'!H98="","",_xlfn.xlookup('Bulk Order Details'!H98,Collection[Display],Collection[Price]))</f>
        <v/>
      </c>
      <c r="I88" s="212" t="str">
        <f aca="false">IF('Bulk Order Details'!I98="","",_xlfn.xlookup('Bulk Order Details'!I98,Sleeve[Display],Sleeve[Price]))</f>
        <v/>
      </c>
      <c r="J88" s="212" t="str">
        <f aca="false">IF('Bulk Order Details'!J98="","",_xlfn.xlookup('Bulk Order Details'!J98,Collar[Display],Collar[Price]))</f>
        <v/>
      </c>
      <c r="K88" s="212" t="str">
        <f aca="false">IF('Bulk Order Details'!K98="","",_xlfn.xlookup("Name",Name[Name],Name[Price]))</f>
        <v/>
      </c>
      <c r="L88" s="213" t="str">
        <f aca="false">IFERROR(IF('Bulk Order Details'!O98="","",IF(_xlfn.xlookup('Bulk Order Details'!O98,Logos[Display],Logos[Use])="Flat",_xlfn.xlookup('Bulk Order Details'!O98,Logos[Display],Logos[Flat]),ROUND(_xlfn.xlookup('Bulk Order Details'!O98,Logos[Display],Logos[Pct])*$E88,2))),"")</f>
        <v/>
      </c>
      <c r="M88" s="222" t="str">
        <f aca="false">IFERROR(IF('Bulk Order Details'!P98="","",IF(_xlfn.xlookup('Bulk Order Details'!P98,Chest[Display],Chest[Use])="Flat",_xlfn.xlookup('Bulk Order Details'!P98,Chest[Display],Chest[Flat]),ROUND(_xlfn.xlookup('Bulk Order Details'!P98,Chest[Display],Chest[Pct])*$E88,2))),"")</f>
        <v/>
      </c>
      <c r="N88" s="222" t="str">
        <f aca="false">IFERROR(IF('Bulk Order Details'!Q98="","",IF(_xlfn.xlookup('Bulk Order Details'!Q98,Chest[Display],Chest[Use])="Flat",_xlfn.xlookup('Bulk Order Details'!Q98,Chest[Display],Chest[Flat]),ROUND(_xlfn.xlookup('Bulk Order Details'!Q98,Chest[Display],Chest[Pct])*$E88,2))),"")</f>
        <v/>
      </c>
      <c r="O88" s="222" t="str">
        <f aca="false">IFERROR(IF('Bulk Order Details'!R98="","",IF(_xlfn.xlookup('Bulk Order Details'!R98,LeftSleeve[Display],LeftSleeve[Use])="Flat",_xlfn.xlookup('Bulk Order Details'!R98,LeftSleeve[Display],LeftSleeve[Flat]),ROUND(_xlfn.xlookup('Bulk Order Details'!R98,LeftSleeve[Display],LeftSleeve[Pct])*$E88,2))),"")</f>
        <v/>
      </c>
      <c r="P88" s="222" t="str">
        <f aca="false">IFERROR(IF('Bulk Order Details'!S98="","",IF(_xlfn.xlookup('Bulk Order Details'!S98,RightSleeve[Display],RightSleeve[Use])="Flat",_xlfn.xlookup('Bulk Order Details'!S98,RightSleeve[Display],RightSleeve[Flat]),ROUND(_xlfn.xlookup('Bulk Order Details'!S98,RightSleeve[Display],RightSleeve[Pct])*$E88,2))),"")</f>
        <v/>
      </c>
      <c r="Q88" s="214" t="str">
        <f aca="false">IF('Bulk Order Details'!J98="","",SUM(F88:P88))</f>
        <v/>
      </c>
      <c r="R88" s="213" t="str">
        <f aca="false">IFERROR(E88-D88,"")</f>
        <v/>
      </c>
      <c r="S88" s="215" t="str">
        <f aca="false">IFERROR(MIN(IF(Summary!$D$11="Yes",-J88,0),IF(H88&gt;0,-J88,0)),"")</f>
        <v/>
      </c>
      <c r="T88" s="212" t="str">
        <f aca="false">IFERROR(IF(Summary!$D$10="Yes",-K88,""),"")</f>
        <v/>
      </c>
      <c r="U88" s="213" t="str">
        <f aca="false">IFERROR(IF(Summary!$D$12="Yes",-L88,""),"")</f>
        <v/>
      </c>
      <c r="V88" s="216" t="str">
        <f aca="false">IF('Bulk Order Details'!J98="","",SUM(R88:U88))</f>
        <v/>
      </c>
      <c r="W88" s="217" t="str">
        <f aca="false">IF('Bulk Order Details'!J98="","",D88+Q88)</f>
        <v/>
      </c>
      <c r="X88" s="218" t="str">
        <f aca="false">IF('Bulk Order Details'!J98="","",D88+Q88+V88)</f>
        <v/>
      </c>
      <c r="Y88" s="219" t="str">
        <f aca="false">IFERROR((W88-X88)/W88,"")</f>
        <v/>
      </c>
      <c r="Z88" s="220" t="str">
        <f aca="false">IF('Bulk Order Details'!J98="","",MAX(1,'Bulk Order Details'!D98))</f>
        <v/>
      </c>
      <c r="AA88" s="217" t="str">
        <f aca="false">IF(Pricing_Details[[#This Row],[Quantity]]="","",Pricing_Details[[#This Row],[Retail Price]]*Pricing_Details[[#This Row],[Quantity]])</f>
        <v/>
      </c>
      <c r="AB88" s="217" t="str">
        <f aca="false">IF(Pricing_Details[[#This Row],[Quantity]]="","",Pricing_Details[[#This Row],[Total Discount]]*Pricing_Details[[#This Row],[Quantity]])</f>
        <v/>
      </c>
      <c r="AC88" s="221" t="str">
        <f aca="false">IFERROR(ROUND(Pricing_Details[[#This Row],[Actual Price]]*Pricing_Details[[#This Row],[Quantity]],2),"")</f>
        <v/>
      </c>
      <c r="AE88" s="179" t="str">
        <f aca="false">IF('Bulk Order Details'!J98="","",VLOOKUP('Bulk Order Details'!H98,Collection[],3)&amp;VLOOKUP('Bulk Order Details'!J98,Collar[],4)&amp;VLOOKUP('Bulk Order Details'!I98,Sleeve[],4))</f>
        <v/>
      </c>
      <c r="AF88" s="179" t="str">
        <f aca="false">IF('Bulk Order Details'!J98="","",LOOKUP('Bulk Order Details'!E98,Cut[Display],Cut[Code])&amp;LOOKUP('Bulk Order Details'!F98,#REF!,#REF!)&amp;IF('Bulk Order Details'!G98="","",LOOKUP('Bulk Order Details'!G98,Length[Display],Length[Code])))</f>
        <v/>
      </c>
      <c r="AG88" s="179" t="str">
        <f aca="false">IF('Bulk Order Details'!J98="","",IF('Bulk Order Details'!C98="","",'Bulk Order Details'!C98))</f>
        <v/>
      </c>
      <c r="AH88" s="179" t="str">
        <f aca="false">IF('Bulk Order Details'!O98="","","-"&amp;LOOKUP('Bulk Order Details'!O98,#REF!,#REF!))</f>
        <v/>
      </c>
      <c r="AI88" s="179" t="str">
        <f aca="false">IF('Bulk Order Details'!P98="","","-"&amp;LOOKUP('Bulk Order Details'!P98,#REF!,#REF!))</f>
        <v/>
      </c>
      <c r="AJ88" s="179" t="str">
        <f aca="false">IF('Bulk Order Details'!Q98="","","-"&amp;LOOKUP('Bulk Order Details'!Q98,#REF!,#REF!))</f>
        <v/>
      </c>
      <c r="AK88" s="179" t="str">
        <f aca="false">IF('Bulk Order Details'!R98="","","-"&amp;LOOKUP('Bulk Order Details'!R98,#REF!,#REF!))</f>
        <v/>
      </c>
      <c r="AL88" s="179" t="str">
        <f aca="false">IF('Bulk Order Details'!S98="","","-"&amp;LOOKUP('Bulk Order Details'!S98,#REF!,#REF!))</f>
        <v/>
      </c>
      <c r="AM88" s="179" t="str">
        <f aca="false">IF(_xlfn.CONCAT(AH88:AL88)="","","Lo"&amp;_xlfn.CONCAT(AH88:AL88))</f>
        <v/>
      </c>
      <c r="AN88" s="179" t="str">
        <f aca="false">IF('Bulk Order Details'!K98="","","Na-"&amp;'Bulk Order Details'!K98)</f>
        <v/>
      </c>
      <c r="AO88" s="179" t="str">
        <f aca="false">IF('Bulk Order Details'!N98="","","Fo-"&amp;'Bulk Order Details'!N98)</f>
        <v/>
      </c>
      <c r="AP88" s="179" t="str">
        <f aca="false">IF(AE88="","",AE88&amp;"_"&amp;AF88&amp;"_"&amp;AG88&amp;IF(AM88="","","_"&amp;AM88)&amp;IF(AN88="","","_"&amp;AN88)&amp;IF(AO88="","","_"&amp;AO88))</f>
        <v/>
      </c>
      <c r="AQ88" s="218" t="str">
        <f aca="false">IF(X88="","",X88)</f>
        <v/>
      </c>
    </row>
    <row r="89" customFormat="false" ht="15" hidden="false" customHeight="true" outlineLevel="0" collapsed="false">
      <c r="B89" s="209" t="n">
        <f aca="false">'Bulk Order Details'!B99</f>
        <v>86</v>
      </c>
      <c r="C89" s="209" t="e">
        <f aca="false">IF('bulk order details'!#ref!="","",'bulk order details'!#ref!&amp;" "&amp;'bulk order details'!#ref!)</f>
        <v>#VALUE!</v>
      </c>
      <c r="D89" s="210" t="str">
        <f aca="false">IF('Bulk Order Details'!J99="","",VLOOKUP(1,Price[],3))</f>
        <v/>
      </c>
      <c r="E89" s="211" t="str">
        <f aca="false">IF('Bulk Order Details'!J99="","",Summary!$D$9)</f>
        <v/>
      </c>
      <c r="F89" s="212" t="str">
        <f aca="false">IF('Bulk Order Details'!F99="","",_xlfn.xlookup('Bulk Order Details'!F99,Size[Display],Size[Price]))</f>
        <v/>
      </c>
      <c r="G89" s="212" t="str">
        <f aca="false">IF('Bulk Order Details'!G99="","",_xlfn.xlookup('Bulk Order Details'!G99,Length[Display],Length[Price]))</f>
        <v/>
      </c>
      <c r="H89" s="212" t="str">
        <f aca="false">IF('Bulk Order Details'!H99="","",_xlfn.xlookup('Bulk Order Details'!H99,Collection[Display],Collection[Price]))</f>
        <v/>
      </c>
      <c r="I89" s="212" t="str">
        <f aca="false">IF('Bulk Order Details'!I99="","",_xlfn.xlookup('Bulk Order Details'!I99,Sleeve[Display],Sleeve[Price]))</f>
        <v/>
      </c>
      <c r="J89" s="212" t="str">
        <f aca="false">IF('Bulk Order Details'!J99="","",_xlfn.xlookup('Bulk Order Details'!J99,Collar[Display],Collar[Price]))</f>
        <v/>
      </c>
      <c r="K89" s="212" t="str">
        <f aca="false">IF('Bulk Order Details'!K99="","",_xlfn.xlookup("Name",Name[Name],Name[Price]))</f>
        <v/>
      </c>
      <c r="L89" s="213" t="str">
        <f aca="false">IFERROR(IF('Bulk Order Details'!O99="","",IF(_xlfn.xlookup('Bulk Order Details'!O99,Logos[Display],Logos[Use])="Flat",_xlfn.xlookup('Bulk Order Details'!O99,Logos[Display],Logos[Flat]),ROUND(_xlfn.xlookup('Bulk Order Details'!O99,Logos[Display],Logos[Pct])*$E89,2))),"")</f>
        <v/>
      </c>
      <c r="M89" s="222" t="str">
        <f aca="false">IFERROR(IF('Bulk Order Details'!P99="","",IF(_xlfn.xlookup('Bulk Order Details'!P99,Chest[Display],Chest[Use])="Flat",_xlfn.xlookup('Bulk Order Details'!P99,Chest[Display],Chest[Flat]),ROUND(_xlfn.xlookup('Bulk Order Details'!P99,Chest[Display],Chest[Pct])*$E89,2))),"")</f>
        <v/>
      </c>
      <c r="N89" s="222" t="str">
        <f aca="false">IFERROR(IF('Bulk Order Details'!Q99="","",IF(_xlfn.xlookup('Bulk Order Details'!Q99,Chest[Display],Chest[Use])="Flat",_xlfn.xlookup('Bulk Order Details'!Q99,Chest[Display],Chest[Flat]),ROUND(_xlfn.xlookup('Bulk Order Details'!Q99,Chest[Display],Chest[Pct])*$E89,2))),"")</f>
        <v/>
      </c>
      <c r="O89" s="222" t="str">
        <f aca="false">IFERROR(IF('Bulk Order Details'!R99="","",IF(_xlfn.xlookup('Bulk Order Details'!R99,LeftSleeve[Display],LeftSleeve[Use])="Flat",_xlfn.xlookup('Bulk Order Details'!R99,LeftSleeve[Display],LeftSleeve[Flat]),ROUND(_xlfn.xlookup('Bulk Order Details'!R99,LeftSleeve[Display],LeftSleeve[Pct])*$E89,2))),"")</f>
        <v/>
      </c>
      <c r="P89" s="222" t="str">
        <f aca="false">IFERROR(IF('Bulk Order Details'!S99="","",IF(_xlfn.xlookup('Bulk Order Details'!S99,RightSleeve[Display],RightSleeve[Use])="Flat",_xlfn.xlookup('Bulk Order Details'!S99,RightSleeve[Display],RightSleeve[Flat]),ROUND(_xlfn.xlookup('Bulk Order Details'!S99,RightSleeve[Display],RightSleeve[Pct])*$E89,2))),"")</f>
        <v/>
      </c>
      <c r="Q89" s="214" t="str">
        <f aca="false">IF('Bulk Order Details'!J99="","",SUM(F89:P89))</f>
        <v/>
      </c>
      <c r="R89" s="213" t="str">
        <f aca="false">IFERROR(E89-D89,"")</f>
        <v/>
      </c>
      <c r="S89" s="215" t="str">
        <f aca="false">IFERROR(MIN(IF(Summary!$D$11="Yes",-J89,0),IF(H89&gt;0,-J89,0)),"")</f>
        <v/>
      </c>
      <c r="T89" s="212" t="str">
        <f aca="false">IFERROR(IF(Summary!$D$10="Yes",-K89,""),"")</f>
        <v/>
      </c>
      <c r="U89" s="213" t="str">
        <f aca="false">IFERROR(IF(Summary!$D$12="Yes",-L89,""),"")</f>
        <v/>
      </c>
      <c r="V89" s="216" t="str">
        <f aca="false">IF('Bulk Order Details'!J99="","",SUM(R89:U89))</f>
        <v/>
      </c>
      <c r="W89" s="217" t="str">
        <f aca="false">IF('Bulk Order Details'!J99="","",D89+Q89)</f>
        <v/>
      </c>
      <c r="X89" s="218" t="str">
        <f aca="false">IF('Bulk Order Details'!J99="","",D89+Q89+V89)</f>
        <v/>
      </c>
      <c r="Y89" s="219" t="str">
        <f aca="false">IFERROR((W89-X89)/W89,"")</f>
        <v/>
      </c>
      <c r="Z89" s="220" t="str">
        <f aca="false">IF('Bulk Order Details'!J99="","",MAX(1,'Bulk Order Details'!D99))</f>
        <v/>
      </c>
      <c r="AA89" s="217" t="str">
        <f aca="false">IF(Pricing_Details[[#This Row],[Quantity]]="","",Pricing_Details[[#This Row],[Retail Price]]*Pricing_Details[[#This Row],[Quantity]])</f>
        <v/>
      </c>
      <c r="AB89" s="217" t="str">
        <f aca="false">IF(Pricing_Details[[#This Row],[Quantity]]="","",Pricing_Details[[#This Row],[Total Discount]]*Pricing_Details[[#This Row],[Quantity]])</f>
        <v/>
      </c>
      <c r="AC89" s="221" t="str">
        <f aca="false">IFERROR(ROUND(Pricing_Details[[#This Row],[Actual Price]]*Pricing_Details[[#This Row],[Quantity]],2),"")</f>
        <v/>
      </c>
      <c r="AE89" s="179" t="str">
        <f aca="false">IF('Bulk Order Details'!J99="","",VLOOKUP('Bulk Order Details'!H99,Collection[],3)&amp;VLOOKUP('Bulk Order Details'!J99,Collar[],4)&amp;VLOOKUP('Bulk Order Details'!I99,Sleeve[],4))</f>
        <v/>
      </c>
      <c r="AF89" s="179" t="str">
        <f aca="false">IF('Bulk Order Details'!J99="","",LOOKUP('Bulk Order Details'!E99,Cut[Display],Cut[Code])&amp;LOOKUP('Bulk Order Details'!F99,#REF!,#REF!)&amp;IF('Bulk Order Details'!G99="","",LOOKUP('Bulk Order Details'!G99,Length[Display],Length[Code])))</f>
        <v/>
      </c>
      <c r="AG89" s="179" t="str">
        <f aca="false">IF('Bulk Order Details'!J99="","",IF('Bulk Order Details'!C99="","",'Bulk Order Details'!C99))</f>
        <v/>
      </c>
      <c r="AH89" s="179" t="str">
        <f aca="false">IF('Bulk Order Details'!O99="","","-"&amp;LOOKUP('Bulk Order Details'!O99,#REF!,#REF!))</f>
        <v/>
      </c>
      <c r="AI89" s="179" t="str">
        <f aca="false">IF('Bulk Order Details'!P99="","","-"&amp;LOOKUP('Bulk Order Details'!P99,#REF!,#REF!))</f>
        <v/>
      </c>
      <c r="AJ89" s="179" t="str">
        <f aca="false">IF('Bulk Order Details'!Q99="","","-"&amp;LOOKUP('Bulk Order Details'!Q99,#REF!,#REF!))</f>
        <v/>
      </c>
      <c r="AK89" s="179" t="str">
        <f aca="false">IF('Bulk Order Details'!R99="","","-"&amp;LOOKUP('Bulk Order Details'!R99,#REF!,#REF!))</f>
        <v/>
      </c>
      <c r="AL89" s="179" t="str">
        <f aca="false">IF('Bulk Order Details'!S99="","","-"&amp;LOOKUP('Bulk Order Details'!S99,#REF!,#REF!))</f>
        <v/>
      </c>
      <c r="AM89" s="179" t="str">
        <f aca="false">IF(_xlfn.CONCAT(AH89:AL89)="","","Lo"&amp;_xlfn.CONCAT(AH89:AL89))</f>
        <v/>
      </c>
      <c r="AN89" s="179" t="str">
        <f aca="false">IF('Bulk Order Details'!K99="","","Na-"&amp;'Bulk Order Details'!K99)</f>
        <v/>
      </c>
      <c r="AO89" s="179" t="str">
        <f aca="false">IF('Bulk Order Details'!N99="","","Fo-"&amp;'Bulk Order Details'!N99)</f>
        <v/>
      </c>
      <c r="AP89" s="179" t="str">
        <f aca="false">IF(AE89="","",AE89&amp;"_"&amp;AF89&amp;"_"&amp;AG89&amp;IF(AM89="","","_"&amp;AM89)&amp;IF(AN89="","","_"&amp;AN89)&amp;IF(AO89="","","_"&amp;AO89))</f>
        <v/>
      </c>
      <c r="AQ89" s="218" t="str">
        <f aca="false">IF(X89="","",X89)</f>
        <v/>
      </c>
    </row>
    <row r="90" customFormat="false" ht="15" hidden="false" customHeight="true" outlineLevel="0" collapsed="false">
      <c r="B90" s="209" t="n">
        <f aca="false">'Bulk Order Details'!B100</f>
        <v>87</v>
      </c>
      <c r="C90" s="209" t="e">
        <f aca="false">IF('bulk order details'!#ref!="","",'bulk order details'!#ref!&amp;" "&amp;'bulk order details'!#ref!)</f>
        <v>#VALUE!</v>
      </c>
      <c r="D90" s="210" t="str">
        <f aca="false">IF('Bulk Order Details'!J100="","",VLOOKUP(1,Price[],3))</f>
        <v/>
      </c>
      <c r="E90" s="211" t="str">
        <f aca="false">IF('Bulk Order Details'!J100="","",Summary!$D$9)</f>
        <v/>
      </c>
      <c r="F90" s="212" t="str">
        <f aca="false">IF('Bulk Order Details'!F100="","",_xlfn.xlookup('Bulk Order Details'!F100,Size[Display],Size[Price]))</f>
        <v/>
      </c>
      <c r="G90" s="212" t="str">
        <f aca="false">IF('Bulk Order Details'!G100="","",_xlfn.xlookup('Bulk Order Details'!G100,Length[Display],Length[Price]))</f>
        <v/>
      </c>
      <c r="H90" s="212" t="str">
        <f aca="false">IF('Bulk Order Details'!H100="","",_xlfn.xlookup('Bulk Order Details'!H100,Collection[Display],Collection[Price]))</f>
        <v/>
      </c>
      <c r="I90" s="212" t="str">
        <f aca="false">IF('Bulk Order Details'!I100="","",_xlfn.xlookup('Bulk Order Details'!I100,Sleeve[Display],Sleeve[Price]))</f>
        <v/>
      </c>
      <c r="J90" s="212" t="str">
        <f aca="false">IF('Bulk Order Details'!J100="","",_xlfn.xlookup('Bulk Order Details'!J100,Collar[Display],Collar[Price]))</f>
        <v/>
      </c>
      <c r="K90" s="212" t="str">
        <f aca="false">IF('Bulk Order Details'!K100="","",_xlfn.xlookup("Name",Name[Name],Name[Price]))</f>
        <v/>
      </c>
      <c r="L90" s="213" t="str">
        <f aca="false">IFERROR(IF('Bulk Order Details'!O100="","",IF(_xlfn.xlookup('Bulk Order Details'!O100,Logos[Display],Logos[Use])="Flat",_xlfn.xlookup('Bulk Order Details'!O100,Logos[Display],Logos[Flat]),ROUND(_xlfn.xlookup('Bulk Order Details'!O100,Logos[Display],Logos[Pct])*$E90,2))),"")</f>
        <v/>
      </c>
      <c r="M90" s="222" t="str">
        <f aca="false">IFERROR(IF('Bulk Order Details'!P100="","",IF(_xlfn.xlookup('Bulk Order Details'!P100,Chest[Display],Chest[Use])="Flat",_xlfn.xlookup('Bulk Order Details'!P100,Chest[Display],Chest[Flat]),ROUND(_xlfn.xlookup('Bulk Order Details'!P100,Chest[Display],Chest[Pct])*$E90,2))),"")</f>
        <v/>
      </c>
      <c r="N90" s="222" t="str">
        <f aca="false">IFERROR(IF('Bulk Order Details'!Q100="","",IF(_xlfn.xlookup('Bulk Order Details'!Q100,Chest[Display],Chest[Use])="Flat",_xlfn.xlookup('Bulk Order Details'!Q100,Chest[Display],Chest[Flat]),ROUND(_xlfn.xlookup('Bulk Order Details'!Q100,Chest[Display],Chest[Pct])*$E90,2))),"")</f>
        <v/>
      </c>
      <c r="O90" s="222" t="str">
        <f aca="false">IFERROR(IF('Bulk Order Details'!R100="","",IF(_xlfn.xlookup('Bulk Order Details'!R100,LeftSleeve[Display],LeftSleeve[Use])="Flat",_xlfn.xlookup('Bulk Order Details'!R100,LeftSleeve[Display],LeftSleeve[Flat]),ROUND(_xlfn.xlookup('Bulk Order Details'!R100,LeftSleeve[Display],LeftSleeve[Pct])*$E90,2))),"")</f>
        <v/>
      </c>
      <c r="P90" s="222" t="str">
        <f aca="false">IFERROR(IF('Bulk Order Details'!S100="","",IF(_xlfn.xlookup('Bulk Order Details'!S100,RightSleeve[Display],RightSleeve[Use])="Flat",_xlfn.xlookup('Bulk Order Details'!S100,RightSleeve[Display],RightSleeve[Flat]),ROUND(_xlfn.xlookup('Bulk Order Details'!S100,RightSleeve[Display],RightSleeve[Pct])*$E90,2))),"")</f>
        <v/>
      </c>
      <c r="Q90" s="214" t="str">
        <f aca="false">IF('Bulk Order Details'!J100="","",SUM(F90:P90))</f>
        <v/>
      </c>
      <c r="R90" s="213" t="str">
        <f aca="false">IFERROR(E90-D90,"")</f>
        <v/>
      </c>
      <c r="S90" s="215" t="str">
        <f aca="false">IFERROR(MIN(IF(Summary!$D$11="Yes",-J90,0),IF(H90&gt;0,-J90,0)),"")</f>
        <v/>
      </c>
      <c r="T90" s="212" t="str">
        <f aca="false">IFERROR(IF(Summary!$D$10="Yes",-K90,""),"")</f>
        <v/>
      </c>
      <c r="U90" s="213" t="str">
        <f aca="false">IFERROR(IF(Summary!$D$12="Yes",-L90,""),"")</f>
        <v/>
      </c>
      <c r="V90" s="216" t="str">
        <f aca="false">IF('Bulk Order Details'!J100="","",SUM(R90:U90))</f>
        <v/>
      </c>
      <c r="W90" s="217" t="str">
        <f aca="false">IF('Bulk Order Details'!J100="","",D90+Q90)</f>
        <v/>
      </c>
      <c r="X90" s="218" t="str">
        <f aca="false">IF('Bulk Order Details'!J100="","",D90+Q90+V90)</f>
        <v/>
      </c>
      <c r="Y90" s="219" t="str">
        <f aca="false">IFERROR((W90-X90)/W90,"")</f>
        <v/>
      </c>
      <c r="Z90" s="220" t="str">
        <f aca="false">IF('Bulk Order Details'!J100="","",MAX(1,'Bulk Order Details'!D100))</f>
        <v/>
      </c>
      <c r="AA90" s="217" t="str">
        <f aca="false">IF(Pricing_Details[[#This Row],[Quantity]]="","",Pricing_Details[[#This Row],[Retail Price]]*Pricing_Details[[#This Row],[Quantity]])</f>
        <v/>
      </c>
      <c r="AB90" s="217" t="str">
        <f aca="false">IF(Pricing_Details[[#This Row],[Quantity]]="","",Pricing_Details[[#This Row],[Total Discount]]*Pricing_Details[[#This Row],[Quantity]])</f>
        <v/>
      </c>
      <c r="AC90" s="221" t="str">
        <f aca="false">IFERROR(ROUND(Pricing_Details[[#This Row],[Actual Price]]*Pricing_Details[[#This Row],[Quantity]],2),"")</f>
        <v/>
      </c>
      <c r="AE90" s="179" t="str">
        <f aca="false">IF('Bulk Order Details'!J100="","",VLOOKUP('Bulk Order Details'!H100,Collection[],3)&amp;VLOOKUP('Bulk Order Details'!J100,Collar[],4)&amp;VLOOKUP('Bulk Order Details'!I100,Sleeve[],4))</f>
        <v/>
      </c>
      <c r="AF90" s="179" t="str">
        <f aca="false">IF('Bulk Order Details'!J100="","",LOOKUP('Bulk Order Details'!E100,Cut[Display],Cut[Code])&amp;LOOKUP('Bulk Order Details'!F100,#REF!,#REF!)&amp;IF('Bulk Order Details'!G100="","",LOOKUP('Bulk Order Details'!G100,Length[Display],Length[Code])))</f>
        <v/>
      </c>
      <c r="AG90" s="179" t="str">
        <f aca="false">IF('Bulk Order Details'!J100="","",IF('Bulk Order Details'!C100="","",'Bulk Order Details'!C100))</f>
        <v/>
      </c>
      <c r="AH90" s="179" t="str">
        <f aca="false">IF('Bulk Order Details'!O100="","","-"&amp;LOOKUP('Bulk Order Details'!O100,#REF!,#REF!))</f>
        <v/>
      </c>
      <c r="AI90" s="179" t="str">
        <f aca="false">IF('Bulk Order Details'!P100="","","-"&amp;LOOKUP('Bulk Order Details'!P100,#REF!,#REF!))</f>
        <v/>
      </c>
      <c r="AJ90" s="179" t="str">
        <f aca="false">IF('Bulk Order Details'!Q100="","","-"&amp;LOOKUP('Bulk Order Details'!Q100,#REF!,#REF!))</f>
        <v/>
      </c>
      <c r="AK90" s="179" t="str">
        <f aca="false">IF('Bulk Order Details'!R100="","","-"&amp;LOOKUP('Bulk Order Details'!R100,#REF!,#REF!))</f>
        <v/>
      </c>
      <c r="AL90" s="179" t="str">
        <f aca="false">IF('Bulk Order Details'!S100="","","-"&amp;LOOKUP('Bulk Order Details'!S100,#REF!,#REF!))</f>
        <v/>
      </c>
      <c r="AM90" s="179" t="str">
        <f aca="false">IF(_xlfn.CONCAT(AH90:AL90)="","","Lo"&amp;_xlfn.CONCAT(AH90:AL90))</f>
        <v/>
      </c>
      <c r="AN90" s="179" t="str">
        <f aca="false">IF('Bulk Order Details'!K100="","","Na-"&amp;'Bulk Order Details'!K100)</f>
        <v/>
      </c>
      <c r="AO90" s="179" t="str">
        <f aca="false">IF('Bulk Order Details'!N100="","","Fo-"&amp;'Bulk Order Details'!N100)</f>
        <v/>
      </c>
      <c r="AP90" s="179" t="str">
        <f aca="false">IF(AE90="","",AE90&amp;"_"&amp;AF90&amp;"_"&amp;AG90&amp;IF(AM90="","","_"&amp;AM90)&amp;IF(AN90="","","_"&amp;AN90)&amp;IF(AO90="","","_"&amp;AO90))</f>
        <v/>
      </c>
      <c r="AQ90" s="218" t="str">
        <f aca="false">IF(X90="","",X90)</f>
        <v/>
      </c>
    </row>
    <row r="91" customFormat="false" ht="15" hidden="false" customHeight="true" outlineLevel="0" collapsed="false">
      <c r="B91" s="209" t="n">
        <f aca="false">'Bulk Order Details'!B101</f>
        <v>88</v>
      </c>
      <c r="C91" s="209" t="e">
        <f aca="false">IF('bulk order details'!#ref!="","",'bulk order details'!#ref!&amp;" "&amp;'bulk order details'!#ref!)</f>
        <v>#VALUE!</v>
      </c>
      <c r="D91" s="210" t="str">
        <f aca="false">IF('Bulk Order Details'!J101="","",VLOOKUP(1,Price[],3))</f>
        <v/>
      </c>
      <c r="E91" s="211" t="str">
        <f aca="false">IF('Bulk Order Details'!J101="","",Summary!$D$9)</f>
        <v/>
      </c>
      <c r="F91" s="212" t="str">
        <f aca="false">IF('Bulk Order Details'!F101="","",_xlfn.xlookup('Bulk Order Details'!F101,Size[Display],Size[Price]))</f>
        <v/>
      </c>
      <c r="G91" s="212" t="str">
        <f aca="false">IF('Bulk Order Details'!G101="","",_xlfn.xlookup('Bulk Order Details'!G101,Length[Display],Length[Price]))</f>
        <v/>
      </c>
      <c r="H91" s="212" t="str">
        <f aca="false">IF('Bulk Order Details'!H101="","",_xlfn.xlookup('Bulk Order Details'!H101,Collection[Display],Collection[Price]))</f>
        <v/>
      </c>
      <c r="I91" s="212" t="str">
        <f aca="false">IF('Bulk Order Details'!I101="","",_xlfn.xlookup('Bulk Order Details'!I101,Sleeve[Display],Sleeve[Price]))</f>
        <v/>
      </c>
      <c r="J91" s="212" t="str">
        <f aca="false">IF('Bulk Order Details'!J101="","",_xlfn.xlookup('Bulk Order Details'!J101,Collar[Display],Collar[Price]))</f>
        <v/>
      </c>
      <c r="K91" s="212" t="str">
        <f aca="false">IF('Bulk Order Details'!K101="","",_xlfn.xlookup("Name",Name[Name],Name[Price]))</f>
        <v/>
      </c>
      <c r="L91" s="213" t="str">
        <f aca="false">IFERROR(IF('Bulk Order Details'!O101="","",IF(_xlfn.xlookup('Bulk Order Details'!O101,Logos[Display],Logos[Use])="Flat",_xlfn.xlookup('Bulk Order Details'!O101,Logos[Display],Logos[Flat]),ROUND(_xlfn.xlookup('Bulk Order Details'!O101,Logos[Display],Logos[Pct])*$E91,2))),"")</f>
        <v/>
      </c>
      <c r="M91" s="222" t="str">
        <f aca="false">IFERROR(IF('Bulk Order Details'!P101="","",IF(_xlfn.xlookup('Bulk Order Details'!P101,Chest[Display],Chest[Use])="Flat",_xlfn.xlookup('Bulk Order Details'!P101,Chest[Display],Chest[Flat]),ROUND(_xlfn.xlookup('Bulk Order Details'!P101,Chest[Display],Chest[Pct])*$E91,2))),"")</f>
        <v/>
      </c>
      <c r="N91" s="222" t="str">
        <f aca="false">IFERROR(IF('Bulk Order Details'!Q101="","",IF(_xlfn.xlookup('Bulk Order Details'!Q101,Chest[Display],Chest[Use])="Flat",_xlfn.xlookup('Bulk Order Details'!Q101,Chest[Display],Chest[Flat]),ROUND(_xlfn.xlookup('Bulk Order Details'!Q101,Chest[Display],Chest[Pct])*$E91,2))),"")</f>
        <v/>
      </c>
      <c r="O91" s="222" t="str">
        <f aca="false">IFERROR(IF('Bulk Order Details'!R101="","",IF(_xlfn.xlookup('Bulk Order Details'!R101,LeftSleeve[Display],LeftSleeve[Use])="Flat",_xlfn.xlookup('Bulk Order Details'!R101,LeftSleeve[Display],LeftSleeve[Flat]),ROUND(_xlfn.xlookup('Bulk Order Details'!R101,LeftSleeve[Display],LeftSleeve[Pct])*$E91,2))),"")</f>
        <v/>
      </c>
      <c r="P91" s="222" t="str">
        <f aca="false">IFERROR(IF('Bulk Order Details'!S101="","",IF(_xlfn.xlookup('Bulk Order Details'!S101,RightSleeve[Display],RightSleeve[Use])="Flat",_xlfn.xlookup('Bulk Order Details'!S101,RightSleeve[Display],RightSleeve[Flat]),ROUND(_xlfn.xlookup('Bulk Order Details'!S101,RightSleeve[Display],RightSleeve[Pct])*$E91,2))),"")</f>
        <v/>
      </c>
      <c r="Q91" s="214" t="str">
        <f aca="false">IF('Bulk Order Details'!J101="","",SUM(F91:P91))</f>
        <v/>
      </c>
      <c r="R91" s="213" t="str">
        <f aca="false">IFERROR(E91-D91,"")</f>
        <v/>
      </c>
      <c r="S91" s="215" t="str">
        <f aca="false">IFERROR(MIN(IF(Summary!$D$11="Yes",-J91,0),IF(H91&gt;0,-J91,0)),"")</f>
        <v/>
      </c>
      <c r="T91" s="212" t="str">
        <f aca="false">IFERROR(IF(Summary!$D$10="Yes",-K91,""),"")</f>
        <v/>
      </c>
      <c r="U91" s="213" t="str">
        <f aca="false">IFERROR(IF(Summary!$D$12="Yes",-L91,""),"")</f>
        <v/>
      </c>
      <c r="V91" s="216" t="str">
        <f aca="false">IF('Bulk Order Details'!J101="","",SUM(R91:U91))</f>
        <v/>
      </c>
      <c r="W91" s="217" t="str">
        <f aca="false">IF('Bulk Order Details'!J101="","",D91+Q91)</f>
        <v/>
      </c>
      <c r="X91" s="218" t="str">
        <f aca="false">IF('Bulk Order Details'!J101="","",D91+Q91+V91)</f>
        <v/>
      </c>
      <c r="Y91" s="219" t="str">
        <f aca="false">IFERROR((W91-X91)/W91,"")</f>
        <v/>
      </c>
      <c r="Z91" s="220" t="str">
        <f aca="false">IF('Bulk Order Details'!J101="","",MAX(1,'Bulk Order Details'!D101))</f>
        <v/>
      </c>
      <c r="AA91" s="217" t="str">
        <f aca="false">IF(Pricing_Details[[#This Row],[Quantity]]="","",Pricing_Details[[#This Row],[Retail Price]]*Pricing_Details[[#This Row],[Quantity]])</f>
        <v/>
      </c>
      <c r="AB91" s="217" t="str">
        <f aca="false">IF(Pricing_Details[[#This Row],[Quantity]]="","",Pricing_Details[[#This Row],[Total Discount]]*Pricing_Details[[#This Row],[Quantity]])</f>
        <v/>
      </c>
      <c r="AC91" s="221" t="str">
        <f aca="false">IFERROR(ROUND(Pricing_Details[[#This Row],[Actual Price]]*Pricing_Details[[#This Row],[Quantity]],2),"")</f>
        <v/>
      </c>
      <c r="AE91" s="179" t="str">
        <f aca="false">IF('Bulk Order Details'!J101="","",VLOOKUP('Bulk Order Details'!H101,Collection[],3)&amp;VLOOKUP('Bulk Order Details'!J101,Collar[],4)&amp;VLOOKUP('Bulk Order Details'!I101,Sleeve[],4))</f>
        <v/>
      </c>
      <c r="AF91" s="179" t="str">
        <f aca="false">IF('Bulk Order Details'!J101="","",LOOKUP('Bulk Order Details'!E101,Cut[Display],Cut[Code])&amp;LOOKUP('Bulk Order Details'!F101,#REF!,#REF!)&amp;IF('Bulk Order Details'!G101="","",LOOKUP('Bulk Order Details'!G101,Length[Display],Length[Code])))</f>
        <v/>
      </c>
      <c r="AG91" s="179" t="str">
        <f aca="false">IF('Bulk Order Details'!J101="","",IF('Bulk Order Details'!C101="","",'Bulk Order Details'!C101))</f>
        <v/>
      </c>
      <c r="AH91" s="179" t="str">
        <f aca="false">IF('Bulk Order Details'!O101="","","-"&amp;LOOKUP('Bulk Order Details'!O101,#REF!,#REF!))</f>
        <v/>
      </c>
      <c r="AI91" s="179" t="str">
        <f aca="false">IF('Bulk Order Details'!P101="","","-"&amp;LOOKUP('Bulk Order Details'!P101,#REF!,#REF!))</f>
        <v/>
      </c>
      <c r="AJ91" s="179" t="str">
        <f aca="false">IF('Bulk Order Details'!Q101="","","-"&amp;LOOKUP('Bulk Order Details'!Q101,#REF!,#REF!))</f>
        <v/>
      </c>
      <c r="AK91" s="179" t="str">
        <f aca="false">IF('Bulk Order Details'!R101="","","-"&amp;LOOKUP('Bulk Order Details'!R101,#REF!,#REF!))</f>
        <v/>
      </c>
      <c r="AL91" s="179" t="str">
        <f aca="false">IF('Bulk Order Details'!S101="","","-"&amp;LOOKUP('Bulk Order Details'!S101,#REF!,#REF!))</f>
        <v/>
      </c>
      <c r="AM91" s="179" t="str">
        <f aca="false">IF(_xlfn.CONCAT(AH91:AL91)="","","Lo"&amp;_xlfn.CONCAT(AH91:AL91))</f>
        <v/>
      </c>
      <c r="AN91" s="179" t="str">
        <f aca="false">IF('Bulk Order Details'!K101="","","Na-"&amp;'Bulk Order Details'!K101)</f>
        <v/>
      </c>
      <c r="AO91" s="179" t="str">
        <f aca="false">IF('Bulk Order Details'!N101="","","Fo-"&amp;'Bulk Order Details'!N101)</f>
        <v/>
      </c>
      <c r="AP91" s="179" t="str">
        <f aca="false">IF(AE91="","",AE91&amp;"_"&amp;AF91&amp;"_"&amp;AG91&amp;IF(AM91="","","_"&amp;AM91)&amp;IF(AN91="","","_"&amp;AN91)&amp;IF(AO91="","","_"&amp;AO91))</f>
        <v/>
      </c>
      <c r="AQ91" s="218" t="str">
        <f aca="false">IF(X91="","",X91)</f>
        <v/>
      </c>
    </row>
    <row r="92" customFormat="false" ht="15" hidden="false" customHeight="true" outlineLevel="0" collapsed="false">
      <c r="B92" s="209" t="n">
        <f aca="false">'Bulk Order Details'!B102</f>
        <v>89</v>
      </c>
      <c r="C92" s="209" t="e">
        <f aca="false">IF('bulk order details'!#ref!="","",'bulk order details'!#ref!&amp;" "&amp;'bulk order details'!#ref!)</f>
        <v>#VALUE!</v>
      </c>
      <c r="D92" s="210" t="str">
        <f aca="false">IF('Bulk Order Details'!J102="","",VLOOKUP(1,Price[],3))</f>
        <v/>
      </c>
      <c r="E92" s="211" t="str">
        <f aca="false">IF('Bulk Order Details'!J102="","",Summary!$D$9)</f>
        <v/>
      </c>
      <c r="F92" s="212" t="str">
        <f aca="false">IF('Bulk Order Details'!F102="","",_xlfn.xlookup('Bulk Order Details'!F102,Size[Display],Size[Price]))</f>
        <v/>
      </c>
      <c r="G92" s="212" t="str">
        <f aca="false">IF('Bulk Order Details'!G102="","",_xlfn.xlookup('Bulk Order Details'!G102,Length[Display],Length[Price]))</f>
        <v/>
      </c>
      <c r="H92" s="212" t="str">
        <f aca="false">IF('Bulk Order Details'!H102="","",_xlfn.xlookup('Bulk Order Details'!H102,Collection[Display],Collection[Price]))</f>
        <v/>
      </c>
      <c r="I92" s="212" t="str">
        <f aca="false">IF('Bulk Order Details'!I102="","",_xlfn.xlookup('Bulk Order Details'!I102,Sleeve[Display],Sleeve[Price]))</f>
        <v/>
      </c>
      <c r="J92" s="212" t="str">
        <f aca="false">IF('Bulk Order Details'!J102="","",_xlfn.xlookup('Bulk Order Details'!J102,Collar[Display],Collar[Price]))</f>
        <v/>
      </c>
      <c r="K92" s="212" t="str">
        <f aca="false">IF('Bulk Order Details'!K102="","",_xlfn.xlookup("Name",Name[Name],Name[Price]))</f>
        <v/>
      </c>
      <c r="L92" s="213" t="str">
        <f aca="false">IFERROR(IF('Bulk Order Details'!O102="","",IF(_xlfn.xlookup('Bulk Order Details'!O102,Logos[Display],Logos[Use])="Flat",_xlfn.xlookup('Bulk Order Details'!O102,Logos[Display],Logos[Flat]),ROUND(_xlfn.xlookup('Bulk Order Details'!O102,Logos[Display],Logos[Pct])*$E92,2))),"")</f>
        <v/>
      </c>
      <c r="M92" s="222" t="str">
        <f aca="false">IFERROR(IF('Bulk Order Details'!P102="","",IF(_xlfn.xlookup('Bulk Order Details'!P102,Chest[Display],Chest[Use])="Flat",_xlfn.xlookup('Bulk Order Details'!P102,Chest[Display],Chest[Flat]),ROUND(_xlfn.xlookup('Bulk Order Details'!P102,Chest[Display],Chest[Pct])*$E92,2))),"")</f>
        <v/>
      </c>
      <c r="N92" s="222" t="str">
        <f aca="false">IFERROR(IF('Bulk Order Details'!Q102="","",IF(_xlfn.xlookup('Bulk Order Details'!Q102,Chest[Display],Chest[Use])="Flat",_xlfn.xlookup('Bulk Order Details'!Q102,Chest[Display],Chest[Flat]),ROUND(_xlfn.xlookup('Bulk Order Details'!Q102,Chest[Display],Chest[Pct])*$E92,2))),"")</f>
        <v/>
      </c>
      <c r="O92" s="222" t="str">
        <f aca="false">IFERROR(IF('Bulk Order Details'!R102="","",IF(_xlfn.xlookup('Bulk Order Details'!R102,LeftSleeve[Display],LeftSleeve[Use])="Flat",_xlfn.xlookup('Bulk Order Details'!R102,LeftSleeve[Display],LeftSleeve[Flat]),ROUND(_xlfn.xlookup('Bulk Order Details'!R102,LeftSleeve[Display],LeftSleeve[Pct])*$E92,2))),"")</f>
        <v/>
      </c>
      <c r="P92" s="222" t="str">
        <f aca="false">IFERROR(IF('Bulk Order Details'!S102="","",IF(_xlfn.xlookup('Bulk Order Details'!S102,RightSleeve[Display],RightSleeve[Use])="Flat",_xlfn.xlookup('Bulk Order Details'!S102,RightSleeve[Display],RightSleeve[Flat]),ROUND(_xlfn.xlookup('Bulk Order Details'!S102,RightSleeve[Display],RightSleeve[Pct])*$E92,2))),"")</f>
        <v/>
      </c>
      <c r="Q92" s="214" t="str">
        <f aca="false">IF('Bulk Order Details'!J102="","",SUM(F92:P92))</f>
        <v/>
      </c>
      <c r="R92" s="213" t="str">
        <f aca="false">IFERROR(E92-D92,"")</f>
        <v/>
      </c>
      <c r="S92" s="215" t="str">
        <f aca="false">IFERROR(MIN(IF(Summary!$D$11="Yes",-J92,0),IF(H92&gt;0,-J92,0)),"")</f>
        <v/>
      </c>
      <c r="T92" s="212" t="str">
        <f aca="false">IFERROR(IF(Summary!$D$10="Yes",-K92,""),"")</f>
        <v/>
      </c>
      <c r="U92" s="213" t="str">
        <f aca="false">IFERROR(IF(Summary!$D$12="Yes",-L92,""),"")</f>
        <v/>
      </c>
      <c r="V92" s="216" t="str">
        <f aca="false">IF('Bulk Order Details'!J102="","",SUM(R92:U92))</f>
        <v/>
      </c>
      <c r="W92" s="217" t="str">
        <f aca="false">IF('Bulk Order Details'!J102="","",D92+Q92)</f>
        <v/>
      </c>
      <c r="X92" s="218" t="str">
        <f aca="false">IF('Bulk Order Details'!J102="","",D92+Q92+V92)</f>
        <v/>
      </c>
      <c r="Y92" s="219" t="str">
        <f aca="false">IFERROR((W92-X92)/W92,"")</f>
        <v/>
      </c>
      <c r="Z92" s="220" t="str">
        <f aca="false">IF('Bulk Order Details'!J102="","",MAX(1,'Bulk Order Details'!D102))</f>
        <v/>
      </c>
      <c r="AA92" s="217" t="str">
        <f aca="false">IF(Pricing_Details[[#This Row],[Quantity]]="","",Pricing_Details[[#This Row],[Retail Price]]*Pricing_Details[[#This Row],[Quantity]])</f>
        <v/>
      </c>
      <c r="AB92" s="217" t="str">
        <f aca="false">IF(Pricing_Details[[#This Row],[Quantity]]="","",Pricing_Details[[#This Row],[Total Discount]]*Pricing_Details[[#This Row],[Quantity]])</f>
        <v/>
      </c>
      <c r="AC92" s="221" t="str">
        <f aca="false">IFERROR(ROUND(Pricing_Details[[#This Row],[Actual Price]]*Pricing_Details[[#This Row],[Quantity]],2),"")</f>
        <v/>
      </c>
      <c r="AE92" s="179" t="str">
        <f aca="false">IF('Bulk Order Details'!J102="","",VLOOKUP('Bulk Order Details'!H102,Collection[],3)&amp;VLOOKUP('Bulk Order Details'!J102,Collar[],4)&amp;VLOOKUP('Bulk Order Details'!I102,Sleeve[],4))</f>
        <v/>
      </c>
      <c r="AF92" s="179" t="str">
        <f aca="false">IF('Bulk Order Details'!J102="","",LOOKUP('Bulk Order Details'!E102,Cut[Display],Cut[Code])&amp;LOOKUP('Bulk Order Details'!F102,#REF!,#REF!)&amp;IF('Bulk Order Details'!G102="","",LOOKUP('Bulk Order Details'!G102,Length[Display],Length[Code])))</f>
        <v/>
      </c>
      <c r="AG92" s="179" t="str">
        <f aca="false">IF('Bulk Order Details'!J102="","",IF('Bulk Order Details'!C102="","",'Bulk Order Details'!C102))</f>
        <v/>
      </c>
      <c r="AH92" s="179" t="str">
        <f aca="false">IF('Bulk Order Details'!O102="","","-"&amp;LOOKUP('Bulk Order Details'!O102,#REF!,#REF!))</f>
        <v/>
      </c>
      <c r="AI92" s="179" t="str">
        <f aca="false">IF('Bulk Order Details'!P102="","","-"&amp;LOOKUP('Bulk Order Details'!P102,#REF!,#REF!))</f>
        <v/>
      </c>
      <c r="AJ92" s="179" t="str">
        <f aca="false">IF('Bulk Order Details'!Q102="","","-"&amp;LOOKUP('Bulk Order Details'!Q102,#REF!,#REF!))</f>
        <v/>
      </c>
      <c r="AK92" s="179" t="str">
        <f aca="false">IF('Bulk Order Details'!R102="","","-"&amp;LOOKUP('Bulk Order Details'!R102,#REF!,#REF!))</f>
        <v/>
      </c>
      <c r="AL92" s="179" t="str">
        <f aca="false">IF('Bulk Order Details'!S102="","","-"&amp;LOOKUP('Bulk Order Details'!S102,#REF!,#REF!))</f>
        <v/>
      </c>
      <c r="AM92" s="179" t="str">
        <f aca="false">IF(_xlfn.CONCAT(AH92:AL92)="","","Lo"&amp;_xlfn.CONCAT(AH92:AL92))</f>
        <v/>
      </c>
      <c r="AN92" s="179" t="str">
        <f aca="false">IF('Bulk Order Details'!K102="","","Na-"&amp;'Bulk Order Details'!K102)</f>
        <v/>
      </c>
      <c r="AO92" s="179" t="str">
        <f aca="false">IF('Bulk Order Details'!N102="","","Fo-"&amp;'Bulk Order Details'!N102)</f>
        <v/>
      </c>
      <c r="AP92" s="179" t="str">
        <f aca="false">IF(AE92="","",AE92&amp;"_"&amp;AF92&amp;"_"&amp;AG92&amp;IF(AM92="","","_"&amp;AM92)&amp;IF(AN92="","","_"&amp;AN92)&amp;IF(AO92="","","_"&amp;AO92))</f>
        <v/>
      </c>
      <c r="AQ92" s="218" t="str">
        <f aca="false">IF(X92="","",X92)</f>
        <v/>
      </c>
    </row>
    <row r="93" customFormat="false" ht="15" hidden="false" customHeight="true" outlineLevel="0" collapsed="false">
      <c r="B93" s="209" t="n">
        <f aca="false">'Bulk Order Details'!B103</f>
        <v>90</v>
      </c>
      <c r="C93" s="209" t="e">
        <f aca="false">IF('bulk order details'!#ref!="","",'bulk order details'!#ref!&amp;" "&amp;'bulk order details'!#ref!)</f>
        <v>#VALUE!</v>
      </c>
      <c r="D93" s="210" t="str">
        <f aca="false">IF('Bulk Order Details'!J103="","",VLOOKUP(1,Price[],3))</f>
        <v/>
      </c>
      <c r="E93" s="211" t="str">
        <f aca="false">IF('Bulk Order Details'!J103="","",Summary!$D$9)</f>
        <v/>
      </c>
      <c r="F93" s="212" t="str">
        <f aca="false">IF('Bulk Order Details'!F103="","",_xlfn.xlookup('Bulk Order Details'!F103,Size[Display],Size[Price]))</f>
        <v/>
      </c>
      <c r="G93" s="212" t="str">
        <f aca="false">IF('Bulk Order Details'!G103="","",_xlfn.xlookup('Bulk Order Details'!G103,Length[Display],Length[Price]))</f>
        <v/>
      </c>
      <c r="H93" s="212" t="str">
        <f aca="false">IF('Bulk Order Details'!H103="","",_xlfn.xlookup('Bulk Order Details'!H103,Collection[Display],Collection[Price]))</f>
        <v/>
      </c>
      <c r="I93" s="212" t="str">
        <f aca="false">IF('Bulk Order Details'!I103="","",_xlfn.xlookup('Bulk Order Details'!I103,Sleeve[Display],Sleeve[Price]))</f>
        <v/>
      </c>
      <c r="J93" s="212" t="str">
        <f aca="false">IF('Bulk Order Details'!J103="","",_xlfn.xlookup('Bulk Order Details'!J103,Collar[Display],Collar[Price]))</f>
        <v/>
      </c>
      <c r="K93" s="212" t="str">
        <f aca="false">IF('Bulk Order Details'!K103="","",_xlfn.xlookup("Name",Name[Name],Name[Price]))</f>
        <v/>
      </c>
      <c r="L93" s="213" t="str">
        <f aca="false">IFERROR(IF('Bulk Order Details'!O103="","",IF(_xlfn.xlookup('Bulk Order Details'!O103,Logos[Display],Logos[Use])="Flat",_xlfn.xlookup('Bulk Order Details'!O103,Logos[Display],Logos[Flat]),ROUND(_xlfn.xlookup('Bulk Order Details'!O103,Logos[Display],Logos[Pct])*$E93,2))),"")</f>
        <v/>
      </c>
      <c r="M93" s="222" t="str">
        <f aca="false">IFERROR(IF('Bulk Order Details'!P103="","",IF(_xlfn.xlookup('Bulk Order Details'!P103,Chest[Display],Chest[Use])="Flat",_xlfn.xlookup('Bulk Order Details'!P103,Chest[Display],Chest[Flat]),ROUND(_xlfn.xlookup('Bulk Order Details'!P103,Chest[Display],Chest[Pct])*$E93,2))),"")</f>
        <v/>
      </c>
      <c r="N93" s="222" t="str">
        <f aca="false">IFERROR(IF('Bulk Order Details'!Q103="","",IF(_xlfn.xlookup('Bulk Order Details'!Q103,Chest[Display],Chest[Use])="Flat",_xlfn.xlookup('Bulk Order Details'!Q103,Chest[Display],Chest[Flat]),ROUND(_xlfn.xlookup('Bulk Order Details'!Q103,Chest[Display],Chest[Pct])*$E93,2))),"")</f>
        <v/>
      </c>
      <c r="O93" s="222" t="str">
        <f aca="false">IFERROR(IF('Bulk Order Details'!R103="","",IF(_xlfn.xlookup('Bulk Order Details'!R103,LeftSleeve[Display],LeftSleeve[Use])="Flat",_xlfn.xlookup('Bulk Order Details'!R103,LeftSleeve[Display],LeftSleeve[Flat]),ROUND(_xlfn.xlookup('Bulk Order Details'!R103,LeftSleeve[Display],LeftSleeve[Pct])*$E93,2))),"")</f>
        <v/>
      </c>
      <c r="P93" s="222" t="str">
        <f aca="false">IFERROR(IF('Bulk Order Details'!S103="","",IF(_xlfn.xlookup('Bulk Order Details'!S103,RightSleeve[Display],RightSleeve[Use])="Flat",_xlfn.xlookup('Bulk Order Details'!S103,RightSleeve[Display],RightSleeve[Flat]),ROUND(_xlfn.xlookup('Bulk Order Details'!S103,RightSleeve[Display],RightSleeve[Pct])*$E93,2))),"")</f>
        <v/>
      </c>
      <c r="Q93" s="214" t="str">
        <f aca="false">IF('Bulk Order Details'!J103="","",SUM(F93:P93))</f>
        <v/>
      </c>
      <c r="R93" s="213" t="str">
        <f aca="false">IFERROR(E93-D93,"")</f>
        <v/>
      </c>
      <c r="S93" s="215" t="str">
        <f aca="false">IFERROR(MIN(IF(Summary!$D$11="Yes",-J93,0),IF(H93&gt;0,-J93,0)),"")</f>
        <v/>
      </c>
      <c r="T93" s="212" t="str">
        <f aca="false">IFERROR(IF(Summary!$D$10="Yes",-K93,""),"")</f>
        <v/>
      </c>
      <c r="U93" s="213" t="str">
        <f aca="false">IFERROR(IF(Summary!$D$12="Yes",-L93,""),"")</f>
        <v/>
      </c>
      <c r="V93" s="216" t="str">
        <f aca="false">IF('Bulk Order Details'!J103="","",SUM(R93:U93))</f>
        <v/>
      </c>
      <c r="W93" s="217" t="str">
        <f aca="false">IF('Bulk Order Details'!J103="","",D93+Q93)</f>
        <v/>
      </c>
      <c r="X93" s="218" t="str">
        <f aca="false">IF('Bulk Order Details'!J103="","",D93+Q93+V93)</f>
        <v/>
      </c>
      <c r="Y93" s="219" t="str">
        <f aca="false">IFERROR((W93-X93)/W93,"")</f>
        <v/>
      </c>
      <c r="Z93" s="220" t="str">
        <f aca="false">IF('Bulk Order Details'!J103="","",MAX(1,'Bulk Order Details'!D103))</f>
        <v/>
      </c>
      <c r="AA93" s="217" t="str">
        <f aca="false">IF(Pricing_Details[[#This Row],[Quantity]]="","",Pricing_Details[[#This Row],[Retail Price]]*Pricing_Details[[#This Row],[Quantity]])</f>
        <v/>
      </c>
      <c r="AB93" s="217" t="str">
        <f aca="false">IF(Pricing_Details[[#This Row],[Quantity]]="","",Pricing_Details[[#This Row],[Total Discount]]*Pricing_Details[[#This Row],[Quantity]])</f>
        <v/>
      </c>
      <c r="AC93" s="221" t="str">
        <f aca="false">IFERROR(ROUND(Pricing_Details[[#This Row],[Actual Price]]*Pricing_Details[[#This Row],[Quantity]],2),"")</f>
        <v/>
      </c>
      <c r="AE93" s="179" t="str">
        <f aca="false">IF('Bulk Order Details'!J103="","",VLOOKUP('Bulk Order Details'!H103,Collection[],3)&amp;VLOOKUP('Bulk Order Details'!J103,Collar[],4)&amp;VLOOKUP('Bulk Order Details'!I103,Sleeve[],4))</f>
        <v/>
      </c>
      <c r="AF93" s="179" t="str">
        <f aca="false">IF('Bulk Order Details'!J103="","",LOOKUP('Bulk Order Details'!E103,Cut[Display],Cut[Code])&amp;LOOKUP('Bulk Order Details'!F103,#REF!,#REF!)&amp;IF('Bulk Order Details'!G103="","",LOOKUP('Bulk Order Details'!G103,Length[Display],Length[Code])))</f>
        <v/>
      </c>
      <c r="AG93" s="179" t="str">
        <f aca="false">IF('Bulk Order Details'!J103="","",IF('Bulk Order Details'!C103="","",'Bulk Order Details'!C103))</f>
        <v/>
      </c>
      <c r="AH93" s="179" t="str">
        <f aca="false">IF('Bulk Order Details'!O103="","","-"&amp;LOOKUP('Bulk Order Details'!O103,#REF!,#REF!))</f>
        <v/>
      </c>
      <c r="AI93" s="179" t="str">
        <f aca="false">IF('Bulk Order Details'!P103="","","-"&amp;LOOKUP('Bulk Order Details'!P103,#REF!,#REF!))</f>
        <v/>
      </c>
      <c r="AJ93" s="179" t="str">
        <f aca="false">IF('Bulk Order Details'!Q103="","","-"&amp;LOOKUP('Bulk Order Details'!Q103,#REF!,#REF!))</f>
        <v/>
      </c>
      <c r="AK93" s="179" t="str">
        <f aca="false">IF('Bulk Order Details'!R103="","","-"&amp;LOOKUP('Bulk Order Details'!R103,#REF!,#REF!))</f>
        <v/>
      </c>
      <c r="AL93" s="179" t="str">
        <f aca="false">IF('Bulk Order Details'!S103="","","-"&amp;LOOKUP('Bulk Order Details'!S103,#REF!,#REF!))</f>
        <v/>
      </c>
      <c r="AM93" s="179" t="str">
        <f aca="false">IF(_xlfn.CONCAT(AH93:AL93)="","","Lo"&amp;_xlfn.CONCAT(AH93:AL93))</f>
        <v/>
      </c>
      <c r="AN93" s="179" t="str">
        <f aca="false">IF('Bulk Order Details'!K103="","","Na-"&amp;'Bulk Order Details'!K103)</f>
        <v/>
      </c>
      <c r="AO93" s="179" t="str">
        <f aca="false">IF('Bulk Order Details'!N103="","","Fo-"&amp;'Bulk Order Details'!N103)</f>
        <v/>
      </c>
      <c r="AP93" s="179" t="str">
        <f aca="false">IF(AE93="","",AE93&amp;"_"&amp;AF93&amp;"_"&amp;AG93&amp;IF(AM93="","","_"&amp;AM93)&amp;IF(AN93="","","_"&amp;AN93)&amp;IF(AO93="","","_"&amp;AO93))</f>
        <v/>
      </c>
      <c r="AQ93" s="218" t="str">
        <f aca="false">IF(X93="","",X93)</f>
        <v/>
      </c>
    </row>
    <row r="94" customFormat="false" ht="15" hidden="false" customHeight="true" outlineLevel="0" collapsed="false">
      <c r="B94" s="209" t="n">
        <f aca="false">'Bulk Order Details'!B104</f>
        <v>91</v>
      </c>
      <c r="C94" s="209" t="e">
        <f aca="false">IF('bulk order details'!#ref!="","",'bulk order details'!#ref!&amp;" "&amp;'bulk order details'!#ref!)</f>
        <v>#VALUE!</v>
      </c>
      <c r="D94" s="210" t="str">
        <f aca="false">IF('Bulk Order Details'!J104="","",VLOOKUP(1,Price[],3))</f>
        <v/>
      </c>
      <c r="E94" s="211" t="str">
        <f aca="false">IF('Bulk Order Details'!J104="","",Summary!$D$9)</f>
        <v/>
      </c>
      <c r="F94" s="212" t="str">
        <f aca="false">IF('Bulk Order Details'!F104="","",_xlfn.xlookup('Bulk Order Details'!F104,Size[Display],Size[Price]))</f>
        <v/>
      </c>
      <c r="G94" s="212" t="str">
        <f aca="false">IF('Bulk Order Details'!G104="","",_xlfn.xlookup('Bulk Order Details'!G104,Length[Display],Length[Price]))</f>
        <v/>
      </c>
      <c r="H94" s="212" t="str">
        <f aca="false">IF('Bulk Order Details'!H104="","",_xlfn.xlookup('Bulk Order Details'!H104,Collection[Display],Collection[Price]))</f>
        <v/>
      </c>
      <c r="I94" s="212" t="str">
        <f aca="false">IF('Bulk Order Details'!I104="","",_xlfn.xlookup('Bulk Order Details'!I104,Sleeve[Display],Sleeve[Price]))</f>
        <v/>
      </c>
      <c r="J94" s="212" t="str">
        <f aca="false">IF('Bulk Order Details'!J104="","",_xlfn.xlookup('Bulk Order Details'!J104,Collar[Display],Collar[Price]))</f>
        <v/>
      </c>
      <c r="K94" s="212" t="str">
        <f aca="false">IF('Bulk Order Details'!K104="","",_xlfn.xlookup("Name",Name[Name],Name[Price]))</f>
        <v/>
      </c>
      <c r="L94" s="213" t="str">
        <f aca="false">IFERROR(IF('Bulk Order Details'!O104="","",IF(_xlfn.xlookup('Bulk Order Details'!O104,Logos[Display],Logos[Use])="Flat",_xlfn.xlookup('Bulk Order Details'!O104,Logos[Display],Logos[Flat]),ROUND(_xlfn.xlookup('Bulk Order Details'!O104,Logos[Display],Logos[Pct])*$E94,2))),"")</f>
        <v/>
      </c>
      <c r="M94" s="222" t="str">
        <f aca="false">IFERROR(IF('Bulk Order Details'!P104="","",IF(_xlfn.xlookup('Bulk Order Details'!P104,Chest[Display],Chest[Use])="Flat",_xlfn.xlookup('Bulk Order Details'!P104,Chest[Display],Chest[Flat]),ROUND(_xlfn.xlookup('Bulk Order Details'!P104,Chest[Display],Chest[Pct])*$E94,2))),"")</f>
        <v/>
      </c>
      <c r="N94" s="222" t="str">
        <f aca="false">IFERROR(IF('Bulk Order Details'!Q104="","",IF(_xlfn.xlookup('Bulk Order Details'!Q104,Chest[Display],Chest[Use])="Flat",_xlfn.xlookup('Bulk Order Details'!Q104,Chest[Display],Chest[Flat]),ROUND(_xlfn.xlookup('Bulk Order Details'!Q104,Chest[Display],Chest[Pct])*$E94,2))),"")</f>
        <v/>
      </c>
      <c r="O94" s="222" t="str">
        <f aca="false">IFERROR(IF('Bulk Order Details'!R104="","",IF(_xlfn.xlookup('Bulk Order Details'!R104,LeftSleeve[Display],LeftSleeve[Use])="Flat",_xlfn.xlookup('Bulk Order Details'!R104,LeftSleeve[Display],LeftSleeve[Flat]),ROUND(_xlfn.xlookup('Bulk Order Details'!R104,LeftSleeve[Display],LeftSleeve[Pct])*$E94,2))),"")</f>
        <v/>
      </c>
      <c r="P94" s="222" t="str">
        <f aca="false">IFERROR(IF('Bulk Order Details'!S104="","",IF(_xlfn.xlookup('Bulk Order Details'!S104,RightSleeve[Display],RightSleeve[Use])="Flat",_xlfn.xlookup('Bulk Order Details'!S104,RightSleeve[Display],RightSleeve[Flat]),ROUND(_xlfn.xlookup('Bulk Order Details'!S104,RightSleeve[Display],RightSleeve[Pct])*$E94,2))),"")</f>
        <v/>
      </c>
      <c r="Q94" s="214" t="str">
        <f aca="false">IF('Bulk Order Details'!J104="","",SUM(F94:P94))</f>
        <v/>
      </c>
      <c r="R94" s="213" t="str">
        <f aca="false">IFERROR(E94-D94,"")</f>
        <v/>
      </c>
      <c r="S94" s="215" t="str">
        <f aca="false">IFERROR(MIN(IF(Summary!$D$11="Yes",-J94,0),IF(H94&gt;0,-J94,0)),"")</f>
        <v/>
      </c>
      <c r="T94" s="212" t="str">
        <f aca="false">IFERROR(IF(Summary!$D$10="Yes",-K94,""),"")</f>
        <v/>
      </c>
      <c r="U94" s="213" t="str">
        <f aca="false">IFERROR(IF(Summary!$D$12="Yes",-L94,""),"")</f>
        <v/>
      </c>
      <c r="V94" s="216" t="str">
        <f aca="false">IF('Bulk Order Details'!J104="","",SUM(R94:U94))</f>
        <v/>
      </c>
      <c r="W94" s="217" t="str">
        <f aca="false">IF('Bulk Order Details'!J104="","",D94+Q94)</f>
        <v/>
      </c>
      <c r="X94" s="218" t="str">
        <f aca="false">IF('Bulk Order Details'!J104="","",D94+Q94+V94)</f>
        <v/>
      </c>
      <c r="Y94" s="219" t="str">
        <f aca="false">IFERROR((W94-X94)/W94,"")</f>
        <v/>
      </c>
      <c r="Z94" s="220" t="str">
        <f aca="false">IF('Bulk Order Details'!J104="","",MAX(1,'Bulk Order Details'!D104))</f>
        <v/>
      </c>
      <c r="AA94" s="217" t="str">
        <f aca="false">IF(Pricing_Details[[#This Row],[Quantity]]="","",Pricing_Details[[#This Row],[Retail Price]]*Pricing_Details[[#This Row],[Quantity]])</f>
        <v/>
      </c>
      <c r="AB94" s="217" t="str">
        <f aca="false">IF(Pricing_Details[[#This Row],[Quantity]]="","",Pricing_Details[[#This Row],[Total Discount]]*Pricing_Details[[#This Row],[Quantity]])</f>
        <v/>
      </c>
      <c r="AC94" s="221" t="str">
        <f aca="false">IFERROR(ROUND(Pricing_Details[[#This Row],[Actual Price]]*Pricing_Details[[#This Row],[Quantity]],2),"")</f>
        <v/>
      </c>
      <c r="AE94" s="179" t="str">
        <f aca="false">IF('Bulk Order Details'!J104="","",VLOOKUP('Bulk Order Details'!H104,Collection[],3)&amp;VLOOKUP('Bulk Order Details'!J104,Collar[],4)&amp;VLOOKUP('Bulk Order Details'!I104,Sleeve[],4))</f>
        <v/>
      </c>
      <c r="AF94" s="179" t="str">
        <f aca="false">IF('Bulk Order Details'!J104="","",LOOKUP('Bulk Order Details'!E104,Cut[Display],Cut[Code])&amp;LOOKUP('Bulk Order Details'!F104,#REF!,#REF!)&amp;IF('Bulk Order Details'!G104="","",LOOKUP('Bulk Order Details'!G104,Length[Display],Length[Code])))</f>
        <v/>
      </c>
      <c r="AG94" s="179" t="str">
        <f aca="false">IF('Bulk Order Details'!J104="","",IF('Bulk Order Details'!C104="","",'Bulk Order Details'!C104))</f>
        <v/>
      </c>
      <c r="AH94" s="179" t="str">
        <f aca="false">IF('Bulk Order Details'!O104="","","-"&amp;LOOKUP('Bulk Order Details'!O104,#REF!,#REF!))</f>
        <v/>
      </c>
      <c r="AI94" s="179" t="str">
        <f aca="false">IF('Bulk Order Details'!P104="","","-"&amp;LOOKUP('Bulk Order Details'!P104,#REF!,#REF!))</f>
        <v/>
      </c>
      <c r="AJ94" s="179" t="str">
        <f aca="false">IF('Bulk Order Details'!Q104="","","-"&amp;LOOKUP('Bulk Order Details'!Q104,#REF!,#REF!))</f>
        <v/>
      </c>
      <c r="AK94" s="179" t="str">
        <f aca="false">IF('Bulk Order Details'!R104="","","-"&amp;LOOKUP('Bulk Order Details'!R104,#REF!,#REF!))</f>
        <v/>
      </c>
      <c r="AL94" s="179" t="str">
        <f aca="false">IF('Bulk Order Details'!S104="","","-"&amp;LOOKUP('Bulk Order Details'!S104,#REF!,#REF!))</f>
        <v/>
      </c>
      <c r="AM94" s="179" t="str">
        <f aca="false">IF(_xlfn.CONCAT(AH94:AL94)="","","Lo"&amp;_xlfn.CONCAT(AH94:AL94))</f>
        <v/>
      </c>
      <c r="AN94" s="179" t="str">
        <f aca="false">IF('Bulk Order Details'!K104="","","Na-"&amp;'Bulk Order Details'!K104)</f>
        <v/>
      </c>
      <c r="AO94" s="179" t="str">
        <f aca="false">IF('Bulk Order Details'!N104="","","Fo-"&amp;'Bulk Order Details'!N104)</f>
        <v/>
      </c>
      <c r="AP94" s="179" t="str">
        <f aca="false">IF(AE94="","",AE94&amp;"_"&amp;AF94&amp;"_"&amp;AG94&amp;IF(AM94="","","_"&amp;AM94)&amp;IF(AN94="","","_"&amp;AN94)&amp;IF(AO94="","","_"&amp;AO94))</f>
        <v/>
      </c>
      <c r="AQ94" s="218" t="str">
        <f aca="false">IF(X94="","",X94)</f>
        <v/>
      </c>
    </row>
    <row r="95" customFormat="false" ht="15" hidden="false" customHeight="true" outlineLevel="0" collapsed="false">
      <c r="B95" s="209" t="n">
        <f aca="false">'Bulk Order Details'!B105</f>
        <v>92</v>
      </c>
      <c r="C95" s="209" t="e">
        <f aca="false">IF('bulk order details'!#ref!="","",'bulk order details'!#ref!&amp;" "&amp;'bulk order details'!#ref!)</f>
        <v>#VALUE!</v>
      </c>
      <c r="D95" s="210" t="str">
        <f aca="false">IF('Bulk Order Details'!J105="","",VLOOKUP(1,Price[],3))</f>
        <v/>
      </c>
      <c r="E95" s="211" t="str">
        <f aca="false">IF('Bulk Order Details'!J105="","",Summary!$D$9)</f>
        <v/>
      </c>
      <c r="F95" s="212" t="str">
        <f aca="false">IF('Bulk Order Details'!F105="","",_xlfn.xlookup('Bulk Order Details'!F105,Size[Display],Size[Price]))</f>
        <v/>
      </c>
      <c r="G95" s="212" t="str">
        <f aca="false">IF('Bulk Order Details'!G105="","",_xlfn.xlookup('Bulk Order Details'!G105,Length[Display],Length[Price]))</f>
        <v/>
      </c>
      <c r="H95" s="212" t="str">
        <f aca="false">IF('Bulk Order Details'!H105="","",_xlfn.xlookup('Bulk Order Details'!H105,Collection[Display],Collection[Price]))</f>
        <v/>
      </c>
      <c r="I95" s="212" t="str">
        <f aca="false">IF('Bulk Order Details'!I105="","",_xlfn.xlookup('Bulk Order Details'!I105,Sleeve[Display],Sleeve[Price]))</f>
        <v/>
      </c>
      <c r="J95" s="212" t="str">
        <f aca="false">IF('Bulk Order Details'!J105="","",_xlfn.xlookup('Bulk Order Details'!J105,Collar[Display],Collar[Price]))</f>
        <v/>
      </c>
      <c r="K95" s="212" t="str">
        <f aca="false">IF('Bulk Order Details'!K105="","",_xlfn.xlookup("Name",Name[Name],Name[Price]))</f>
        <v/>
      </c>
      <c r="L95" s="213" t="str">
        <f aca="false">IFERROR(IF('Bulk Order Details'!O105="","",IF(_xlfn.xlookup('Bulk Order Details'!O105,Logos[Display],Logos[Use])="Flat",_xlfn.xlookup('Bulk Order Details'!O105,Logos[Display],Logos[Flat]),ROUND(_xlfn.xlookup('Bulk Order Details'!O105,Logos[Display],Logos[Pct])*$E95,2))),"")</f>
        <v/>
      </c>
      <c r="M95" s="222" t="str">
        <f aca="false">IFERROR(IF('Bulk Order Details'!P105="","",IF(_xlfn.xlookup('Bulk Order Details'!P105,Chest[Display],Chest[Use])="Flat",_xlfn.xlookup('Bulk Order Details'!P105,Chest[Display],Chest[Flat]),ROUND(_xlfn.xlookup('Bulk Order Details'!P105,Chest[Display],Chest[Pct])*$E95,2))),"")</f>
        <v/>
      </c>
      <c r="N95" s="222" t="str">
        <f aca="false">IFERROR(IF('Bulk Order Details'!Q105="","",IF(_xlfn.xlookup('Bulk Order Details'!Q105,Chest[Display],Chest[Use])="Flat",_xlfn.xlookup('Bulk Order Details'!Q105,Chest[Display],Chest[Flat]),ROUND(_xlfn.xlookup('Bulk Order Details'!Q105,Chest[Display],Chest[Pct])*$E95,2))),"")</f>
        <v/>
      </c>
      <c r="O95" s="222" t="str">
        <f aca="false">IFERROR(IF('Bulk Order Details'!R105="","",IF(_xlfn.xlookup('Bulk Order Details'!R105,LeftSleeve[Display],LeftSleeve[Use])="Flat",_xlfn.xlookup('Bulk Order Details'!R105,LeftSleeve[Display],LeftSleeve[Flat]),ROUND(_xlfn.xlookup('Bulk Order Details'!R105,LeftSleeve[Display],LeftSleeve[Pct])*$E95,2))),"")</f>
        <v/>
      </c>
      <c r="P95" s="222" t="str">
        <f aca="false">IFERROR(IF('Bulk Order Details'!S105="","",IF(_xlfn.xlookup('Bulk Order Details'!S105,RightSleeve[Display],RightSleeve[Use])="Flat",_xlfn.xlookup('Bulk Order Details'!S105,RightSleeve[Display],RightSleeve[Flat]),ROUND(_xlfn.xlookup('Bulk Order Details'!S105,RightSleeve[Display],RightSleeve[Pct])*$E95,2))),"")</f>
        <v/>
      </c>
      <c r="Q95" s="214" t="str">
        <f aca="false">IF('Bulk Order Details'!J105="","",SUM(F95:P95))</f>
        <v/>
      </c>
      <c r="R95" s="213" t="str">
        <f aca="false">IFERROR(E95-D95,"")</f>
        <v/>
      </c>
      <c r="S95" s="215" t="str">
        <f aca="false">IFERROR(MIN(IF(Summary!$D$11="Yes",-J95,0),IF(H95&gt;0,-J95,0)),"")</f>
        <v/>
      </c>
      <c r="T95" s="212" t="str">
        <f aca="false">IFERROR(IF(Summary!$D$10="Yes",-K95,""),"")</f>
        <v/>
      </c>
      <c r="U95" s="213" t="str">
        <f aca="false">IFERROR(IF(Summary!$D$12="Yes",-L95,""),"")</f>
        <v/>
      </c>
      <c r="V95" s="216" t="str">
        <f aca="false">IF('Bulk Order Details'!J105="","",SUM(R95:U95))</f>
        <v/>
      </c>
      <c r="W95" s="217" t="str">
        <f aca="false">IF('Bulk Order Details'!J105="","",D95+Q95)</f>
        <v/>
      </c>
      <c r="X95" s="218" t="str">
        <f aca="false">IF('Bulk Order Details'!J105="","",D95+Q95+V95)</f>
        <v/>
      </c>
      <c r="Y95" s="219" t="str">
        <f aca="false">IFERROR((W95-X95)/W95,"")</f>
        <v/>
      </c>
      <c r="Z95" s="220" t="str">
        <f aca="false">IF('Bulk Order Details'!J105="","",MAX(1,'Bulk Order Details'!D105))</f>
        <v/>
      </c>
      <c r="AA95" s="217" t="str">
        <f aca="false">IF(Pricing_Details[[#This Row],[Quantity]]="","",Pricing_Details[[#This Row],[Retail Price]]*Pricing_Details[[#This Row],[Quantity]])</f>
        <v/>
      </c>
      <c r="AB95" s="217" t="str">
        <f aca="false">IF(Pricing_Details[[#This Row],[Quantity]]="","",Pricing_Details[[#This Row],[Total Discount]]*Pricing_Details[[#This Row],[Quantity]])</f>
        <v/>
      </c>
      <c r="AC95" s="221" t="str">
        <f aca="false">IFERROR(ROUND(Pricing_Details[[#This Row],[Actual Price]]*Pricing_Details[[#This Row],[Quantity]],2),"")</f>
        <v/>
      </c>
      <c r="AE95" s="179" t="str">
        <f aca="false">IF('Bulk Order Details'!J105="","",VLOOKUP('Bulk Order Details'!H105,Collection[],3)&amp;VLOOKUP('Bulk Order Details'!J105,Collar[],4)&amp;VLOOKUP('Bulk Order Details'!I105,Sleeve[],4))</f>
        <v/>
      </c>
      <c r="AF95" s="179" t="str">
        <f aca="false">IF('Bulk Order Details'!J105="","",LOOKUP('Bulk Order Details'!E105,Cut[Display],Cut[Code])&amp;LOOKUP('Bulk Order Details'!F105,#REF!,#REF!)&amp;IF('Bulk Order Details'!G105="","",LOOKUP('Bulk Order Details'!G105,Length[Display],Length[Code])))</f>
        <v/>
      </c>
      <c r="AG95" s="179" t="str">
        <f aca="false">IF('Bulk Order Details'!J105="","",IF('Bulk Order Details'!C105="","",'Bulk Order Details'!C105))</f>
        <v/>
      </c>
      <c r="AH95" s="179" t="str">
        <f aca="false">IF('Bulk Order Details'!O105="","","-"&amp;LOOKUP('Bulk Order Details'!O105,#REF!,#REF!))</f>
        <v/>
      </c>
      <c r="AI95" s="179" t="str">
        <f aca="false">IF('Bulk Order Details'!P105="","","-"&amp;LOOKUP('Bulk Order Details'!P105,#REF!,#REF!))</f>
        <v/>
      </c>
      <c r="AJ95" s="179" t="str">
        <f aca="false">IF('Bulk Order Details'!Q105="","","-"&amp;LOOKUP('Bulk Order Details'!Q105,#REF!,#REF!))</f>
        <v/>
      </c>
      <c r="AK95" s="179" t="str">
        <f aca="false">IF('Bulk Order Details'!R105="","","-"&amp;LOOKUP('Bulk Order Details'!R105,#REF!,#REF!))</f>
        <v/>
      </c>
      <c r="AL95" s="179" t="str">
        <f aca="false">IF('Bulk Order Details'!S105="","","-"&amp;LOOKUP('Bulk Order Details'!S105,#REF!,#REF!))</f>
        <v/>
      </c>
      <c r="AM95" s="179" t="str">
        <f aca="false">IF(_xlfn.CONCAT(AH95:AL95)="","","Lo"&amp;_xlfn.CONCAT(AH95:AL95))</f>
        <v/>
      </c>
      <c r="AN95" s="179" t="str">
        <f aca="false">IF('Bulk Order Details'!K105="","","Na-"&amp;'Bulk Order Details'!K105)</f>
        <v/>
      </c>
      <c r="AO95" s="179" t="str">
        <f aca="false">IF('Bulk Order Details'!N105="","","Fo-"&amp;'Bulk Order Details'!N105)</f>
        <v/>
      </c>
      <c r="AP95" s="179" t="str">
        <f aca="false">IF(AE95="","",AE95&amp;"_"&amp;AF95&amp;"_"&amp;AG95&amp;IF(AM95="","","_"&amp;AM95)&amp;IF(AN95="","","_"&amp;AN95)&amp;IF(AO95="","","_"&amp;AO95))</f>
        <v/>
      </c>
      <c r="AQ95" s="218" t="str">
        <f aca="false">IF(X95="","",X95)</f>
        <v/>
      </c>
    </row>
    <row r="96" customFormat="false" ht="15" hidden="false" customHeight="true" outlineLevel="0" collapsed="false">
      <c r="B96" s="209" t="n">
        <f aca="false">'Bulk Order Details'!B106</f>
        <v>93</v>
      </c>
      <c r="C96" s="209" t="e">
        <f aca="false">IF('bulk order details'!#ref!="","",'bulk order details'!#ref!&amp;" "&amp;'bulk order details'!#ref!)</f>
        <v>#VALUE!</v>
      </c>
      <c r="D96" s="210" t="str">
        <f aca="false">IF('Bulk Order Details'!J106="","",VLOOKUP(1,Price[],3))</f>
        <v/>
      </c>
      <c r="E96" s="211" t="str">
        <f aca="false">IF('Bulk Order Details'!J106="","",Summary!$D$9)</f>
        <v/>
      </c>
      <c r="F96" s="212" t="str">
        <f aca="false">IF('Bulk Order Details'!F106="","",_xlfn.xlookup('Bulk Order Details'!F106,Size[Display],Size[Price]))</f>
        <v/>
      </c>
      <c r="G96" s="212" t="str">
        <f aca="false">IF('Bulk Order Details'!G106="","",_xlfn.xlookup('Bulk Order Details'!G106,Length[Display],Length[Price]))</f>
        <v/>
      </c>
      <c r="H96" s="212" t="str">
        <f aca="false">IF('Bulk Order Details'!H106="","",_xlfn.xlookup('Bulk Order Details'!H106,Collection[Display],Collection[Price]))</f>
        <v/>
      </c>
      <c r="I96" s="212" t="str">
        <f aca="false">IF('Bulk Order Details'!I106="","",_xlfn.xlookup('Bulk Order Details'!I106,Sleeve[Display],Sleeve[Price]))</f>
        <v/>
      </c>
      <c r="J96" s="212" t="str">
        <f aca="false">IF('Bulk Order Details'!J106="","",_xlfn.xlookup('Bulk Order Details'!J106,Collar[Display],Collar[Price]))</f>
        <v/>
      </c>
      <c r="K96" s="212" t="str">
        <f aca="false">IF('Bulk Order Details'!K106="","",_xlfn.xlookup("Name",Name[Name],Name[Price]))</f>
        <v/>
      </c>
      <c r="L96" s="213" t="str">
        <f aca="false">IFERROR(IF('Bulk Order Details'!O106="","",IF(_xlfn.xlookup('Bulk Order Details'!O106,Logos[Display],Logos[Use])="Flat",_xlfn.xlookup('Bulk Order Details'!O106,Logos[Display],Logos[Flat]),ROUND(_xlfn.xlookup('Bulk Order Details'!O106,Logos[Display],Logos[Pct])*$E96,2))),"")</f>
        <v/>
      </c>
      <c r="M96" s="222" t="str">
        <f aca="false">IFERROR(IF('Bulk Order Details'!P106="","",IF(_xlfn.xlookup('Bulk Order Details'!P106,Chest[Display],Chest[Use])="Flat",_xlfn.xlookup('Bulk Order Details'!P106,Chest[Display],Chest[Flat]),ROUND(_xlfn.xlookup('Bulk Order Details'!P106,Chest[Display],Chest[Pct])*$E96,2))),"")</f>
        <v/>
      </c>
      <c r="N96" s="222" t="str">
        <f aca="false">IFERROR(IF('Bulk Order Details'!Q106="","",IF(_xlfn.xlookup('Bulk Order Details'!Q106,Chest[Display],Chest[Use])="Flat",_xlfn.xlookup('Bulk Order Details'!Q106,Chest[Display],Chest[Flat]),ROUND(_xlfn.xlookup('Bulk Order Details'!Q106,Chest[Display],Chest[Pct])*$E96,2))),"")</f>
        <v/>
      </c>
      <c r="O96" s="222" t="str">
        <f aca="false">IFERROR(IF('Bulk Order Details'!R106="","",IF(_xlfn.xlookup('Bulk Order Details'!R106,LeftSleeve[Display],LeftSleeve[Use])="Flat",_xlfn.xlookup('Bulk Order Details'!R106,LeftSleeve[Display],LeftSleeve[Flat]),ROUND(_xlfn.xlookup('Bulk Order Details'!R106,LeftSleeve[Display],LeftSleeve[Pct])*$E96,2))),"")</f>
        <v/>
      </c>
      <c r="P96" s="222" t="str">
        <f aca="false">IFERROR(IF('Bulk Order Details'!S106="","",IF(_xlfn.xlookup('Bulk Order Details'!S106,RightSleeve[Display],RightSleeve[Use])="Flat",_xlfn.xlookup('Bulk Order Details'!S106,RightSleeve[Display],RightSleeve[Flat]),ROUND(_xlfn.xlookup('Bulk Order Details'!S106,RightSleeve[Display],RightSleeve[Pct])*$E96,2))),"")</f>
        <v/>
      </c>
      <c r="Q96" s="214" t="str">
        <f aca="false">IF('Bulk Order Details'!J106="","",SUM(F96:P96))</f>
        <v/>
      </c>
      <c r="R96" s="213" t="str">
        <f aca="false">IFERROR(E96-D96,"")</f>
        <v/>
      </c>
      <c r="S96" s="215" t="str">
        <f aca="false">IFERROR(MIN(IF(Summary!$D$11="Yes",-J96,0),IF(H96&gt;0,-J96,0)),"")</f>
        <v/>
      </c>
      <c r="T96" s="212" t="str">
        <f aca="false">IFERROR(IF(Summary!$D$10="Yes",-K96,""),"")</f>
        <v/>
      </c>
      <c r="U96" s="213" t="str">
        <f aca="false">IFERROR(IF(Summary!$D$12="Yes",-L96,""),"")</f>
        <v/>
      </c>
      <c r="V96" s="216" t="str">
        <f aca="false">IF('Bulk Order Details'!J106="","",SUM(R96:U96))</f>
        <v/>
      </c>
      <c r="W96" s="217" t="str">
        <f aca="false">IF('Bulk Order Details'!J106="","",D96+Q96)</f>
        <v/>
      </c>
      <c r="X96" s="218" t="str">
        <f aca="false">IF('Bulk Order Details'!J106="","",D96+Q96+V96)</f>
        <v/>
      </c>
      <c r="Y96" s="219" t="str">
        <f aca="false">IFERROR((W96-X96)/W96,"")</f>
        <v/>
      </c>
      <c r="Z96" s="220" t="str">
        <f aca="false">IF('Bulk Order Details'!J106="","",MAX(1,'Bulk Order Details'!D106))</f>
        <v/>
      </c>
      <c r="AA96" s="217" t="str">
        <f aca="false">IF(Pricing_Details[[#This Row],[Quantity]]="","",Pricing_Details[[#This Row],[Retail Price]]*Pricing_Details[[#This Row],[Quantity]])</f>
        <v/>
      </c>
      <c r="AB96" s="217" t="str">
        <f aca="false">IF(Pricing_Details[[#This Row],[Quantity]]="","",Pricing_Details[[#This Row],[Total Discount]]*Pricing_Details[[#This Row],[Quantity]])</f>
        <v/>
      </c>
      <c r="AC96" s="221" t="str">
        <f aca="false">IFERROR(ROUND(Pricing_Details[[#This Row],[Actual Price]]*Pricing_Details[[#This Row],[Quantity]],2),"")</f>
        <v/>
      </c>
      <c r="AE96" s="179" t="str">
        <f aca="false">IF('Bulk Order Details'!J106="","",VLOOKUP('Bulk Order Details'!H106,Collection[],3)&amp;VLOOKUP('Bulk Order Details'!J106,Collar[],4)&amp;VLOOKUP('Bulk Order Details'!I106,Sleeve[],4))</f>
        <v/>
      </c>
      <c r="AF96" s="179" t="str">
        <f aca="false">IF('Bulk Order Details'!J106="","",LOOKUP('Bulk Order Details'!E106,Cut[Display],Cut[Code])&amp;LOOKUP('Bulk Order Details'!F106,#REF!,#REF!)&amp;IF('Bulk Order Details'!G106="","",LOOKUP('Bulk Order Details'!G106,Length[Display],Length[Code])))</f>
        <v/>
      </c>
      <c r="AG96" s="179" t="str">
        <f aca="false">IF('Bulk Order Details'!J106="","",IF('Bulk Order Details'!C106="","",'Bulk Order Details'!C106))</f>
        <v/>
      </c>
      <c r="AH96" s="179" t="str">
        <f aca="false">IF('Bulk Order Details'!O106="","","-"&amp;LOOKUP('Bulk Order Details'!O106,#REF!,#REF!))</f>
        <v/>
      </c>
      <c r="AI96" s="179" t="str">
        <f aca="false">IF('Bulk Order Details'!P106="","","-"&amp;LOOKUP('Bulk Order Details'!P106,#REF!,#REF!))</f>
        <v/>
      </c>
      <c r="AJ96" s="179" t="str">
        <f aca="false">IF('Bulk Order Details'!Q106="","","-"&amp;LOOKUP('Bulk Order Details'!Q106,#REF!,#REF!))</f>
        <v/>
      </c>
      <c r="AK96" s="179" t="str">
        <f aca="false">IF('Bulk Order Details'!R106="","","-"&amp;LOOKUP('Bulk Order Details'!R106,#REF!,#REF!))</f>
        <v/>
      </c>
      <c r="AL96" s="179" t="str">
        <f aca="false">IF('Bulk Order Details'!S106="","","-"&amp;LOOKUP('Bulk Order Details'!S106,#REF!,#REF!))</f>
        <v/>
      </c>
      <c r="AM96" s="179" t="str">
        <f aca="false">IF(_xlfn.CONCAT(AH96:AL96)="","","Lo"&amp;_xlfn.CONCAT(AH96:AL96))</f>
        <v/>
      </c>
      <c r="AN96" s="179" t="str">
        <f aca="false">IF('Bulk Order Details'!K106="","","Na-"&amp;'Bulk Order Details'!K106)</f>
        <v/>
      </c>
      <c r="AO96" s="179" t="str">
        <f aca="false">IF('Bulk Order Details'!N106="","","Fo-"&amp;'Bulk Order Details'!N106)</f>
        <v/>
      </c>
      <c r="AP96" s="179" t="str">
        <f aca="false">IF(AE96="","",AE96&amp;"_"&amp;AF96&amp;"_"&amp;AG96&amp;IF(AM96="","","_"&amp;AM96)&amp;IF(AN96="","","_"&amp;AN96)&amp;IF(AO96="","","_"&amp;AO96))</f>
        <v/>
      </c>
      <c r="AQ96" s="218" t="str">
        <f aca="false">IF(X96="","",X96)</f>
        <v/>
      </c>
    </row>
    <row r="97" customFormat="false" ht="15" hidden="false" customHeight="true" outlineLevel="0" collapsed="false">
      <c r="B97" s="209" t="n">
        <f aca="false">'Bulk Order Details'!B107</f>
        <v>94</v>
      </c>
      <c r="C97" s="209" t="e">
        <f aca="false">IF('bulk order details'!#ref!="","",'bulk order details'!#ref!&amp;" "&amp;'bulk order details'!#ref!)</f>
        <v>#VALUE!</v>
      </c>
      <c r="D97" s="210" t="str">
        <f aca="false">IF('Bulk Order Details'!J107="","",VLOOKUP(1,Price[],3))</f>
        <v/>
      </c>
      <c r="E97" s="211" t="str">
        <f aca="false">IF('Bulk Order Details'!J107="","",Summary!$D$9)</f>
        <v/>
      </c>
      <c r="F97" s="212" t="str">
        <f aca="false">IF('Bulk Order Details'!F107="","",_xlfn.xlookup('Bulk Order Details'!F107,Size[Display],Size[Price]))</f>
        <v/>
      </c>
      <c r="G97" s="212" t="str">
        <f aca="false">IF('Bulk Order Details'!G107="","",_xlfn.xlookup('Bulk Order Details'!G107,Length[Display],Length[Price]))</f>
        <v/>
      </c>
      <c r="H97" s="212" t="str">
        <f aca="false">IF('Bulk Order Details'!H107="","",_xlfn.xlookup('Bulk Order Details'!H107,Collection[Display],Collection[Price]))</f>
        <v/>
      </c>
      <c r="I97" s="212" t="str">
        <f aca="false">IF('Bulk Order Details'!I107="","",_xlfn.xlookup('Bulk Order Details'!I107,Sleeve[Display],Sleeve[Price]))</f>
        <v/>
      </c>
      <c r="J97" s="212" t="str">
        <f aca="false">IF('Bulk Order Details'!J107="","",_xlfn.xlookup('Bulk Order Details'!J107,Collar[Display],Collar[Price]))</f>
        <v/>
      </c>
      <c r="K97" s="212" t="str">
        <f aca="false">IF('Bulk Order Details'!K107="","",_xlfn.xlookup("Name",Name[Name],Name[Price]))</f>
        <v/>
      </c>
      <c r="L97" s="213" t="str">
        <f aca="false">IFERROR(IF('Bulk Order Details'!O107="","",IF(_xlfn.xlookup('Bulk Order Details'!O107,Logos[Display],Logos[Use])="Flat",_xlfn.xlookup('Bulk Order Details'!O107,Logos[Display],Logos[Flat]),ROUND(_xlfn.xlookup('Bulk Order Details'!O107,Logos[Display],Logos[Pct])*$E97,2))),"")</f>
        <v/>
      </c>
      <c r="M97" s="222" t="str">
        <f aca="false">IFERROR(IF('Bulk Order Details'!P107="","",IF(_xlfn.xlookup('Bulk Order Details'!P107,Chest[Display],Chest[Use])="Flat",_xlfn.xlookup('Bulk Order Details'!P107,Chest[Display],Chest[Flat]),ROUND(_xlfn.xlookup('Bulk Order Details'!P107,Chest[Display],Chest[Pct])*$E97,2))),"")</f>
        <v/>
      </c>
      <c r="N97" s="222" t="str">
        <f aca="false">IFERROR(IF('Bulk Order Details'!Q107="","",IF(_xlfn.xlookup('Bulk Order Details'!Q107,Chest[Display],Chest[Use])="Flat",_xlfn.xlookup('Bulk Order Details'!Q107,Chest[Display],Chest[Flat]),ROUND(_xlfn.xlookup('Bulk Order Details'!Q107,Chest[Display],Chest[Pct])*$E97,2))),"")</f>
        <v/>
      </c>
      <c r="O97" s="222" t="str">
        <f aca="false">IFERROR(IF('Bulk Order Details'!R107="","",IF(_xlfn.xlookup('Bulk Order Details'!R107,LeftSleeve[Display],LeftSleeve[Use])="Flat",_xlfn.xlookup('Bulk Order Details'!R107,LeftSleeve[Display],LeftSleeve[Flat]),ROUND(_xlfn.xlookup('Bulk Order Details'!R107,LeftSleeve[Display],LeftSleeve[Pct])*$E97,2))),"")</f>
        <v/>
      </c>
      <c r="P97" s="222" t="str">
        <f aca="false">IFERROR(IF('Bulk Order Details'!S107="","",IF(_xlfn.xlookup('Bulk Order Details'!S107,RightSleeve[Display],RightSleeve[Use])="Flat",_xlfn.xlookup('Bulk Order Details'!S107,RightSleeve[Display],RightSleeve[Flat]),ROUND(_xlfn.xlookup('Bulk Order Details'!S107,RightSleeve[Display],RightSleeve[Pct])*$E97,2))),"")</f>
        <v/>
      </c>
      <c r="Q97" s="214" t="str">
        <f aca="false">IF('Bulk Order Details'!J107="","",SUM(F97:P97))</f>
        <v/>
      </c>
      <c r="R97" s="213" t="str">
        <f aca="false">IFERROR(E97-D97,"")</f>
        <v/>
      </c>
      <c r="S97" s="215" t="str">
        <f aca="false">IFERROR(MIN(IF(Summary!$D$11="Yes",-J97,0),IF(H97&gt;0,-J97,0)),"")</f>
        <v/>
      </c>
      <c r="T97" s="212" t="str">
        <f aca="false">IFERROR(IF(Summary!$D$10="Yes",-K97,""),"")</f>
        <v/>
      </c>
      <c r="U97" s="213" t="str">
        <f aca="false">IFERROR(IF(Summary!$D$12="Yes",-L97,""),"")</f>
        <v/>
      </c>
      <c r="V97" s="216" t="str">
        <f aca="false">IF('Bulk Order Details'!J107="","",SUM(R97:U97))</f>
        <v/>
      </c>
      <c r="W97" s="217" t="str">
        <f aca="false">IF('Bulk Order Details'!J107="","",D97+Q97)</f>
        <v/>
      </c>
      <c r="X97" s="218" t="str">
        <f aca="false">IF('Bulk Order Details'!J107="","",D97+Q97+V97)</f>
        <v/>
      </c>
      <c r="Y97" s="219" t="str">
        <f aca="false">IFERROR((W97-X97)/W97,"")</f>
        <v/>
      </c>
      <c r="Z97" s="220" t="str">
        <f aca="false">IF('Bulk Order Details'!J107="","",MAX(1,'Bulk Order Details'!D107))</f>
        <v/>
      </c>
      <c r="AA97" s="217" t="str">
        <f aca="false">IF(Pricing_Details[[#This Row],[Quantity]]="","",Pricing_Details[[#This Row],[Retail Price]]*Pricing_Details[[#This Row],[Quantity]])</f>
        <v/>
      </c>
      <c r="AB97" s="217" t="str">
        <f aca="false">IF(Pricing_Details[[#This Row],[Quantity]]="","",Pricing_Details[[#This Row],[Total Discount]]*Pricing_Details[[#This Row],[Quantity]])</f>
        <v/>
      </c>
      <c r="AC97" s="221" t="str">
        <f aca="false">IFERROR(ROUND(Pricing_Details[[#This Row],[Actual Price]]*Pricing_Details[[#This Row],[Quantity]],2),"")</f>
        <v/>
      </c>
      <c r="AE97" s="179" t="str">
        <f aca="false">IF('Bulk Order Details'!J107="","",VLOOKUP('Bulk Order Details'!H107,Collection[],3)&amp;VLOOKUP('Bulk Order Details'!J107,Collar[],4)&amp;VLOOKUP('Bulk Order Details'!I107,Sleeve[],4))</f>
        <v/>
      </c>
      <c r="AF97" s="179" t="str">
        <f aca="false">IF('Bulk Order Details'!J107="","",LOOKUP('Bulk Order Details'!E107,Cut[Display],Cut[Code])&amp;LOOKUP('Bulk Order Details'!F107,#REF!,#REF!)&amp;IF('Bulk Order Details'!G107="","",LOOKUP('Bulk Order Details'!G107,Length[Display],Length[Code])))</f>
        <v/>
      </c>
      <c r="AG97" s="179" t="str">
        <f aca="false">IF('Bulk Order Details'!J107="","",IF('Bulk Order Details'!C107="","",'Bulk Order Details'!C107))</f>
        <v/>
      </c>
      <c r="AH97" s="179" t="str">
        <f aca="false">IF('Bulk Order Details'!O107="","","-"&amp;LOOKUP('Bulk Order Details'!O107,#REF!,#REF!))</f>
        <v/>
      </c>
      <c r="AI97" s="179" t="str">
        <f aca="false">IF('Bulk Order Details'!P107="","","-"&amp;LOOKUP('Bulk Order Details'!P107,#REF!,#REF!))</f>
        <v/>
      </c>
      <c r="AJ97" s="179" t="str">
        <f aca="false">IF('Bulk Order Details'!Q107="","","-"&amp;LOOKUP('Bulk Order Details'!Q107,#REF!,#REF!))</f>
        <v/>
      </c>
      <c r="AK97" s="179" t="str">
        <f aca="false">IF('Bulk Order Details'!R107="","","-"&amp;LOOKUP('Bulk Order Details'!R107,#REF!,#REF!))</f>
        <v/>
      </c>
      <c r="AL97" s="179" t="str">
        <f aca="false">IF('Bulk Order Details'!S107="","","-"&amp;LOOKUP('Bulk Order Details'!S107,#REF!,#REF!))</f>
        <v/>
      </c>
      <c r="AM97" s="179" t="str">
        <f aca="false">IF(_xlfn.CONCAT(AH97:AL97)="","","Lo"&amp;_xlfn.CONCAT(AH97:AL97))</f>
        <v/>
      </c>
      <c r="AN97" s="179" t="str">
        <f aca="false">IF('Bulk Order Details'!K107="","","Na-"&amp;'Bulk Order Details'!K107)</f>
        <v/>
      </c>
      <c r="AO97" s="179" t="str">
        <f aca="false">IF('Bulk Order Details'!N107="","","Fo-"&amp;'Bulk Order Details'!N107)</f>
        <v/>
      </c>
      <c r="AP97" s="179" t="str">
        <f aca="false">IF(AE97="","",AE97&amp;"_"&amp;AF97&amp;"_"&amp;AG97&amp;IF(AM97="","","_"&amp;AM97)&amp;IF(AN97="","","_"&amp;AN97)&amp;IF(AO97="","","_"&amp;AO97))</f>
        <v/>
      </c>
      <c r="AQ97" s="218" t="str">
        <f aca="false">IF(X97="","",X97)</f>
        <v/>
      </c>
    </row>
    <row r="98" customFormat="false" ht="15" hidden="false" customHeight="true" outlineLevel="0" collapsed="false">
      <c r="B98" s="209" t="n">
        <f aca="false">'Bulk Order Details'!B108</f>
        <v>95</v>
      </c>
      <c r="C98" s="209" t="e">
        <f aca="false">IF('bulk order details'!#ref!="","",'bulk order details'!#ref!&amp;" "&amp;'bulk order details'!#ref!)</f>
        <v>#VALUE!</v>
      </c>
      <c r="D98" s="210" t="str">
        <f aca="false">IF('Bulk Order Details'!J108="","",VLOOKUP(1,Price[],3))</f>
        <v/>
      </c>
      <c r="E98" s="211" t="str">
        <f aca="false">IF('Bulk Order Details'!J108="","",Summary!$D$9)</f>
        <v/>
      </c>
      <c r="F98" s="212" t="str">
        <f aca="false">IF('Bulk Order Details'!F108="","",_xlfn.xlookup('Bulk Order Details'!F108,Size[Display],Size[Price]))</f>
        <v/>
      </c>
      <c r="G98" s="212" t="str">
        <f aca="false">IF('Bulk Order Details'!G108="","",_xlfn.xlookup('Bulk Order Details'!G108,Length[Display],Length[Price]))</f>
        <v/>
      </c>
      <c r="H98" s="212" t="str">
        <f aca="false">IF('Bulk Order Details'!H108="","",_xlfn.xlookup('Bulk Order Details'!H108,Collection[Display],Collection[Price]))</f>
        <v/>
      </c>
      <c r="I98" s="212" t="str">
        <f aca="false">IF('Bulk Order Details'!I108="","",_xlfn.xlookup('Bulk Order Details'!I108,Sleeve[Display],Sleeve[Price]))</f>
        <v/>
      </c>
      <c r="J98" s="212" t="str">
        <f aca="false">IF('Bulk Order Details'!J108="","",_xlfn.xlookup('Bulk Order Details'!J108,Collar[Display],Collar[Price]))</f>
        <v/>
      </c>
      <c r="K98" s="212" t="str">
        <f aca="false">IF('Bulk Order Details'!K108="","",_xlfn.xlookup("Name",Name[Name],Name[Price]))</f>
        <v/>
      </c>
      <c r="L98" s="213" t="str">
        <f aca="false">IFERROR(IF('Bulk Order Details'!O108="","",IF(_xlfn.xlookup('Bulk Order Details'!O108,Logos[Display],Logos[Use])="Flat",_xlfn.xlookup('Bulk Order Details'!O108,Logos[Display],Logos[Flat]),ROUND(_xlfn.xlookup('Bulk Order Details'!O108,Logos[Display],Logos[Pct])*$E98,2))),"")</f>
        <v/>
      </c>
      <c r="M98" s="222" t="str">
        <f aca="false">IFERROR(IF('Bulk Order Details'!P108="","",IF(_xlfn.xlookup('Bulk Order Details'!P108,Chest[Display],Chest[Use])="Flat",_xlfn.xlookup('Bulk Order Details'!P108,Chest[Display],Chest[Flat]),ROUND(_xlfn.xlookup('Bulk Order Details'!P108,Chest[Display],Chest[Pct])*$E98,2))),"")</f>
        <v/>
      </c>
      <c r="N98" s="222" t="str">
        <f aca="false">IFERROR(IF('Bulk Order Details'!Q108="","",IF(_xlfn.xlookup('Bulk Order Details'!Q108,Chest[Display],Chest[Use])="Flat",_xlfn.xlookup('Bulk Order Details'!Q108,Chest[Display],Chest[Flat]),ROUND(_xlfn.xlookup('Bulk Order Details'!Q108,Chest[Display],Chest[Pct])*$E98,2))),"")</f>
        <v/>
      </c>
      <c r="O98" s="222" t="str">
        <f aca="false">IFERROR(IF('Bulk Order Details'!R108="","",IF(_xlfn.xlookup('Bulk Order Details'!R108,LeftSleeve[Display],LeftSleeve[Use])="Flat",_xlfn.xlookup('Bulk Order Details'!R108,LeftSleeve[Display],LeftSleeve[Flat]),ROUND(_xlfn.xlookup('Bulk Order Details'!R108,LeftSleeve[Display],LeftSleeve[Pct])*$E98,2))),"")</f>
        <v/>
      </c>
      <c r="P98" s="222" t="str">
        <f aca="false">IFERROR(IF('Bulk Order Details'!S108="","",IF(_xlfn.xlookup('Bulk Order Details'!S108,RightSleeve[Display],RightSleeve[Use])="Flat",_xlfn.xlookup('Bulk Order Details'!S108,RightSleeve[Display],RightSleeve[Flat]),ROUND(_xlfn.xlookup('Bulk Order Details'!S108,RightSleeve[Display],RightSleeve[Pct])*$E98,2))),"")</f>
        <v/>
      </c>
      <c r="Q98" s="214" t="str">
        <f aca="false">IF('Bulk Order Details'!J108="","",SUM(F98:P98))</f>
        <v/>
      </c>
      <c r="R98" s="213" t="str">
        <f aca="false">IFERROR(E98-D98,"")</f>
        <v/>
      </c>
      <c r="S98" s="215" t="str">
        <f aca="false">IFERROR(MIN(IF(Summary!$D$11="Yes",-J98,0),IF(H98&gt;0,-J98,0)),"")</f>
        <v/>
      </c>
      <c r="T98" s="212" t="str">
        <f aca="false">IFERROR(IF(Summary!$D$10="Yes",-K98,""),"")</f>
        <v/>
      </c>
      <c r="U98" s="213" t="str">
        <f aca="false">IFERROR(IF(Summary!$D$12="Yes",-L98,""),"")</f>
        <v/>
      </c>
      <c r="V98" s="216" t="str">
        <f aca="false">IF('Bulk Order Details'!J108="","",SUM(R98:U98))</f>
        <v/>
      </c>
      <c r="W98" s="217" t="str">
        <f aca="false">IF('Bulk Order Details'!J108="","",D98+Q98)</f>
        <v/>
      </c>
      <c r="X98" s="218" t="str">
        <f aca="false">IF('Bulk Order Details'!J108="","",D98+Q98+V98)</f>
        <v/>
      </c>
      <c r="Y98" s="219" t="str">
        <f aca="false">IFERROR((W98-X98)/W98,"")</f>
        <v/>
      </c>
      <c r="Z98" s="220" t="str">
        <f aca="false">IF('Bulk Order Details'!J108="","",MAX(1,'Bulk Order Details'!D108))</f>
        <v/>
      </c>
      <c r="AA98" s="217" t="str">
        <f aca="false">IF(Pricing_Details[[#This Row],[Quantity]]="","",Pricing_Details[[#This Row],[Retail Price]]*Pricing_Details[[#This Row],[Quantity]])</f>
        <v/>
      </c>
      <c r="AB98" s="217" t="str">
        <f aca="false">IF(Pricing_Details[[#This Row],[Quantity]]="","",Pricing_Details[[#This Row],[Total Discount]]*Pricing_Details[[#This Row],[Quantity]])</f>
        <v/>
      </c>
      <c r="AC98" s="221" t="str">
        <f aca="false">IFERROR(ROUND(Pricing_Details[[#This Row],[Actual Price]]*Pricing_Details[[#This Row],[Quantity]],2),"")</f>
        <v/>
      </c>
      <c r="AE98" s="179" t="str">
        <f aca="false">IF('Bulk Order Details'!J108="","",VLOOKUP('Bulk Order Details'!H108,Collection[],3)&amp;VLOOKUP('Bulk Order Details'!J108,Collar[],4)&amp;VLOOKUP('Bulk Order Details'!I108,Sleeve[],4))</f>
        <v/>
      </c>
      <c r="AF98" s="179" t="str">
        <f aca="false">IF('Bulk Order Details'!J108="","",LOOKUP('Bulk Order Details'!E108,Cut[Display],Cut[Code])&amp;LOOKUP('Bulk Order Details'!F108,#REF!,#REF!)&amp;IF('Bulk Order Details'!G108="","",LOOKUP('Bulk Order Details'!G108,Length[Display],Length[Code])))</f>
        <v/>
      </c>
      <c r="AG98" s="179" t="str">
        <f aca="false">IF('Bulk Order Details'!J108="","",IF('Bulk Order Details'!C108="","",'Bulk Order Details'!C108))</f>
        <v/>
      </c>
      <c r="AH98" s="179" t="str">
        <f aca="false">IF('Bulk Order Details'!O108="","","-"&amp;LOOKUP('Bulk Order Details'!O108,#REF!,#REF!))</f>
        <v/>
      </c>
      <c r="AI98" s="179" t="str">
        <f aca="false">IF('Bulk Order Details'!P108="","","-"&amp;LOOKUP('Bulk Order Details'!P108,#REF!,#REF!))</f>
        <v/>
      </c>
      <c r="AJ98" s="179" t="str">
        <f aca="false">IF('Bulk Order Details'!Q108="","","-"&amp;LOOKUP('Bulk Order Details'!Q108,#REF!,#REF!))</f>
        <v/>
      </c>
      <c r="AK98" s="179" t="str">
        <f aca="false">IF('Bulk Order Details'!R108="","","-"&amp;LOOKUP('Bulk Order Details'!R108,#REF!,#REF!))</f>
        <v/>
      </c>
      <c r="AL98" s="179" t="str">
        <f aca="false">IF('Bulk Order Details'!S108="","","-"&amp;LOOKUP('Bulk Order Details'!S108,#REF!,#REF!))</f>
        <v/>
      </c>
      <c r="AM98" s="179" t="str">
        <f aca="false">IF(_xlfn.CONCAT(AH98:AL98)="","","Lo"&amp;_xlfn.CONCAT(AH98:AL98))</f>
        <v/>
      </c>
      <c r="AN98" s="179" t="str">
        <f aca="false">IF('Bulk Order Details'!K108="","","Na-"&amp;'Bulk Order Details'!K108)</f>
        <v/>
      </c>
      <c r="AO98" s="179" t="str">
        <f aca="false">IF('Bulk Order Details'!N108="","","Fo-"&amp;'Bulk Order Details'!N108)</f>
        <v/>
      </c>
      <c r="AP98" s="179" t="str">
        <f aca="false">IF(AE98="","",AE98&amp;"_"&amp;AF98&amp;"_"&amp;AG98&amp;IF(AM98="","","_"&amp;AM98)&amp;IF(AN98="","","_"&amp;AN98)&amp;IF(AO98="","","_"&amp;AO98))</f>
        <v/>
      </c>
      <c r="AQ98" s="218" t="str">
        <f aca="false">IF(X98="","",X98)</f>
        <v/>
      </c>
    </row>
    <row r="99" customFormat="false" ht="15" hidden="false" customHeight="true" outlineLevel="0" collapsed="false">
      <c r="B99" s="209" t="n">
        <f aca="false">'Bulk Order Details'!B109</f>
        <v>96</v>
      </c>
      <c r="C99" s="209" t="e">
        <f aca="false">IF('bulk order details'!#ref!="","",'bulk order details'!#ref!&amp;" "&amp;'bulk order details'!#ref!)</f>
        <v>#VALUE!</v>
      </c>
      <c r="D99" s="210" t="str">
        <f aca="false">IF('Bulk Order Details'!J109="","",VLOOKUP(1,Price[],3))</f>
        <v/>
      </c>
      <c r="E99" s="211" t="str">
        <f aca="false">IF('Bulk Order Details'!J109="","",Summary!$D$9)</f>
        <v/>
      </c>
      <c r="F99" s="212" t="str">
        <f aca="false">IF('Bulk Order Details'!F109="","",_xlfn.xlookup('Bulk Order Details'!F109,Size[Display],Size[Price]))</f>
        <v/>
      </c>
      <c r="G99" s="212" t="str">
        <f aca="false">IF('Bulk Order Details'!G109="","",_xlfn.xlookup('Bulk Order Details'!G109,Length[Display],Length[Price]))</f>
        <v/>
      </c>
      <c r="H99" s="212" t="str">
        <f aca="false">IF('Bulk Order Details'!H109="","",_xlfn.xlookup('Bulk Order Details'!H109,Collection[Display],Collection[Price]))</f>
        <v/>
      </c>
      <c r="I99" s="212" t="str">
        <f aca="false">IF('Bulk Order Details'!I109="","",_xlfn.xlookup('Bulk Order Details'!I109,Sleeve[Display],Sleeve[Price]))</f>
        <v/>
      </c>
      <c r="J99" s="212" t="str">
        <f aca="false">IF('Bulk Order Details'!J109="","",_xlfn.xlookup('Bulk Order Details'!J109,Collar[Display],Collar[Price]))</f>
        <v/>
      </c>
      <c r="K99" s="212" t="str">
        <f aca="false">IF('Bulk Order Details'!K109="","",_xlfn.xlookup("Name",Name[Name],Name[Price]))</f>
        <v/>
      </c>
      <c r="L99" s="213" t="str">
        <f aca="false">IFERROR(IF('Bulk Order Details'!O109="","",IF(_xlfn.xlookup('Bulk Order Details'!O109,Logos[Display],Logos[Use])="Flat",_xlfn.xlookup('Bulk Order Details'!O109,Logos[Display],Logos[Flat]),ROUND(_xlfn.xlookup('Bulk Order Details'!O109,Logos[Display],Logos[Pct])*$E99,2))),"")</f>
        <v/>
      </c>
      <c r="M99" s="222" t="str">
        <f aca="false">IFERROR(IF('Bulk Order Details'!P109="","",IF(_xlfn.xlookup('Bulk Order Details'!P109,Chest[Display],Chest[Use])="Flat",_xlfn.xlookup('Bulk Order Details'!P109,Chest[Display],Chest[Flat]),ROUND(_xlfn.xlookup('Bulk Order Details'!P109,Chest[Display],Chest[Pct])*$E99,2))),"")</f>
        <v/>
      </c>
      <c r="N99" s="222" t="str">
        <f aca="false">IFERROR(IF('Bulk Order Details'!Q109="","",IF(_xlfn.xlookup('Bulk Order Details'!Q109,Chest[Display],Chest[Use])="Flat",_xlfn.xlookup('Bulk Order Details'!Q109,Chest[Display],Chest[Flat]),ROUND(_xlfn.xlookup('Bulk Order Details'!Q109,Chest[Display],Chest[Pct])*$E99,2))),"")</f>
        <v/>
      </c>
      <c r="O99" s="222" t="str">
        <f aca="false">IFERROR(IF('Bulk Order Details'!R109="","",IF(_xlfn.xlookup('Bulk Order Details'!R109,LeftSleeve[Display],LeftSleeve[Use])="Flat",_xlfn.xlookup('Bulk Order Details'!R109,LeftSleeve[Display],LeftSleeve[Flat]),ROUND(_xlfn.xlookup('Bulk Order Details'!R109,LeftSleeve[Display],LeftSleeve[Pct])*$E99,2))),"")</f>
        <v/>
      </c>
      <c r="P99" s="222" t="str">
        <f aca="false">IFERROR(IF('Bulk Order Details'!S109="","",IF(_xlfn.xlookup('Bulk Order Details'!S109,RightSleeve[Display],RightSleeve[Use])="Flat",_xlfn.xlookup('Bulk Order Details'!S109,RightSleeve[Display],RightSleeve[Flat]),ROUND(_xlfn.xlookup('Bulk Order Details'!S109,RightSleeve[Display],RightSleeve[Pct])*$E99,2))),"")</f>
        <v/>
      </c>
      <c r="Q99" s="214" t="str">
        <f aca="false">IF('Bulk Order Details'!J109="","",SUM(F99:P99))</f>
        <v/>
      </c>
      <c r="R99" s="213" t="str">
        <f aca="false">IFERROR(E99-D99,"")</f>
        <v/>
      </c>
      <c r="S99" s="215" t="str">
        <f aca="false">IFERROR(MIN(IF(Summary!$D$11="Yes",-J99,0),IF(H99&gt;0,-J99,0)),"")</f>
        <v/>
      </c>
      <c r="T99" s="212" t="str">
        <f aca="false">IFERROR(IF(Summary!$D$10="Yes",-K99,""),"")</f>
        <v/>
      </c>
      <c r="U99" s="213" t="str">
        <f aca="false">IFERROR(IF(Summary!$D$12="Yes",-L99,""),"")</f>
        <v/>
      </c>
      <c r="V99" s="216" t="str">
        <f aca="false">IF('Bulk Order Details'!J109="","",SUM(R99:U99))</f>
        <v/>
      </c>
      <c r="W99" s="217" t="str">
        <f aca="false">IF('Bulk Order Details'!J109="","",D99+Q99)</f>
        <v/>
      </c>
      <c r="X99" s="218" t="str">
        <f aca="false">IF('Bulk Order Details'!J109="","",D99+Q99+V99)</f>
        <v/>
      </c>
      <c r="Y99" s="219" t="str">
        <f aca="false">IFERROR((W99-X99)/W99,"")</f>
        <v/>
      </c>
      <c r="Z99" s="220" t="str">
        <f aca="false">IF('Bulk Order Details'!J109="","",MAX(1,'Bulk Order Details'!D109))</f>
        <v/>
      </c>
      <c r="AA99" s="217" t="str">
        <f aca="false">IF(Pricing_Details[[#This Row],[Quantity]]="","",Pricing_Details[[#This Row],[Retail Price]]*Pricing_Details[[#This Row],[Quantity]])</f>
        <v/>
      </c>
      <c r="AB99" s="217" t="str">
        <f aca="false">IF(Pricing_Details[[#This Row],[Quantity]]="","",Pricing_Details[[#This Row],[Total Discount]]*Pricing_Details[[#This Row],[Quantity]])</f>
        <v/>
      </c>
      <c r="AC99" s="221" t="str">
        <f aca="false">IFERROR(ROUND(Pricing_Details[[#This Row],[Actual Price]]*Pricing_Details[[#This Row],[Quantity]],2),"")</f>
        <v/>
      </c>
      <c r="AE99" s="179" t="str">
        <f aca="false">IF('Bulk Order Details'!J109="","",VLOOKUP('Bulk Order Details'!H109,Collection[],3)&amp;VLOOKUP('Bulk Order Details'!J109,Collar[],4)&amp;VLOOKUP('Bulk Order Details'!I109,Sleeve[],4))</f>
        <v/>
      </c>
      <c r="AF99" s="179" t="str">
        <f aca="false">IF('Bulk Order Details'!J109="","",LOOKUP('Bulk Order Details'!E109,Cut[Display],Cut[Code])&amp;LOOKUP('Bulk Order Details'!F109,#REF!,#REF!)&amp;IF('Bulk Order Details'!G109="","",LOOKUP('Bulk Order Details'!G109,Length[Display],Length[Code])))</f>
        <v/>
      </c>
      <c r="AG99" s="179" t="str">
        <f aca="false">IF('Bulk Order Details'!J109="","",IF('Bulk Order Details'!C109="","",'Bulk Order Details'!C109))</f>
        <v/>
      </c>
      <c r="AH99" s="179" t="str">
        <f aca="false">IF('Bulk Order Details'!O109="","","-"&amp;LOOKUP('Bulk Order Details'!O109,#REF!,#REF!))</f>
        <v/>
      </c>
      <c r="AI99" s="179" t="str">
        <f aca="false">IF('Bulk Order Details'!P109="","","-"&amp;LOOKUP('Bulk Order Details'!P109,#REF!,#REF!))</f>
        <v/>
      </c>
      <c r="AJ99" s="179" t="str">
        <f aca="false">IF('Bulk Order Details'!Q109="","","-"&amp;LOOKUP('Bulk Order Details'!Q109,#REF!,#REF!))</f>
        <v/>
      </c>
      <c r="AK99" s="179" t="str">
        <f aca="false">IF('Bulk Order Details'!R109="","","-"&amp;LOOKUP('Bulk Order Details'!R109,#REF!,#REF!))</f>
        <v/>
      </c>
      <c r="AL99" s="179" t="str">
        <f aca="false">IF('Bulk Order Details'!S109="","","-"&amp;LOOKUP('Bulk Order Details'!S109,#REF!,#REF!))</f>
        <v/>
      </c>
      <c r="AM99" s="179" t="str">
        <f aca="false">IF(_xlfn.CONCAT(AH99:AL99)="","","Lo"&amp;_xlfn.CONCAT(AH99:AL99))</f>
        <v/>
      </c>
      <c r="AN99" s="179" t="str">
        <f aca="false">IF('Bulk Order Details'!K109="","","Na-"&amp;'Bulk Order Details'!K109)</f>
        <v/>
      </c>
      <c r="AO99" s="179" t="str">
        <f aca="false">IF('Bulk Order Details'!N109="","","Fo-"&amp;'Bulk Order Details'!N109)</f>
        <v/>
      </c>
      <c r="AP99" s="179" t="str">
        <f aca="false">IF(AE99="","",AE99&amp;"_"&amp;AF99&amp;"_"&amp;AG99&amp;IF(AM99="","","_"&amp;AM99)&amp;IF(AN99="","","_"&amp;AN99)&amp;IF(AO99="","","_"&amp;AO99))</f>
        <v/>
      </c>
      <c r="AQ99" s="218" t="str">
        <f aca="false">IF(X99="","",X99)</f>
        <v/>
      </c>
    </row>
    <row r="100" customFormat="false" ht="15" hidden="false" customHeight="true" outlineLevel="0" collapsed="false">
      <c r="B100" s="209" t="n">
        <f aca="false">'Bulk Order Details'!B110</f>
        <v>97</v>
      </c>
      <c r="C100" s="209" t="e">
        <f aca="false">IF('bulk order details'!#ref!="","",'bulk order details'!#ref!&amp;" "&amp;'bulk order details'!#ref!)</f>
        <v>#VALUE!</v>
      </c>
      <c r="D100" s="210" t="str">
        <f aca="false">IF('Bulk Order Details'!J110="","",VLOOKUP(1,Price[],3))</f>
        <v/>
      </c>
      <c r="E100" s="211" t="str">
        <f aca="false">IF('Bulk Order Details'!J110="","",Summary!$D$9)</f>
        <v/>
      </c>
      <c r="F100" s="212" t="str">
        <f aca="false">IF('Bulk Order Details'!F110="","",_xlfn.xlookup('Bulk Order Details'!F110,Size[Display],Size[Price]))</f>
        <v/>
      </c>
      <c r="G100" s="212" t="str">
        <f aca="false">IF('Bulk Order Details'!G110="","",_xlfn.xlookup('Bulk Order Details'!G110,Length[Display],Length[Price]))</f>
        <v/>
      </c>
      <c r="H100" s="212" t="str">
        <f aca="false">IF('Bulk Order Details'!H110="","",_xlfn.xlookup('Bulk Order Details'!H110,Collection[Display],Collection[Price]))</f>
        <v/>
      </c>
      <c r="I100" s="212" t="str">
        <f aca="false">IF('Bulk Order Details'!I110="","",_xlfn.xlookup('Bulk Order Details'!I110,Sleeve[Display],Sleeve[Price]))</f>
        <v/>
      </c>
      <c r="J100" s="212" t="str">
        <f aca="false">IF('Bulk Order Details'!J110="","",_xlfn.xlookup('Bulk Order Details'!J110,Collar[Display],Collar[Price]))</f>
        <v/>
      </c>
      <c r="K100" s="212" t="str">
        <f aca="false">IF('Bulk Order Details'!K110="","",_xlfn.xlookup("Name",Name[Name],Name[Price]))</f>
        <v/>
      </c>
      <c r="L100" s="213" t="str">
        <f aca="false">IFERROR(IF('Bulk Order Details'!O110="","",IF(_xlfn.xlookup('Bulk Order Details'!O110,Logos[Display],Logos[Use])="Flat",_xlfn.xlookup('Bulk Order Details'!O110,Logos[Display],Logos[Flat]),ROUND(_xlfn.xlookup('Bulk Order Details'!O110,Logos[Display],Logos[Pct])*$E100,2))),"")</f>
        <v/>
      </c>
      <c r="M100" s="222" t="str">
        <f aca="false">IFERROR(IF('Bulk Order Details'!P110="","",IF(_xlfn.xlookup('Bulk Order Details'!P110,Chest[Display],Chest[Use])="Flat",_xlfn.xlookup('Bulk Order Details'!P110,Chest[Display],Chest[Flat]),ROUND(_xlfn.xlookup('Bulk Order Details'!P110,Chest[Display],Chest[Pct])*$E100,2))),"")</f>
        <v/>
      </c>
      <c r="N100" s="222" t="str">
        <f aca="false">IFERROR(IF('Bulk Order Details'!Q110="","",IF(_xlfn.xlookup('Bulk Order Details'!Q110,Chest[Display],Chest[Use])="Flat",_xlfn.xlookup('Bulk Order Details'!Q110,Chest[Display],Chest[Flat]),ROUND(_xlfn.xlookup('Bulk Order Details'!Q110,Chest[Display],Chest[Pct])*$E100,2))),"")</f>
        <v/>
      </c>
      <c r="O100" s="222" t="str">
        <f aca="false">IFERROR(IF('Bulk Order Details'!R110="","",IF(_xlfn.xlookup('Bulk Order Details'!R110,LeftSleeve[Display],LeftSleeve[Use])="Flat",_xlfn.xlookup('Bulk Order Details'!R110,LeftSleeve[Display],LeftSleeve[Flat]),ROUND(_xlfn.xlookup('Bulk Order Details'!R110,LeftSleeve[Display],LeftSleeve[Pct])*$E100,2))),"")</f>
        <v/>
      </c>
      <c r="P100" s="222" t="str">
        <f aca="false">IFERROR(IF('Bulk Order Details'!S110="","",IF(_xlfn.xlookup('Bulk Order Details'!S110,RightSleeve[Display],RightSleeve[Use])="Flat",_xlfn.xlookup('Bulk Order Details'!S110,RightSleeve[Display],RightSleeve[Flat]),ROUND(_xlfn.xlookup('Bulk Order Details'!S110,RightSleeve[Display],RightSleeve[Pct])*$E100,2))),"")</f>
        <v/>
      </c>
      <c r="Q100" s="214" t="str">
        <f aca="false">IF('Bulk Order Details'!J110="","",SUM(F100:P100))</f>
        <v/>
      </c>
      <c r="R100" s="213" t="str">
        <f aca="false">IFERROR(E100-D100,"")</f>
        <v/>
      </c>
      <c r="S100" s="215" t="str">
        <f aca="false">IFERROR(MIN(IF(Summary!$D$11="Yes",-J100,0),IF(H100&gt;0,-J100,0)),"")</f>
        <v/>
      </c>
      <c r="T100" s="212" t="str">
        <f aca="false">IFERROR(IF(Summary!$D$10="Yes",-K100,""),"")</f>
        <v/>
      </c>
      <c r="U100" s="213" t="str">
        <f aca="false">IFERROR(IF(Summary!$D$12="Yes",-L100,""),"")</f>
        <v/>
      </c>
      <c r="V100" s="216" t="str">
        <f aca="false">IF('Bulk Order Details'!J110="","",SUM(R100:U100))</f>
        <v/>
      </c>
      <c r="W100" s="217" t="str">
        <f aca="false">IF('Bulk Order Details'!J110="","",D100+Q100)</f>
        <v/>
      </c>
      <c r="X100" s="218" t="str">
        <f aca="false">IF('Bulk Order Details'!J110="","",D100+Q100+V100)</f>
        <v/>
      </c>
      <c r="Y100" s="219" t="str">
        <f aca="false">IFERROR((W100-X100)/W100,"")</f>
        <v/>
      </c>
      <c r="Z100" s="220" t="str">
        <f aca="false">IF('Bulk Order Details'!J110="","",MAX(1,'Bulk Order Details'!D110))</f>
        <v/>
      </c>
      <c r="AA100" s="217" t="str">
        <f aca="false">IF(Pricing_Details[[#This Row],[Quantity]]="","",Pricing_Details[[#This Row],[Retail Price]]*Pricing_Details[[#This Row],[Quantity]])</f>
        <v/>
      </c>
      <c r="AB100" s="217" t="str">
        <f aca="false">IF(Pricing_Details[[#This Row],[Quantity]]="","",Pricing_Details[[#This Row],[Total Discount]]*Pricing_Details[[#This Row],[Quantity]])</f>
        <v/>
      </c>
      <c r="AC100" s="221" t="str">
        <f aca="false">IFERROR(ROUND(Pricing_Details[[#This Row],[Actual Price]]*Pricing_Details[[#This Row],[Quantity]],2),"")</f>
        <v/>
      </c>
      <c r="AE100" s="179" t="str">
        <f aca="false">IF('Bulk Order Details'!J110="","",VLOOKUP('Bulk Order Details'!H110,Collection[],3)&amp;VLOOKUP('Bulk Order Details'!J110,Collar[],4)&amp;VLOOKUP('Bulk Order Details'!I110,Sleeve[],4))</f>
        <v/>
      </c>
      <c r="AF100" s="179" t="str">
        <f aca="false">IF('Bulk Order Details'!J110="","",LOOKUP('Bulk Order Details'!E110,Cut[Display],Cut[Code])&amp;LOOKUP('Bulk Order Details'!F110,#REF!,#REF!)&amp;IF('Bulk Order Details'!G110="","",LOOKUP('Bulk Order Details'!G110,Length[Display],Length[Code])))</f>
        <v/>
      </c>
      <c r="AG100" s="179" t="str">
        <f aca="false">IF('Bulk Order Details'!J110="","",IF('Bulk Order Details'!C110="","",'Bulk Order Details'!C110))</f>
        <v/>
      </c>
      <c r="AH100" s="179" t="str">
        <f aca="false">IF('Bulk Order Details'!O110="","","-"&amp;LOOKUP('Bulk Order Details'!O110,#REF!,#REF!))</f>
        <v/>
      </c>
      <c r="AI100" s="179" t="str">
        <f aca="false">IF('Bulk Order Details'!P110="","","-"&amp;LOOKUP('Bulk Order Details'!P110,#REF!,#REF!))</f>
        <v/>
      </c>
      <c r="AJ100" s="179" t="str">
        <f aca="false">IF('Bulk Order Details'!Q110="","","-"&amp;LOOKUP('Bulk Order Details'!Q110,#REF!,#REF!))</f>
        <v/>
      </c>
      <c r="AK100" s="179" t="str">
        <f aca="false">IF('Bulk Order Details'!R110="","","-"&amp;LOOKUP('Bulk Order Details'!R110,#REF!,#REF!))</f>
        <v/>
      </c>
      <c r="AL100" s="179" t="str">
        <f aca="false">IF('Bulk Order Details'!S110="","","-"&amp;LOOKUP('Bulk Order Details'!S110,#REF!,#REF!))</f>
        <v/>
      </c>
      <c r="AM100" s="179" t="str">
        <f aca="false">IF(_xlfn.CONCAT(AH100:AL100)="","","Lo"&amp;_xlfn.CONCAT(AH100:AL100))</f>
        <v/>
      </c>
      <c r="AN100" s="179" t="str">
        <f aca="false">IF('Bulk Order Details'!K110="","","Na-"&amp;'Bulk Order Details'!K110)</f>
        <v/>
      </c>
      <c r="AO100" s="179" t="str">
        <f aca="false">IF('Bulk Order Details'!N110="","","Fo-"&amp;'Bulk Order Details'!N110)</f>
        <v/>
      </c>
      <c r="AP100" s="179" t="str">
        <f aca="false">IF(AE100="","",AE100&amp;"_"&amp;AF100&amp;"_"&amp;AG100&amp;IF(AM100="","","_"&amp;AM100)&amp;IF(AN100="","","_"&amp;AN100)&amp;IF(AO100="","","_"&amp;AO100))</f>
        <v/>
      </c>
      <c r="AQ100" s="218" t="str">
        <f aca="false">IF(X100="","",X100)</f>
        <v/>
      </c>
    </row>
    <row r="101" customFormat="false" ht="15" hidden="false" customHeight="true" outlineLevel="0" collapsed="false">
      <c r="B101" s="209" t="n">
        <f aca="false">'Bulk Order Details'!B111</f>
        <v>98</v>
      </c>
      <c r="C101" s="209" t="e">
        <f aca="false">IF('bulk order details'!#ref!="","",'bulk order details'!#ref!&amp;" "&amp;'bulk order details'!#ref!)</f>
        <v>#VALUE!</v>
      </c>
      <c r="D101" s="210" t="str">
        <f aca="false">IF('Bulk Order Details'!J111="","",VLOOKUP(1,Price[],3))</f>
        <v/>
      </c>
      <c r="E101" s="211" t="str">
        <f aca="false">IF('Bulk Order Details'!J111="","",Summary!$D$9)</f>
        <v/>
      </c>
      <c r="F101" s="212" t="str">
        <f aca="false">IF('Bulk Order Details'!F111="","",_xlfn.xlookup('Bulk Order Details'!F111,Size[Display],Size[Price]))</f>
        <v/>
      </c>
      <c r="G101" s="212" t="str">
        <f aca="false">IF('Bulk Order Details'!G111="","",_xlfn.xlookup('Bulk Order Details'!G111,Length[Display],Length[Price]))</f>
        <v/>
      </c>
      <c r="H101" s="212" t="str">
        <f aca="false">IF('Bulk Order Details'!H111="","",_xlfn.xlookup('Bulk Order Details'!H111,Collection[Display],Collection[Price]))</f>
        <v/>
      </c>
      <c r="I101" s="212" t="str">
        <f aca="false">IF('Bulk Order Details'!I111="","",_xlfn.xlookup('Bulk Order Details'!I111,Sleeve[Display],Sleeve[Price]))</f>
        <v/>
      </c>
      <c r="J101" s="212" t="str">
        <f aca="false">IF('Bulk Order Details'!J111="","",_xlfn.xlookup('Bulk Order Details'!J111,Collar[Display],Collar[Price]))</f>
        <v/>
      </c>
      <c r="K101" s="212" t="str">
        <f aca="false">IF('Bulk Order Details'!K111="","",_xlfn.xlookup("Name",Name[Name],Name[Price]))</f>
        <v/>
      </c>
      <c r="L101" s="213" t="str">
        <f aca="false">IFERROR(IF('Bulk Order Details'!O111="","",IF(_xlfn.xlookup('Bulk Order Details'!O111,Logos[Display],Logos[Use])="Flat",_xlfn.xlookup('Bulk Order Details'!O111,Logos[Display],Logos[Flat]),ROUND(_xlfn.xlookup('Bulk Order Details'!O111,Logos[Display],Logos[Pct])*$E101,2))),"")</f>
        <v/>
      </c>
      <c r="M101" s="222" t="str">
        <f aca="false">IFERROR(IF('Bulk Order Details'!P111="","",IF(_xlfn.xlookup('Bulk Order Details'!P111,Chest[Display],Chest[Use])="Flat",_xlfn.xlookup('Bulk Order Details'!P111,Chest[Display],Chest[Flat]),ROUND(_xlfn.xlookup('Bulk Order Details'!P111,Chest[Display],Chest[Pct])*$E101,2))),"")</f>
        <v/>
      </c>
      <c r="N101" s="222" t="str">
        <f aca="false">IFERROR(IF('Bulk Order Details'!Q111="","",IF(_xlfn.xlookup('Bulk Order Details'!Q111,Chest[Display],Chest[Use])="Flat",_xlfn.xlookup('Bulk Order Details'!Q111,Chest[Display],Chest[Flat]),ROUND(_xlfn.xlookup('Bulk Order Details'!Q111,Chest[Display],Chest[Pct])*$E101,2))),"")</f>
        <v/>
      </c>
      <c r="O101" s="222" t="str">
        <f aca="false">IFERROR(IF('Bulk Order Details'!R111="","",IF(_xlfn.xlookup('Bulk Order Details'!R111,LeftSleeve[Display],LeftSleeve[Use])="Flat",_xlfn.xlookup('Bulk Order Details'!R111,LeftSleeve[Display],LeftSleeve[Flat]),ROUND(_xlfn.xlookup('Bulk Order Details'!R111,LeftSleeve[Display],LeftSleeve[Pct])*$E101,2))),"")</f>
        <v/>
      </c>
      <c r="P101" s="222" t="str">
        <f aca="false">IFERROR(IF('Bulk Order Details'!S111="","",IF(_xlfn.xlookup('Bulk Order Details'!S111,RightSleeve[Display],RightSleeve[Use])="Flat",_xlfn.xlookup('Bulk Order Details'!S111,RightSleeve[Display],RightSleeve[Flat]),ROUND(_xlfn.xlookup('Bulk Order Details'!S111,RightSleeve[Display],RightSleeve[Pct])*$E101,2))),"")</f>
        <v/>
      </c>
      <c r="Q101" s="214" t="str">
        <f aca="false">IF('Bulk Order Details'!J111="","",SUM(F101:P101))</f>
        <v/>
      </c>
      <c r="R101" s="213" t="str">
        <f aca="false">IFERROR(E101-D101,"")</f>
        <v/>
      </c>
      <c r="S101" s="215" t="str">
        <f aca="false">IFERROR(MIN(IF(Summary!$D$11="Yes",-J101,0),IF(H101&gt;0,-J101,0)),"")</f>
        <v/>
      </c>
      <c r="T101" s="212" t="str">
        <f aca="false">IFERROR(IF(Summary!$D$10="Yes",-K101,""),"")</f>
        <v/>
      </c>
      <c r="U101" s="213" t="str">
        <f aca="false">IFERROR(IF(Summary!$D$12="Yes",-L101,""),"")</f>
        <v/>
      </c>
      <c r="V101" s="216" t="str">
        <f aca="false">IF('Bulk Order Details'!J111="","",SUM(R101:U101))</f>
        <v/>
      </c>
      <c r="W101" s="217" t="str">
        <f aca="false">IF('Bulk Order Details'!J111="","",D101+Q101)</f>
        <v/>
      </c>
      <c r="X101" s="218" t="str">
        <f aca="false">IF('Bulk Order Details'!J111="","",D101+Q101+V101)</f>
        <v/>
      </c>
      <c r="Y101" s="219" t="str">
        <f aca="false">IFERROR((W101-X101)/W101,"")</f>
        <v/>
      </c>
      <c r="Z101" s="220" t="str">
        <f aca="false">IF('Bulk Order Details'!J111="","",MAX(1,'Bulk Order Details'!D111))</f>
        <v/>
      </c>
      <c r="AA101" s="217" t="str">
        <f aca="false">IF(Pricing_Details[[#This Row],[Quantity]]="","",Pricing_Details[[#This Row],[Retail Price]]*Pricing_Details[[#This Row],[Quantity]])</f>
        <v/>
      </c>
      <c r="AB101" s="217" t="str">
        <f aca="false">IF(Pricing_Details[[#This Row],[Quantity]]="","",Pricing_Details[[#This Row],[Total Discount]]*Pricing_Details[[#This Row],[Quantity]])</f>
        <v/>
      </c>
      <c r="AC101" s="221" t="str">
        <f aca="false">IFERROR(ROUND(Pricing_Details[[#This Row],[Actual Price]]*Pricing_Details[[#This Row],[Quantity]],2),"")</f>
        <v/>
      </c>
      <c r="AE101" s="179" t="str">
        <f aca="false">IF('Bulk Order Details'!J111="","",VLOOKUP('Bulk Order Details'!H111,Collection[],3)&amp;VLOOKUP('Bulk Order Details'!J111,Collar[],4)&amp;VLOOKUP('Bulk Order Details'!I111,Sleeve[],4))</f>
        <v/>
      </c>
      <c r="AF101" s="179" t="str">
        <f aca="false">IF('Bulk Order Details'!J111="","",LOOKUP('Bulk Order Details'!E111,Cut[Display],Cut[Code])&amp;LOOKUP('Bulk Order Details'!F111,#REF!,#REF!)&amp;IF('Bulk Order Details'!G111="","",LOOKUP('Bulk Order Details'!G111,Length[Display],Length[Code])))</f>
        <v/>
      </c>
      <c r="AG101" s="179" t="str">
        <f aca="false">IF('Bulk Order Details'!J111="","",IF('Bulk Order Details'!C111="","",'Bulk Order Details'!C111))</f>
        <v/>
      </c>
      <c r="AH101" s="179" t="str">
        <f aca="false">IF('Bulk Order Details'!O111="","","-"&amp;LOOKUP('Bulk Order Details'!O111,#REF!,#REF!))</f>
        <v/>
      </c>
      <c r="AI101" s="179" t="str">
        <f aca="false">IF('Bulk Order Details'!P111="","","-"&amp;LOOKUP('Bulk Order Details'!P111,#REF!,#REF!))</f>
        <v/>
      </c>
      <c r="AJ101" s="179" t="str">
        <f aca="false">IF('Bulk Order Details'!Q111="","","-"&amp;LOOKUP('Bulk Order Details'!Q111,#REF!,#REF!))</f>
        <v/>
      </c>
      <c r="AK101" s="179" t="str">
        <f aca="false">IF('Bulk Order Details'!R111="","","-"&amp;LOOKUP('Bulk Order Details'!R111,#REF!,#REF!))</f>
        <v/>
      </c>
      <c r="AL101" s="179" t="str">
        <f aca="false">IF('Bulk Order Details'!S111="","","-"&amp;LOOKUP('Bulk Order Details'!S111,#REF!,#REF!))</f>
        <v/>
      </c>
      <c r="AM101" s="179" t="str">
        <f aca="false">IF(_xlfn.CONCAT(AH101:AL101)="","","Lo"&amp;_xlfn.CONCAT(AH101:AL101))</f>
        <v/>
      </c>
      <c r="AN101" s="179" t="str">
        <f aca="false">IF('Bulk Order Details'!K111="","","Na-"&amp;'Bulk Order Details'!K111)</f>
        <v/>
      </c>
      <c r="AO101" s="179" t="str">
        <f aca="false">IF('Bulk Order Details'!N111="","","Fo-"&amp;'Bulk Order Details'!N111)</f>
        <v/>
      </c>
      <c r="AP101" s="179" t="str">
        <f aca="false">IF(AE101="","",AE101&amp;"_"&amp;AF101&amp;"_"&amp;AG101&amp;IF(AM101="","","_"&amp;AM101)&amp;IF(AN101="","","_"&amp;AN101)&amp;IF(AO101="","","_"&amp;AO101))</f>
        <v/>
      </c>
      <c r="AQ101" s="218" t="str">
        <f aca="false">IF(X101="","",X101)</f>
        <v/>
      </c>
    </row>
    <row r="102" customFormat="false" ht="15" hidden="false" customHeight="true" outlineLevel="0" collapsed="false">
      <c r="B102" s="209" t="n">
        <f aca="false">'Bulk Order Details'!B112</f>
        <v>99</v>
      </c>
      <c r="C102" s="209" t="e">
        <f aca="false">IF('bulk order details'!#ref!="","",'bulk order details'!#ref!&amp;" "&amp;'bulk order details'!#ref!)</f>
        <v>#VALUE!</v>
      </c>
      <c r="D102" s="210" t="str">
        <f aca="false">IF('Bulk Order Details'!J112="","",VLOOKUP(1,Price[],3))</f>
        <v/>
      </c>
      <c r="E102" s="211" t="str">
        <f aca="false">IF('Bulk Order Details'!J112="","",Summary!$D$9)</f>
        <v/>
      </c>
      <c r="F102" s="212" t="str">
        <f aca="false">IF('Bulk Order Details'!F112="","",_xlfn.xlookup('Bulk Order Details'!F112,Size[Display],Size[Price]))</f>
        <v/>
      </c>
      <c r="G102" s="212" t="str">
        <f aca="false">IF('Bulk Order Details'!G112="","",_xlfn.xlookup('Bulk Order Details'!G112,Length[Display],Length[Price]))</f>
        <v/>
      </c>
      <c r="H102" s="212" t="str">
        <f aca="false">IF('Bulk Order Details'!H112="","",_xlfn.xlookup('Bulk Order Details'!H112,Collection[Display],Collection[Price]))</f>
        <v/>
      </c>
      <c r="I102" s="212" t="str">
        <f aca="false">IF('Bulk Order Details'!I112="","",_xlfn.xlookup('Bulk Order Details'!I112,Sleeve[Display],Sleeve[Price]))</f>
        <v/>
      </c>
      <c r="J102" s="212" t="str">
        <f aca="false">IF('Bulk Order Details'!J112="","",_xlfn.xlookup('Bulk Order Details'!J112,Collar[Display],Collar[Price]))</f>
        <v/>
      </c>
      <c r="K102" s="212" t="str">
        <f aca="false">IF('Bulk Order Details'!K112="","",_xlfn.xlookup("Name",Name[Name],Name[Price]))</f>
        <v/>
      </c>
      <c r="L102" s="213" t="str">
        <f aca="false">IFERROR(IF('Bulk Order Details'!O112="","",IF(_xlfn.xlookup('Bulk Order Details'!O112,Logos[Display],Logos[Use])="Flat",_xlfn.xlookup('Bulk Order Details'!O112,Logos[Display],Logos[Flat]),ROUND(_xlfn.xlookup('Bulk Order Details'!O112,Logos[Display],Logos[Pct])*$E102,2))),"")</f>
        <v/>
      </c>
      <c r="M102" s="222" t="str">
        <f aca="false">IFERROR(IF('Bulk Order Details'!P112="","",IF(_xlfn.xlookup('Bulk Order Details'!P112,Chest[Display],Chest[Use])="Flat",_xlfn.xlookup('Bulk Order Details'!P112,Chest[Display],Chest[Flat]),ROUND(_xlfn.xlookup('Bulk Order Details'!P112,Chest[Display],Chest[Pct])*$E102,2))),"")</f>
        <v/>
      </c>
      <c r="N102" s="222" t="str">
        <f aca="false">IFERROR(IF('Bulk Order Details'!Q112="","",IF(_xlfn.xlookup('Bulk Order Details'!Q112,Chest[Display],Chest[Use])="Flat",_xlfn.xlookup('Bulk Order Details'!Q112,Chest[Display],Chest[Flat]),ROUND(_xlfn.xlookup('Bulk Order Details'!Q112,Chest[Display],Chest[Pct])*$E102,2))),"")</f>
        <v/>
      </c>
      <c r="O102" s="222" t="str">
        <f aca="false">IFERROR(IF('Bulk Order Details'!R112="","",IF(_xlfn.xlookup('Bulk Order Details'!R112,LeftSleeve[Display],LeftSleeve[Use])="Flat",_xlfn.xlookup('Bulk Order Details'!R112,LeftSleeve[Display],LeftSleeve[Flat]),ROUND(_xlfn.xlookup('Bulk Order Details'!R112,LeftSleeve[Display],LeftSleeve[Pct])*$E102,2))),"")</f>
        <v/>
      </c>
      <c r="P102" s="222" t="str">
        <f aca="false">IFERROR(IF('Bulk Order Details'!S112="","",IF(_xlfn.xlookup('Bulk Order Details'!S112,RightSleeve[Display],RightSleeve[Use])="Flat",_xlfn.xlookup('Bulk Order Details'!S112,RightSleeve[Display],RightSleeve[Flat]),ROUND(_xlfn.xlookup('Bulk Order Details'!S112,RightSleeve[Display],RightSleeve[Pct])*$E102,2))),"")</f>
        <v/>
      </c>
      <c r="Q102" s="214" t="str">
        <f aca="false">IF('Bulk Order Details'!J112="","",SUM(F102:P102))</f>
        <v/>
      </c>
      <c r="R102" s="213" t="str">
        <f aca="false">IFERROR(E102-D102,"")</f>
        <v/>
      </c>
      <c r="S102" s="215" t="str">
        <f aca="false">IFERROR(MIN(IF(Summary!$D$11="Yes",-J102,0),IF(H102&gt;0,-J102,0)),"")</f>
        <v/>
      </c>
      <c r="T102" s="212" t="str">
        <f aca="false">IFERROR(IF(Summary!$D$10="Yes",-K102,""),"")</f>
        <v/>
      </c>
      <c r="U102" s="213" t="str">
        <f aca="false">IFERROR(IF(Summary!$D$12="Yes",-L102,""),"")</f>
        <v/>
      </c>
      <c r="V102" s="216" t="str">
        <f aca="false">IF('Bulk Order Details'!J112="","",SUM(R102:U102))</f>
        <v/>
      </c>
      <c r="W102" s="217" t="str">
        <f aca="false">IF('Bulk Order Details'!J112="","",D102+Q102)</f>
        <v/>
      </c>
      <c r="X102" s="218" t="str">
        <f aca="false">IF('Bulk Order Details'!J112="","",D102+Q102+V102)</f>
        <v/>
      </c>
      <c r="Y102" s="219" t="str">
        <f aca="false">IFERROR((W102-X102)/W102,"")</f>
        <v/>
      </c>
      <c r="Z102" s="220" t="str">
        <f aca="false">IF('Bulk Order Details'!J112="","",MAX(1,'Bulk Order Details'!D112))</f>
        <v/>
      </c>
      <c r="AA102" s="217" t="str">
        <f aca="false">IF(Pricing_Details[[#This Row],[Quantity]]="","",Pricing_Details[[#This Row],[Retail Price]]*Pricing_Details[[#This Row],[Quantity]])</f>
        <v/>
      </c>
      <c r="AB102" s="217" t="str">
        <f aca="false">IF(Pricing_Details[[#This Row],[Quantity]]="","",Pricing_Details[[#This Row],[Total Discount]]*Pricing_Details[[#This Row],[Quantity]])</f>
        <v/>
      </c>
      <c r="AC102" s="221" t="str">
        <f aca="false">IFERROR(ROUND(Pricing_Details[[#This Row],[Actual Price]]*Pricing_Details[[#This Row],[Quantity]],2),"")</f>
        <v/>
      </c>
      <c r="AE102" s="179" t="str">
        <f aca="false">IF('Bulk Order Details'!J112="","",VLOOKUP('Bulk Order Details'!H112,Collection[],3)&amp;VLOOKUP('Bulk Order Details'!J112,Collar[],4)&amp;VLOOKUP('Bulk Order Details'!I112,Sleeve[],4))</f>
        <v/>
      </c>
      <c r="AF102" s="179" t="str">
        <f aca="false">IF('Bulk Order Details'!J112="","",LOOKUP('Bulk Order Details'!E112,Cut[Display],Cut[Code])&amp;LOOKUP('Bulk Order Details'!F112,#REF!,#REF!)&amp;IF('Bulk Order Details'!G112="","",LOOKUP('Bulk Order Details'!G112,Length[Display],Length[Code])))</f>
        <v/>
      </c>
      <c r="AG102" s="179" t="str">
        <f aca="false">IF('Bulk Order Details'!J112="","",IF('Bulk Order Details'!C112="","",'Bulk Order Details'!C112))</f>
        <v/>
      </c>
      <c r="AH102" s="179" t="str">
        <f aca="false">IF('Bulk Order Details'!O112="","","-"&amp;LOOKUP('Bulk Order Details'!O112,#REF!,#REF!))</f>
        <v/>
      </c>
      <c r="AI102" s="179" t="str">
        <f aca="false">IF('Bulk Order Details'!P112="","","-"&amp;LOOKUP('Bulk Order Details'!P112,#REF!,#REF!))</f>
        <v/>
      </c>
      <c r="AJ102" s="179" t="str">
        <f aca="false">IF('Bulk Order Details'!Q112="","","-"&amp;LOOKUP('Bulk Order Details'!Q112,#REF!,#REF!))</f>
        <v/>
      </c>
      <c r="AK102" s="179" t="str">
        <f aca="false">IF('Bulk Order Details'!R112="","","-"&amp;LOOKUP('Bulk Order Details'!R112,#REF!,#REF!))</f>
        <v/>
      </c>
      <c r="AL102" s="179" t="str">
        <f aca="false">IF('Bulk Order Details'!S112="","","-"&amp;LOOKUP('Bulk Order Details'!S112,#REF!,#REF!))</f>
        <v/>
      </c>
      <c r="AM102" s="179" t="str">
        <f aca="false">IF(_xlfn.CONCAT(AH102:AL102)="","","Lo"&amp;_xlfn.CONCAT(AH102:AL102))</f>
        <v/>
      </c>
      <c r="AN102" s="179" t="str">
        <f aca="false">IF('Bulk Order Details'!K112="","","Na-"&amp;'Bulk Order Details'!K112)</f>
        <v/>
      </c>
      <c r="AO102" s="179" t="str">
        <f aca="false">IF('Bulk Order Details'!N112="","","Fo-"&amp;'Bulk Order Details'!N112)</f>
        <v/>
      </c>
      <c r="AP102" s="179" t="str">
        <f aca="false">IF(AE102="","",AE102&amp;"_"&amp;AF102&amp;"_"&amp;AG102&amp;IF(AM102="","","_"&amp;AM102)&amp;IF(AN102="","","_"&amp;AN102)&amp;IF(AO102="","","_"&amp;AO102))</f>
        <v/>
      </c>
      <c r="AQ102" s="218" t="str">
        <f aca="false">IF(X102="","",X102)</f>
        <v/>
      </c>
    </row>
    <row r="103" customFormat="false" ht="15" hidden="false" customHeight="true" outlineLevel="0" collapsed="false">
      <c r="B103" s="209" t="n">
        <f aca="false">'Bulk Order Details'!B113</f>
        <v>100</v>
      </c>
      <c r="C103" s="209" t="e">
        <f aca="false">IF('bulk order details'!#ref!="","",'bulk order details'!#ref!&amp;" "&amp;'bulk order details'!#ref!)</f>
        <v>#VALUE!</v>
      </c>
      <c r="D103" s="210" t="str">
        <f aca="false">IF('Bulk Order Details'!J113="","",VLOOKUP(1,Price[],3))</f>
        <v/>
      </c>
      <c r="E103" s="211" t="str">
        <f aca="false">IF('Bulk Order Details'!J113="","",Summary!$D$9)</f>
        <v/>
      </c>
      <c r="F103" s="212" t="str">
        <f aca="false">IF('Bulk Order Details'!F113="","",_xlfn.xlookup('Bulk Order Details'!F113,Size[Display],Size[Price]))</f>
        <v/>
      </c>
      <c r="G103" s="212" t="str">
        <f aca="false">IF('Bulk Order Details'!G113="","",_xlfn.xlookup('Bulk Order Details'!G113,Length[Display],Length[Price]))</f>
        <v/>
      </c>
      <c r="H103" s="212" t="str">
        <f aca="false">IF('Bulk Order Details'!H113="","",_xlfn.xlookup('Bulk Order Details'!H113,Collection[Display],Collection[Price]))</f>
        <v/>
      </c>
      <c r="I103" s="212" t="str">
        <f aca="false">IF('Bulk Order Details'!I113="","",_xlfn.xlookup('Bulk Order Details'!I113,Sleeve[Display],Sleeve[Price]))</f>
        <v/>
      </c>
      <c r="J103" s="212" t="str">
        <f aca="false">IF('Bulk Order Details'!J113="","",_xlfn.xlookup('Bulk Order Details'!J113,Collar[Display],Collar[Price]))</f>
        <v/>
      </c>
      <c r="K103" s="212" t="str">
        <f aca="false">IF('Bulk Order Details'!K113="","",_xlfn.xlookup("Name",Name[Name],Name[Price]))</f>
        <v/>
      </c>
      <c r="L103" s="213" t="str">
        <f aca="false">IFERROR(IF('Bulk Order Details'!O113="","",IF(_xlfn.xlookup('Bulk Order Details'!O113,Logos[Display],Logos[Use])="Flat",_xlfn.xlookup('Bulk Order Details'!O113,Logos[Display],Logos[Flat]),ROUND(_xlfn.xlookup('Bulk Order Details'!O113,Logos[Display],Logos[Pct])*$E103,2))),"")</f>
        <v/>
      </c>
      <c r="M103" s="222" t="str">
        <f aca="false">IFERROR(IF('Bulk Order Details'!P113="","",IF(_xlfn.xlookup('Bulk Order Details'!P113,Chest[Display],Chest[Use])="Flat",_xlfn.xlookup('Bulk Order Details'!P113,Chest[Display],Chest[Flat]),ROUND(_xlfn.xlookup('Bulk Order Details'!P113,Chest[Display],Chest[Pct])*$E103,2))),"")</f>
        <v/>
      </c>
      <c r="N103" s="222" t="str">
        <f aca="false">IFERROR(IF('Bulk Order Details'!Q113="","",IF(_xlfn.xlookup('Bulk Order Details'!Q113,Chest[Display],Chest[Use])="Flat",_xlfn.xlookup('Bulk Order Details'!Q113,Chest[Display],Chest[Flat]),ROUND(_xlfn.xlookup('Bulk Order Details'!Q113,Chest[Display],Chest[Pct])*$E103,2))),"")</f>
        <v/>
      </c>
      <c r="O103" s="222" t="str">
        <f aca="false">IFERROR(IF('Bulk Order Details'!R113="","",IF(_xlfn.xlookup('Bulk Order Details'!R113,LeftSleeve[Display],LeftSleeve[Use])="Flat",_xlfn.xlookup('Bulk Order Details'!R113,LeftSleeve[Display],LeftSleeve[Flat]),ROUND(_xlfn.xlookup('Bulk Order Details'!R113,LeftSleeve[Display],LeftSleeve[Pct])*$E103,2))),"")</f>
        <v/>
      </c>
      <c r="P103" s="222" t="str">
        <f aca="false">IFERROR(IF('Bulk Order Details'!S113="","",IF(_xlfn.xlookup('Bulk Order Details'!S113,RightSleeve[Display],RightSleeve[Use])="Flat",_xlfn.xlookup('Bulk Order Details'!S113,RightSleeve[Display],RightSleeve[Flat]),ROUND(_xlfn.xlookup('Bulk Order Details'!S113,RightSleeve[Display],RightSleeve[Pct])*$E103,2))),"")</f>
        <v/>
      </c>
      <c r="Q103" s="214" t="str">
        <f aca="false">IF('Bulk Order Details'!J113="","",SUM(F103:P103))</f>
        <v/>
      </c>
      <c r="R103" s="213" t="str">
        <f aca="false">IFERROR(E103-D103,"")</f>
        <v/>
      </c>
      <c r="S103" s="215" t="str">
        <f aca="false">IFERROR(MIN(IF(Summary!$D$11="Yes",-J103,0),IF(H103&gt;0,-J103,0)),"")</f>
        <v/>
      </c>
      <c r="T103" s="212" t="str">
        <f aca="false">IFERROR(IF(Summary!$D$10="Yes",-K103,""),"")</f>
        <v/>
      </c>
      <c r="U103" s="213" t="str">
        <f aca="false">IFERROR(IF(Summary!$D$12="Yes",-L103,""),"")</f>
        <v/>
      </c>
      <c r="V103" s="216" t="str">
        <f aca="false">IF('Bulk Order Details'!J113="","",SUM(R103:U103))</f>
        <v/>
      </c>
      <c r="W103" s="217" t="str">
        <f aca="false">IF('Bulk Order Details'!J113="","",D103+Q103)</f>
        <v/>
      </c>
      <c r="X103" s="218" t="str">
        <f aca="false">IF('Bulk Order Details'!J113="","",D103+Q103+V103)</f>
        <v/>
      </c>
      <c r="Y103" s="219" t="str">
        <f aca="false">IFERROR((W103-X103)/W103,"")</f>
        <v/>
      </c>
      <c r="Z103" s="220" t="str">
        <f aca="false">IF('Bulk Order Details'!J113="","",MAX(1,'Bulk Order Details'!D113))</f>
        <v/>
      </c>
      <c r="AA103" s="217" t="str">
        <f aca="false">IF(Pricing_Details[[#This Row],[Quantity]]="","",Pricing_Details[[#This Row],[Retail Price]]*Pricing_Details[[#This Row],[Quantity]])</f>
        <v/>
      </c>
      <c r="AB103" s="217" t="str">
        <f aca="false">IF(Pricing_Details[[#This Row],[Quantity]]="","",Pricing_Details[[#This Row],[Total Discount]]*Pricing_Details[[#This Row],[Quantity]])</f>
        <v/>
      </c>
      <c r="AC103" s="221" t="str">
        <f aca="false">IFERROR(ROUND(Pricing_Details[[#This Row],[Actual Price]]*Pricing_Details[[#This Row],[Quantity]],2),"")</f>
        <v/>
      </c>
      <c r="AE103" s="179" t="str">
        <f aca="false">IF('Bulk Order Details'!J113="","",VLOOKUP('Bulk Order Details'!H113,Collection[],3)&amp;VLOOKUP('Bulk Order Details'!J113,Collar[],4)&amp;VLOOKUP('Bulk Order Details'!I113,Sleeve[],4))</f>
        <v/>
      </c>
      <c r="AF103" s="179" t="str">
        <f aca="false">IF('Bulk Order Details'!J113="","",LOOKUP('Bulk Order Details'!E113,Cut[Display],Cut[Code])&amp;LOOKUP('Bulk Order Details'!F113,#REF!,#REF!)&amp;IF('Bulk Order Details'!G113="","",LOOKUP('Bulk Order Details'!G113,Length[Display],Length[Code])))</f>
        <v/>
      </c>
      <c r="AG103" s="179" t="str">
        <f aca="false">IF('Bulk Order Details'!J113="","",IF('Bulk Order Details'!C113="","",'Bulk Order Details'!C113))</f>
        <v/>
      </c>
      <c r="AH103" s="179" t="str">
        <f aca="false">IF('Bulk Order Details'!O113="","","-"&amp;LOOKUP('Bulk Order Details'!O113,#REF!,#REF!))</f>
        <v/>
      </c>
      <c r="AI103" s="179" t="str">
        <f aca="false">IF('Bulk Order Details'!P113="","","-"&amp;LOOKUP('Bulk Order Details'!P113,#REF!,#REF!))</f>
        <v/>
      </c>
      <c r="AJ103" s="179" t="str">
        <f aca="false">IF('Bulk Order Details'!Q113="","","-"&amp;LOOKUP('Bulk Order Details'!Q113,#REF!,#REF!))</f>
        <v/>
      </c>
      <c r="AK103" s="179" t="str">
        <f aca="false">IF('Bulk Order Details'!R113="","","-"&amp;LOOKUP('Bulk Order Details'!R113,#REF!,#REF!))</f>
        <v/>
      </c>
      <c r="AL103" s="179" t="str">
        <f aca="false">IF('Bulk Order Details'!S113="","","-"&amp;LOOKUP('Bulk Order Details'!S113,#REF!,#REF!))</f>
        <v/>
      </c>
      <c r="AM103" s="179" t="str">
        <f aca="false">IF(_xlfn.CONCAT(AH103:AL103)="","","Lo"&amp;_xlfn.CONCAT(AH103:AL103))</f>
        <v/>
      </c>
      <c r="AN103" s="179" t="str">
        <f aca="false">IF('Bulk Order Details'!K113="","","Na-"&amp;'Bulk Order Details'!K113)</f>
        <v/>
      </c>
      <c r="AO103" s="179" t="str">
        <f aca="false">IF('Bulk Order Details'!N113="","","Fo-"&amp;'Bulk Order Details'!N113)</f>
        <v/>
      </c>
      <c r="AP103" s="179" t="str">
        <f aca="false">IF(AE103="","",AE103&amp;"_"&amp;AF103&amp;"_"&amp;AG103&amp;IF(AM103="","","_"&amp;AM103)&amp;IF(AN103="","","_"&amp;AN103)&amp;IF(AO103="","","_"&amp;AO103))</f>
        <v/>
      </c>
      <c r="AQ103" s="218" t="str">
        <f aca="false">IF(X103="","",X103)</f>
        <v/>
      </c>
    </row>
    <row r="104" customFormat="false" ht="15" hidden="false" customHeight="true" outlineLevel="0" collapsed="false">
      <c r="B104" s="209" t="n">
        <f aca="false">'Bulk Order Details'!B114</f>
        <v>101</v>
      </c>
      <c r="C104" s="209" t="e">
        <f aca="false">IF('bulk order details'!#ref!="","",'bulk order details'!#ref!&amp;" "&amp;'bulk order details'!#ref!)</f>
        <v>#VALUE!</v>
      </c>
      <c r="D104" s="210" t="str">
        <f aca="false">IF('Bulk Order Details'!J114="","",VLOOKUP(1,Price[],3))</f>
        <v/>
      </c>
      <c r="E104" s="211" t="str">
        <f aca="false">IF('Bulk Order Details'!J114="","",Summary!$D$9)</f>
        <v/>
      </c>
      <c r="F104" s="212" t="str">
        <f aca="false">IF('Bulk Order Details'!F114="","",_xlfn.xlookup('Bulk Order Details'!F114,Size[Display],Size[Price]))</f>
        <v/>
      </c>
      <c r="G104" s="212" t="str">
        <f aca="false">IF('Bulk Order Details'!G114="","",_xlfn.xlookup('Bulk Order Details'!G114,Length[Display],Length[Price]))</f>
        <v/>
      </c>
      <c r="H104" s="212" t="str">
        <f aca="false">IF('Bulk Order Details'!H114="","",_xlfn.xlookup('Bulk Order Details'!H114,Collection[Display],Collection[Price]))</f>
        <v/>
      </c>
      <c r="I104" s="212" t="str">
        <f aca="false">IF('Bulk Order Details'!I114="","",_xlfn.xlookup('Bulk Order Details'!I114,Sleeve[Display],Sleeve[Price]))</f>
        <v/>
      </c>
      <c r="J104" s="212" t="str">
        <f aca="false">IF('Bulk Order Details'!J114="","",_xlfn.xlookup('Bulk Order Details'!J114,Collar[Display],Collar[Price]))</f>
        <v/>
      </c>
      <c r="K104" s="212" t="str">
        <f aca="false">IF('Bulk Order Details'!K114="","",_xlfn.xlookup("Name",Name[Name],Name[Price]))</f>
        <v/>
      </c>
      <c r="L104" s="213" t="str">
        <f aca="false">IFERROR(IF('Bulk Order Details'!O114="","",IF(_xlfn.xlookup('Bulk Order Details'!O114,Logos[Display],Logos[Use])="Flat",_xlfn.xlookup('Bulk Order Details'!O114,Logos[Display],Logos[Flat]),ROUND(_xlfn.xlookup('Bulk Order Details'!O114,Logos[Display],Logos[Pct])*$E104,2))),"")</f>
        <v/>
      </c>
      <c r="M104" s="222" t="str">
        <f aca="false">IFERROR(IF('Bulk Order Details'!P114="","",IF(_xlfn.xlookup('Bulk Order Details'!P114,Chest[Display],Chest[Use])="Flat",_xlfn.xlookup('Bulk Order Details'!P114,Chest[Display],Chest[Flat]),ROUND(_xlfn.xlookup('Bulk Order Details'!P114,Chest[Display],Chest[Pct])*$E104,2))),"")</f>
        <v/>
      </c>
      <c r="N104" s="222" t="str">
        <f aca="false">IFERROR(IF('Bulk Order Details'!Q114="","",IF(_xlfn.xlookup('Bulk Order Details'!Q114,Chest[Display],Chest[Use])="Flat",_xlfn.xlookup('Bulk Order Details'!Q114,Chest[Display],Chest[Flat]),ROUND(_xlfn.xlookup('Bulk Order Details'!Q114,Chest[Display],Chest[Pct])*$E104,2))),"")</f>
        <v/>
      </c>
      <c r="O104" s="222" t="str">
        <f aca="false">IFERROR(IF('Bulk Order Details'!R114="","",IF(_xlfn.xlookup('Bulk Order Details'!R114,LeftSleeve[Display],LeftSleeve[Use])="Flat",_xlfn.xlookup('Bulk Order Details'!R114,LeftSleeve[Display],LeftSleeve[Flat]),ROUND(_xlfn.xlookup('Bulk Order Details'!R114,LeftSleeve[Display],LeftSleeve[Pct])*$E104,2))),"")</f>
        <v/>
      </c>
      <c r="P104" s="222" t="str">
        <f aca="false">IFERROR(IF('Bulk Order Details'!S114="","",IF(_xlfn.xlookup('Bulk Order Details'!S114,RightSleeve[Display],RightSleeve[Use])="Flat",_xlfn.xlookup('Bulk Order Details'!S114,RightSleeve[Display],RightSleeve[Flat]),ROUND(_xlfn.xlookup('Bulk Order Details'!S114,RightSleeve[Display],RightSleeve[Pct])*$E104,2))),"")</f>
        <v/>
      </c>
      <c r="Q104" s="214" t="str">
        <f aca="false">IF('Bulk Order Details'!J114="","",SUM(F104:P104))</f>
        <v/>
      </c>
      <c r="R104" s="213" t="str">
        <f aca="false">IFERROR(E104-D104,"")</f>
        <v/>
      </c>
      <c r="S104" s="215" t="str">
        <f aca="false">IFERROR(MIN(IF(Summary!$D$11="Yes",-J104,0),IF(H104&gt;0,-J104,0)),"")</f>
        <v/>
      </c>
      <c r="T104" s="212" t="str">
        <f aca="false">IFERROR(IF(Summary!$D$10="Yes",-K104,""),"")</f>
        <v/>
      </c>
      <c r="U104" s="213" t="str">
        <f aca="false">IFERROR(IF(Summary!$D$12="Yes",-L104,""),"")</f>
        <v/>
      </c>
      <c r="V104" s="216" t="str">
        <f aca="false">IF('Bulk Order Details'!J114="","",SUM(R104:U104))</f>
        <v/>
      </c>
      <c r="W104" s="217" t="str">
        <f aca="false">IF('Bulk Order Details'!J114="","",D104+Q104)</f>
        <v/>
      </c>
      <c r="X104" s="218" t="str">
        <f aca="false">IF('Bulk Order Details'!J114="","",D104+Q104+V104)</f>
        <v/>
      </c>
      <c r="Y104" s="219" t="str">
        <f aca="false">IFERROR((W104-X104)/W104,"")</f>
        <v/>
      </c>
      <c r="Z104" s="220" t="str">
        <f aca="false">IF('Bulk Order Details'!J114="","",MAX(1,'Bulk Order Details'!D114))</f>
        <v/>
      </c>
      <c r="AA104" s="217" t="str">
        <f aca="false">IF(Pricing_Details[[#This Row],[Quantity]]="","",Pricing_Details[[#This Row],[Retail Price]]*Pricing_Details[[#This Row],[Quantity]])</f>
        <v/>
      </c>
      <c r="AB104" s="217" t="str">
        <f aca="false">IF(Pricing_Details[[#This Row],[Quantity]]="","",Pricing_Details[[#This Row],[Total Discount]]*Pricing_Details[[#This Row],[Quantity]])</f>
        <v/>
      </c>
      <c r="AC104" s="221" t="str">
        <f aca="false">IFERROR(ROUND(Pricing_Details[[#This Row],[Actual Price]]*Pricing_Details[[#This Row],[Quantity]],2),"")</f>
        <v/>
      </c>
      <c r="AE104" s="179" t="str">
        <f aca="false">IF('Bulk Order Details'!J114="","",VLOOKUP('Bulk Order Details'!H114,Collection[],3)&amp;VLOOKUP('Bulk Order Details'!J114,Collar[],4)&amp;VLOOKUP('Bulk Order Details'!I114,Sleeve[],4))</f>
        <v/>
      </c>
      <c r="AF104" s="179" t="str">
        <f aca="false">IF('Bulk Order Details'!J114="","",LOOKUP('Bulk Order Details'!E114,Cut[Display],Cut[Code])&amp;LOOKUP('Bulk Order Details'!F114,#REF!,#REF!)&amp;IF('Bulk Order Details'!G114="","",LOOKUP('Bulk Order Details'!G114,Length[Display],Length[Code])))</f>
        <v/>
      </c>
      <c r="AG104" s="179" t="str">
        <f aca="false">IF('Bulk Order Details'!J114="","",IF('Bulk Order Details'!C114="","",'Bulk Order Details'!C114))</f>
        <v/>
      </c>
      <c r="AH104" s="179" t="str">
        <f aca="false">IF('Bulk Order Details'!O114="","","-"&amp;LOOKUP('Bulk Order Details'!O114,#REF!,#REF!))</f>
        <v/>
      </c>
      <c r="AI104" s="179" t="str">
        <f aca="false">IF('Bulk Order Details'!P114="","","-"&amp;LOOKUP('Bulk Order Details'!P114,#REF!,#REF!))</f>
        <v/>
      </c>
      <c r="AJ104" s="179" t="str">
        <f aca="false">IF('Bulk Order Details'!Q114="","","-"&amp;LOOKUP('Bulk Order Details'!Q114,#REF!,#REF!))</f>
        <v/>
      </c>
      <c r="AK104" s="179" t="str">
        <f aca="false">IF('Bulk Order Details'!R114="","","-"&amp;LOOKUP('Bulk Order Details'!R114,#REF!,#REF!))</f>
        <v/>
      </c>
      <c r="AL104" s="179" t="str">
        <f aca="false">IF('Bulk Order Details'!S114="","","-"&amp;LOOKUP('Bulk Order Details'!S114,#REF!,#REF!))</f>
        <v/>
      </c>
      <c r="AM104" s="179" t="str">
        <f aca="false">IF(_xlfn.CONCAT(AH104:AL104)="","","Lo"&amp;_xlfn.CONCAT(AH104:AL104))</f>
        <v/>
      </c>
      <c r="AN104" s="179" t="str">
        <f aca="false">IF('Bulk Order Details'!K114="","","Na-"&amp;'Bulk Order Details'!K114)</f>
        <v/>
      </c>
      <c r="AO104" s="179" t="str">
        <f aca="false">IF('Bulk Order Details'!N114="","","Fo-"&amp;'Bulk Order Details'!N114)</f>
        <v/>
      </c>
      <c r="AP104" s="179" t="str">
        <f aca="false">IF(AE104="","",AE104&amp;"_"&amp;AF104&amp;"_"&amp;AG104&amp;IF(AM104="","","_"&amp;AM104)&amp;IF(AN104="","","_"&amp;AN104)&amp;IF(AO104="","","_"&amp;AO104))</f>
        <v/>
      </c>
      <c r="AQ104" s="218" t="str">
        <f aca="false">IF(X104="","",X104)</f>
        <v/>
      </c>
    </row>
    <row r="105" customFormat="false" ht="15" hidden="false" customHeight="true" outlineLevel="0" collapsed="false">
      <c r="B105" s="209" t="n">
        <f aca="false">'Bulk Order Details'!B115</f>
        <v>102</v>
      </c>
      <c r="C105" s="209" t="e">
        <f aca="false">IF('bulk order details'!#ref!="","",'bulk order details'!#ref!&amp;" "&amp;'bulk order details'!#ref!)</f>
        <v>#VALUE!</v>
      </c>
      <c r="D105" s="210" t="str">
        <f aca="false">IF('Bulk Order Details'!J115="","",VLOOKUP(1,Price[],3))</f>
        <v/>
      </c>
      <c r="E105" s="211" t="str">
        <f aca="false">IF('Bulk Order Details'!J115="","",Summary!$D$9)</f>
        <v/>
      </c>
      <c r="F105" s="212" t="str">
        <f aca="false">IF('Bulk Order Details'!F115="","",_xlfn.xlookup('Bulk Order Details'!F115,Size[Display],Size[Price]))</f>
        <v/>
      </c>
      <c r="G105" s="212" t="str">
        <f aca="false">IF('Bulk Order Details'!G115="","",_xlfn.xlookup('Bulk Order Details'!G115,Length[Display],Length[Price]))</f>
        <v/>
      </c>
      <c r="H105" s="212" t="str">
        <f aca="false">IF('Bulk Order Details'!H115="","",_xlfn.xlookup('Bulk Order Details'!H115,Collection[Display],Collection[Price]))</f>
        <v/>
      </c>
      <c r="I105" s="212" t="str">
        <f aca="false">IF('Bulk Order Details'!I115="","",_xlfn.xlookup('Bulk Order Details'!I115,Sleeve[Display],Sleeve[Price]))</f>
        <v/>
      </c>
      <c r="J105" s="212" t="str">
        <f aca="false">IF('Bulk Order Details'!J115="","",_xlfn.xlookup('Bulk Order Details'!J115,Collar[Display],Collar[Price]))</f>
        <v/>
      </c>
      <c r="K105" s="212" t="str">
        <f aca="false">IF('Bulk Order Details'!K115="","",_xlfn.xlookup("Name",Name[Name],Name[Price]))</f>
        <v/>
      </c>
      <c r="L105" s="213" t="str">
        <f aca="false">IFERROR(IF('Bulk Order Details'!O115="","",IF(_xlfn.xlookup('Bulk Order Details'!O115,Logos[Display],Logos[Use])="Flat",_xlfn.xlookup('Bulk Order Details'!O115,Logos[Display],Logos[Flat]),ROUND(_xlfn.xlookup('Bulk Order Details'!O115,Logos[Display],Logos[Pct])*$E105,2))),"")</f>
        <v/>
      </c>
      <c r="M105" s="222" t="str">
        <f aca="false">IFERROR(IF('Bulk Order Details'!P115="","",IF(_xlfn.xlookup('Bulk Order Details'!P115,Chest[Display],Chest[Use])="Flat",_xlfn.xlookup('Bulk Order Details'!P115,Chest[Display],Chest[Flat]),ROUND(_xlfn.xlookup('Bulk Order Details'!P115,Chest[Display],Chest[Pct])*$E105,2))),"")</f>
        <v/>
      </c>
      <c r="N105" s="222" t="str">
        <f aca="false">IFERROR(IF('Bulk Order Details'!Q115="","",IF(_xlfn.xlookup('Bulk Order Details'!Q115,Chest[Display],Chest[Use])="Flat",_xlfn.xlookup('Bulk Order Details'!Q115,Chest[Display],Chest[Flat]),ROUND(_xlfn.xlookup('Bulk Order Details'!Q115,Chest[Display],Chest[Pct])*$E105,2))),"")</f>
        <v/>
      </c>
      <c r="O105" s="222" t="str">
        <f aca="false">IFERROR(IF('Bulk Order Details'!R115="","",IF(_xlfn.xlookup('Bulk Order Details'!R115,LeftSleeve[Display],LeftSleeve[Use])="Flat",_xlfn.xlookup('Bulk Order Details'!R115,LeftSleeve[Display],LeftSleeve[Flat]),ROUND(_xlfn.xlookup('Bulk Order Details'!R115,LeftSleeve[Display],LeftSleeve[Pct])*$E105,2))),"")</f>
        <v/>
      </c>
      <c r="P105" s="222" t="str">
        <f aca="false">IFERROR(IF('Bulk Order Details'!S115="","",IF(_xlfn.xlookup('Bulk Order Details'!S115,RightSleeve[Display],RightSleeve[Use])="Flat",_xlfn.xlookup('Bulk Order Details'!S115,RightSleeve[Display],RightSleeve[Flat]),ROUND(_xlfn.xlookup('Bulk Order Details'!S115,RightSleeve[Display],RightSleeve[Pct])*$E105,2))),"")</f>
        <v/>
      </c>
      <c r="Q105" s="214" t="str">
        <f aca="false">IF('Bulk Order Details'!J115="","",SUM(F105:P105))</f>
        <v/>
      </c>
      <c r="R105" s="213" t="str">
        <f aca="false">IFERROR(E105-D105,"")</f>
        <v/>
      </c>
      <c r="S105" s="215" t="str">
        <f aca="false">IFERROR(MIN(IF(Summary!$D$11="Yes",-J105,0),IF(H105&gt;0,-J105,0)),"")</f>
        <v/>
      </c>
      <c r="T105" s="212" t="str">
        <f aca="false">IFERROR(IF(Summary!$D$10="Yes",-K105,""),"")</f>
        <v/>
      </c>
      <c r="U105" s="213" t="str">
        <f aca="false">IFERROR(IF(Summary!$D$12="Yes",-L105,""),"")</f>
        <v/>
      </c>
      <c r="V105" s="216" t="str">
        <f aca="false">IF('Bulk Order Details'!J115="","",SUM(R105:U105))</f>
        <v/>
      </c>
      <c r="W105" s="217" t="str">
        <f aca="false">IF('Bulk Order Details'!J115="","",D105+Q105)</f>
        <v/>
      </c>
      <c r="X105" s="218" t="str">
        <f aca="false">IF('Bulk Order Details'!J115="","",D105+Q105+V105)</f>
        <v/>
      </c>
      <c r="Y105" s="219" t="str">
        <f aca="false">IFERROR((W105-X105)/W105,"")</f>
        <v/>
      </c>
      <c r="Z105" s="220" t="str">
        <f aca="false">IF('Bulk Order Details'!J115="","",MAX(1,'Bulk Order Details'!D115))</f>
        <v/>
      </c>
      <c r="AA105" s="217" t="str">
        <f aca="false">IF(Pricing_Details[[#This Row],[Quantity]]="","",Pricing_Details[[#This Row],[Retail Price]]*Pricing_Details[[#This Row],[Quantity]])</f>
        <v/>
      </c>
      <c r="AB105" s="217" t="str">
        <f aca="false">IF(Pricing_Details[[#This Row],[Quantity]]="","",Pricing_Details[[#This Row],[Total Discount]]*Pricing_Details[[#This Row],[Quantity]])</f>
        <v/>
      </c>
      <c r="AC105" s="221" t="str">
        <f aca="false">IFERROR(ROUND(Pricing_Details[[#This Row],[Actual Price]]*Pricing_Details[[#This Row],[Quantity]],2),"")</f>
        <v/>
      </c>
      <c r="AE105" s="179" t="str">
        <f aca="false">IF('Bulk Order Details'!J115="","",VLOOKUP('Bulk Order Details'!H115,Collection[],3)&amp;VLOOKUP('Bulk Order Details'!J115,Collar[],4)&amp;VLOOKUP('Bulk Order Details'!I115,Sleeve[],4))</f>
        <v/>
      </c>
      <c r="AF105" s="179" t="str">
        <f aca="false">IF('Bulk Order Details'!J115="","",LOOKUP('Bulk Order Details'!E115,Cut[Display],Cut[Code])&amp;LOOKUP('Bulk Order Details'!F115,#REF!,#REF!)&amp;IF('Bulk Order Details'!G115="","",LOOKUP('Bulk Order Details'!G115,Length[Display],Length[Code])))</f>
        <v/>
      </c>
      <c r="AG105" s="179" t="str">
        <f aca="false">IF('Bulk Order Details'!J115="","",IF('Bulk Order Details'!C115="","",'Bulk Order Details'!C115))</f>
        <v/>
      </c>
      <c r="AH105" s="179" t="str">
        <f aca="false">IF('Bulk Order Details'!O115="","","-"&amp;LOOKUP('Bulk Order Details'!O115,#REF!,#REF!))</f>
        <v/>
      </c>
      <c r="AI105" s="179" t="str">
        <f aca="false">IF('Bulk Order Details'!P115="","","-"&amp;LOOKUP('Bulk Order Details'!P115,#REF!,#REF!))</f>
        <v/>
      </c>
      <c r="AJ105" s="179" t="str">
        <f aca="false">IF('Bulk Order Details'!Q115="","","-"&amp;LOOKUP('Bulk Order Details'!Q115,#REF!,#REF!))</f>
        <v/>
      </c>
      <c r="AK105" s="179" t="str">
        <f aca="false">IF('Bulk Order Details'!R115="","","-"&amp;LOOKUP('Bulk Order Details'!R115,#REF!,#REF!))</f>
        <v/>
      </c>
      <c r="AL105" s="179" t="str">
        <f aca="false">IF('Bulk Order Details'!S115="","","-"&amp;LOOKUP('Bulk Order Details'!S115,#REF!,#REF!))</f>
        <v/>
      </c>
      <c r="AM105" s="179" t="str">
        <f aca="false">IF(_xlfn.CONCAT(AH105:AL105)="","","Lo"&amp;_xlfn.CONCAT(AH105:AL105))</f>
        <v/>
      </c>
      <c r="AN105" s="179" t="str">
        <f aca="false">IF('Bulk Order Details'!K115="","","Na-"&amp;'Bulk Order Details'!K115)</f>
        <v/>
      </c>
      <c r="AO105" s="179" t="str">
        <f aca="false">IF('Bulk Order Details'!N115="","","Fo-"&amp;'Bulk Order Details'!N115)</f>
        <v/>
      </c>
      <c r="AP105" s="179" t="str">
        <f aca="false">IF(AE105="","",AE105&amp;"_"&amp;AF105&amp;"_"&amp;AG105&amp;IF(AM105="","","_"&amp;AM105)&amp;IF(AN105="","","_"&amp;AN105)&amp;IF(AO105="","","_"&amp;AO105))</f>
        <v/>
      </c>
      <c r="AQ105" s="218" t="str">
        <f aca="false">IF(X105="","",X105)</f>
        <v/>
      </c>
    </row>
    <row r="106" customFormat="false" ht="15" hidden="false" customHeight="true" outlineLevel="0" collapsed="false">
      <c r="B106" s="209" t="n">
        <f aca="false">'Bulk Order Details'!B116</f>
        <v>103</v>
      </c>
      <c r="C106" s="209" t="e">
        <f aca="false">IF('bulk order details'!#ref!="","",'bulk order details'!#ref!&amp;" "&amp;'bulk order details'!#ref!)</f>
        <v>#VALUE!</v>
      </c>
      <c r="D106" s="210" t="str">
        <f aca="false">IF('Bulk Order Details'!J116="","",VLOOKUP(1,Price[],3))</f>
        <v/>
      </c>
      <c r="E106" s="211" t="str">
        <f aca="false">IF('Bulk Order Details'!J116="","",Summary!$D$9)</f>
        <v/>
      </c>
      <c r="F106" s="212" t="str">
        <f aca="false">IF('Bulk Order Details'!F116="","",_xlfn.xlookup('Bulk Order Details'!F116,Size[Display],Size[Price]))</f>
        <v/>
      </c>
      <c r="G106" s="212" t="str">
        <f aca="false">IF('Bulk Order Details'!G116="","",_xlfn.xlookup('Bulk Order Details'!G116,Length[Display],Length[Price]))</f>
        <v/>
      </c>
      <c r="H106" s="212" t="str">
        <f aca="false">IF('Bulk Order Details'!H116="","",_xlfn.xlookup('Bulk Order Details'!H116,Collection[Display],Collection[Price]))</f>
        <v/>
      </c>
      <c r="I106" s="212" t="str">
        <f aca="false">IF('Bulk Order Details'!I116="","",_xlfn.xlookup('Bulk Order Details'!I116,Sleeve[Display],Sleeve[Price]))</f>
        <v/>
      </c>
      <c r="J106" s="212" t="str">
        <f aca="false">IF('Bulk Order Details'!J116="","",_xlfn.xlookup('Bulk Order Details'!J116,Collar[Display],Collar[Price]))</f>
        <v/>
      </c>
      <c r="K106" s="212" t="str">
        <f aca="false">IF('Bulk Order Details'!K116="","",_xlfn.xlookup("Name",Name[Name],Name[Price]))</f>
        <v/>
      </c>
      <c r="L106" s="213" t="str">
        <f aca="false">IFERROR(IF('Bulk Order Details'!O116="","",IF(_xlfn.xlookup('Bulk Order Details'!O116,Logos[Display],Logos[Use])="Flat",_xlfn.xlookup('Bulk Order Details'!O116,Logos[Display],Logos[Flat]),ROUND(_xlfn.xlookup('Bulk Order Details'!O116,Logos[Display],Logos[Pct])*$E106,2))),"")</f>
        <v/>
      </c>
      <c r="M106" s="222" t="str">
        <f aca="false">IFERROR(IF('Bulk Order Details'!P116="","",IF(_xlfn.xlookup('Bulk Order Details'!P116,Chest[Display],Chest[Use])="Flat",_xlfn.xlookup('Bulk Order Details'!P116,Chest[Display],Chest[Flat]),ROUND(_xlfn.xlookup('Bulk Order Details'!P116,Chest[Display],Chest[Pct])*$E106,2))),"")</f>
        <v/>
      </c>
      <c r="N106" s="222" t="str">
        <f aca="false">IFERROR(IF('Bulk Order Details'!Q116="","",IF(_xlfn.xlookup('Bulk Order Details'!Q116,Chest[Display],Chest[Use])="Flat",_xlfn.xlookup('Bulk Order Details'!Q116,Chest[Display],Chest[Flat]),ROUND(_xlfn.xlookup('Bulk Order Details'!Q116,Chest[Display],Chest[Pct])*$E106,2))),"")</f>
        <v/>
      </c>
      <c r="O106" s="222" t="str">
        <f aca="false">IFERROR(IF('Bulk Order Details'!R116="","",IF(_xlfn.xlookup('Bulk Order Details'!R116,LeftSleeve[Display],LeftSleeve[Use])="Flat",_xlfn.xlookup('Bulk Order Details'!R116,LeftSleeve[Display],LeftSleeve[Flat]),ROUND(_xlfn.xlookup('Bulk Order Details'!R116,LeftSleeve[Display],LeftSleeve[Pct])*$E106,2))),"")</f>
        <v/>
      </c>
      <c r="P106" s="222" t="str">
        <f aca="false">IFERROR(IF('Bulk Order Details'!S116="","",IF(_xlfn.xlookup('Bulk Order Details'!S116,RightSleeve[Display],RightSleeve[Use])="Flat",_xlfn.xlookup('Bulk Order Details'!S116,RightSleeve[Display],RightSleeve[Flat]),ROUND(_xlfn.xlookup('Bulk Order Details'!S116,RightSleeve[Display],RightSleeve[Pct])*$E106,2))),"")</f>
        <v/>
      </c>
      <c r="Q106" s="214" t="str">
        <f aca="false">IF('Bulk Order Details'!J116="","",SUM(F106:P106))</f>
        <v/>
      </c>
      <c r="R106" s="213" t="str">
        <f aca="false">IFERROR(E106-D106,"")</f>
        <v/>
      </c>
      <c r="S106" s="215" t="str">
        <f aca="false">IFERROR(MIN(IF(Summary!$D$11="Yes",-J106,0),IF(H106&gt;0,-J106,0)),"")</f>
        <v/>
      </c>
      <c r="T106" s="212" t="str">
        <f aca="false">IFERROR(IF(Summary!$D$10="Yes",-K106,""),"")</f>
        <v/>
      </c>
      <c r="U106" s="213" t="str">
        <f aca="false">IFERROR(IF(Summary!$D$12="Yes",-L106,""),"")</f>
        <v/>
      </c>
      <c r="V106" s="216" t="str">
        <f aca="false">IF('Bulk Order Details'!J116="","",SUM(R106:U106))</f>
        <v/>
      </c>
      <c r="W106" s="217" t="str">
        <f aca="false">IF('Bulk Order Details'!J116="","",D106+Q106)</f>
        <v/>
      </c>
      <c r="X106" s="218" t="str">
        <f aca="false">IF('Bulk Order Details'!J116="","",D106+Q106+V106)</f>
        <v/>
      </c>
      <c r="Y106" s="219" t="str">
        <f aca="false">IFERROR((W106-X106)/W106,"")</f>
        <v/>
      </c>
      <c r="Z106" s="220" t="str">
        <f aca="false">IF('Bulk Order Details'!J116="","",MAX(1,'Bulk Order Details'!D116))</f>
        <v/>
      </c>
      <c r="AA106" s="217" t="str">
        <f aca="false">IF(Pricing_Details[[#This Row],[Quantity]]="","",Pricing_Details[[#This Row],[Retail Price]]*Pricing_Details[[#This Row],[Quantity]])</f>
        <v/>
      </c>
      <c r="AB106" s="217" t="str">
        <f aca="false">IF(Pricing_Details[[#This Row],[Quantity]]="","",Pricing_Details[[#This Row],[Total Discount]]*Pricing_Details[[#This Row],[Quantity]])</f>
        <v/>
      </c>
      <c r="AC106" s="221" t="str">
        <f aca="false">IFERROR(ROUND(Pricing_Details[[#This Row],[Actual Price]]*Pricing_Details[[#This Row],[Quantity]],2),"")</f>
        <v/>
      </c>
      <c r="AE106" s="179" t="str">
        <f aca="false">IF('Bulk Order Details'!J116="","",VLOOKUP('Bulk Order Details'!H116,Collection[],3)&amp;VLOOKUP('Bulk Order Details'!J116,Collar[],4)&amp;VLOOKUP('Bulk Order Details'!I116,Sleeve[],4))</f>
        <v/>
      </c>
      <c r="AF106" s="179" t="str">
        <f aca="false">IF('Bulk Order Details'!J116="","",LOOKUP('Bulk Order Details'!E116,Cut[Display],Cut[Code])&amp;LOOKUP('Bulk Order Details'!F116,#REF!,#REF!)&amp;IF('Bulk Order Details'!G116="","",LOOKUP('Bulk Order Details'!G116,Length[Display],Length[Code])))</f>
        <v/>
      </c>
      <c r="AG106" s="179" t="str">
        <f aca="false">IF('Bulk Order Details'!J116="","",IF('Bulk Order Details'!C116="","",'Bulk Order Details'!C116))</f>
        <v/>
      </c>
      <c r="AH106" s="179" t="str">
        <f aca="false">IF('Bulk Order Details'!O116="","","-"&amp;LOOKUP('Bulk Order Details'!O116,#REF!,#REF!))</f>
        <v/>
      </c>
      <c r="AI106" s="179" t="str">
        <f aca="false">IF('Bulk Order Details'!P116="","","-"&amp;LOOKUP('Bulk Order Details'!P116,#REF!,#REF!))</f>
        <v/>
      </c>
      <c r="AJ106" s="179" t="str">
        <f aca="false">IF('Bulk Order Details'!Q116="","","-"&amp;LOOKUP('Bulk Order Details'!Q116,#REF!,#REF!))</f>
        <v/>
      </c>
      <c r="AK106" s="179" t="str">
        <f aca="false">IF('Bulk Order Details'!R116="","","-"&amp;LOOKUP('Bulk Order Details'!R116,#REF!,#REF!))</f>
        <v/>
      </c>
      <c r="AL106" s="179" t="str">
        <f aca="false">IF('Bulk Order Details'!S116="","","-"&amp;LOOKUP('Bulk Order Details'!S116,#REF!,#REF!))</f>
        <v/>
      </c>
      <c r="AM106" s="179" t="str">
        <f aca="false">IF(_xlfn.CONCAT(AH106:AL106)="","","Lo"&amp;_xlfn.CONCAT(AH106:AL106))</f>
        <v/>
      </c>
      <c r="AN106" s="179" t="str">
        <f aca="false">IF('Bulk Order Details'!K116="","","Na-"&amp;'Bulk Order Details'!K116)</f>
        <v/>
      </c>
      <c r="AO106" s="179" t="str">
        <f aca="false">IF('Bulk Order Details'!N116="","","Fo-"&amp;'Bulk Order Details'!N116)</f>
        <v/>
      </c>
      <c r="AP106" s="179" t="str">
        <f aca="false">IF(AE106="","",AE106&amp;"_"&amp;AF106&amp;"_"&amp;AG106&amp;IF(AM106="","","_"&amp;AM106)&amp;IF(AN106="","","_"&amp;AN106)&amp;IF(AO106="","","_"&amp;AO106))</f>
        <v/>
      </c>
      <c r="AQ106" s="218" t="str">
        <f aca="false">IF(X106="","",X106)</f>
        <v/>
      </c>
    </row>
    <row r="107" customFormat="false" ht="15" hidden="false" customHeight="true" outlineLevel="0" collapsed="false">
      <c r="B107" s="209" t="n">
        <f aca="false">'Bulk Order Details'!B117</f>
        <v>104</v>
      </c>
      <c r="C107" s="209" t="e">
        <f aca="false">IF('bulk order details'!#ref!="","",'bulk order details'!#ref!&amp;" "&amp;'bulk order details'!#ref!)</f>
        <v>#VALUE!</v>
      </c>
      <c r="D107" s="210" t="str">
        <f aca="false">IF('Bulk Order Details'!J117="","",VLOOKUP(1,Price[],3))</f>
        <v/>
      </c>
      <c r="E107" s="211" t="str">
        <f aca="false">IF('Bulk Order Details'!J117="","",Summary!$D$9)</f>
        <v/>
      </c>
      <c r="F107" s="212" t="str">
        <f aca="false">IF('Bulk Order Details'!F117="","",_xlfn.xlookup('Bulk Order Details'!F117,Size[Display],Size[Price]))</f>
        <v/>
      </c>
      <c r="G107" s="212" t="str">
        <f aca="false">IF('Bulk Order Details'!G117="","",_xlfn.xlookup('Bulk Order Details'!G117,Length[Display],Length[Price]))</f>
        <v/>
      </c>
      <c r="H107" s="212" t="str">
        <f aca="false">IF('Bulk Order Details'!H117="","",_xlfn.xlookup('Bulk Order Details'!H117,Collection[Display],Collection[Price]))</f>
        <v/>
      </c>
      <c r="I107" s="212" t="str">
        <f aca="false">IF('Bulk Order Details'!I117="","",_xlfn.xlookup('Bulk Order Details'!I117,Sleeve[Display],Sleeve[Price]))</f>
        <v/>
      </c>
      <c r="J107" s="212" t="str">
        <f aca="false">IF('Bulk Order Details'!J117="","",_xlfn.xlookup('Bulk Order Details'!J117,Collar[Display],Collar[Price]))</f>
        <v/>
      </c>
      <c r="K107" s="212" t="str">
        <f aca="false">IF('Bulk Order Details'!K117="","",_xlfn.xlookup("Name",Name[Name],Name[Price]))</f>
        <v/>
      </c>
      <c r="L107" s="213" t="str">
        <f aca="false">IFERROR(IF('Bulk Order Details'!O117="","",IF(_xlfn.xlookup('Bulk Order Details'!O117,Logos[Display],Logos[Use])="Flat",_xlfn.xlookup('Bulk Order Details'!O117,Logos[Display],Logos[Flat]),ROUND(_xlfn.xlookup('Bulk Order Details'!O117,Logos[Display],Logos[Pct])*$E107,2))),"")</f>
        <v/>
      </c>
      <c r="M107" s="222" t="str">
        <f aca="false">IFERROR(IF('Bulk Order Details'!P117="","",IF(_xlfn.xlookup('Bulk Order Details'!P117,Chest[Display],Chest[Use])="Flat",_xlfn.xlookup('Bulk Order Details'!P117,Chest[Display],Chest[Flat]),ROUND(_xlfn.xlookup('Bulk Order Details'!P117,Chest[Display],Chest[Pct])*$E107,2))),"")</f>
        <v/>
      </c>
      <c r="N107" s="222" t="str">
        <f aca="false">IFERROR(IF('Bulk Order Details'!Q117="","",IF(_xlfn.xlookup('Bulk Order Details'!Q117,Chest[Display],Chest[Use])="Flat",_xlfn.xlookup('Bulk Order Details'!Q117,Chest[Display],Chest[Flat]),ROUND(_xlfn.xlookup('Bulk Order Details'!Q117,Chest[Display],Chest[Pct])*$E107,2))),"")</f>
        <v/>
      </c>
      <c r="O107" s="222" t="str">
        <f aca="false">IFERROR(IF('Bulk Order Details'!R117="","",IF(_xlfn.xlookup('Bulk Order Details'!R117,LeftSleeve[Display],LeftSleeve[Use])="Flat",_xlfn.xlookup('Bulk Order Details'!R117,LeftSleeve[Display],LeftSleeve[Flat]),ROUND(_xlfn.xlookup('Bulk Order Details'!R117,LeftSleeve[Display],LeftSleeve[Pct])*$E107,2))),"")</f>
        <v/>
      </c>
      <c r="P107" s="222" t="str">
        <f aca="false">IFERROR(IF('Bulk Order Details'!S117="","",IF(_xlfn.xlookup('Bulk Order Details'!S117,RightSleeve[Display],RightSleeve[Use])="Flat",_xlfn.xlookup('Bulk Order Details'!S117,RightSleeve[Display],RightSleeve[Flat]),ROUND(_xlfn.xlookup('Bulk Order Details'!S117,RightSleeve[Display],RightSleeve[Pct])*$E107,2))),"")</f>
        <v/>
      </c>
      <c r="Q107" s="214" t="str">
        <f aca="false">IF('Bulk Order Details'!J117="","",SUM(F107:P107))</f>
        <v/>
      </c>
      <c r="R107" s="213" t="str">
        <f aca="false">IFERROR(E107-D107,"")</f>
        <v/>
      </c>
      <c r="S107" s="215" t="str">
        <f aca="false">IFERROR(MIN(IF(Summary!$D$11="Yes",-J107,0),IF(H107&gt;0,-J107,0)),"")</f>
        <v/>
      </c>
      <c r="T107" s="212" t="str">
        <f aca="false">IFERROR(IF(Summary!$D$10="Yes",-K107,""),"")</f>
        <v/>
      </c>
      <c r="U107" s="213" t="str">
        <f aca="false">IFERROR(IF(Summary!$D$12="Yes",-L107,""),"")</f>
        <v/>
      </c>
      <c r="V107" s="216" t="str">
        <f aca="false">IF('Bulk Order Details'!J117="","",SUM(R107:U107))</f>
        <v/>
      </c>
      <c r="W107" s="217" t="str">
        <f aca="false">IF('Bulk Order Details'!J117="","",D107+Q107)</f>
        <v/>
      </c>
      <c r="X107" s="218" t="str">
        <f aca="false">IF('Bulk Order Details'!J117="","",D107+Q107+V107)</f>
        <v/>
      </c>
      <c r="Y107" s="219" t="str">
        <f aca="false">IFERROR((W107-X107)/W107,"")</f>
        <v/>
      </c>
      <c r="Z107" s="220" t="str">
        <f aca="false">IF('Bulk Order Details'!J117="","",MAX(1,'Bulk Order Details'!D117))</f>
        <v/>
      </c>
      <c r="AA107" s="217" t="str">
        <f aca="false">IF(Pricing_Details[[#This Row],[Quantity]]="","",Pricing_Details[[#This Row],[Retail Price]]*Pricing_Details[[#This Row],[Quantity]])</f>
        <v/>
      </c>
      <c r="AB107" s="217" t="str">
        <f aca="false">IF(Pricing_Details[[#This Row],[Quantity]]="","",Pricing_Details[[#This Row],[Total Discount]]*Pricing_Details[[#This Row],[Quantity]])</f>
        <v/>
      </c>
      <c r="AC107" s="221" t="str">
        <f aca="false">IFERROR(ROUND(Pricing_Details[[#This Row],[Actual Price]]*Pricing_Details[[#This Row],[Quantity]],2),"")</f>
        <v/>
      </c>
      <c r="AE107" s="179" t="str">
        <f aca="false">IF('Bulk Order Details'!J117="","",VLOOKUP('Bulk Order Details'!H117,Collection[],3)&amp;VLOOKUP('Bulk Order Details'!J117,Collar[],4)&amp;VLOOKUP('Bulk Order Details'!I117,Sleeve[],4))</f>
        <v/>
      </c>
      <c r="AF107" s="179" t="str">
        <f aca="false">IF('Bulk Order Details'!J117="","",LOOKUP('Bulk Order Details'!E117,Cut[Display],Cut[Code])&amp;LOOKUP('Bulk Order Details'!F117,#REF!,#REF!)&amp;IF('Bulk Order Details'!G117="","",LOOKUP('Bulk Order Details'!G117,Length[Display],Length[Code])))</f>
        <v/>
      </c>
      <c r="AG107" s="179" t="str">
        <f aca="false">IF('Bulk Order Details'!J117="","",IF('Bulk Order Details'!C117="","",'Bulk Order Details'!C117))</f>
        <v/>
      </c>
      <c r="AH107" s="179" t="str">
        <f aca="false">IF('Bulk Order Details'!O117="","","-"&amp;LOOKUP('Bulk Order Details'!O117,#REF!,#REF!))</f>
        <v/>
      </c>
      <c r="AI107" s="179" t="str">
        <f aca="false">IF('Bulk Order Details'!P117="","","-"&amp;LOOKUP('Bulk Order Details'!P117,#REF!,#REF!))</f>
        <v/>
      </c>
      <c r="AJ107" s="179" t="str">
        <f aca="false">IF('Bulk Order Details'!Q117="","","-"&amp;LOOKUP('Bulk Order Details'!Q117,#REF!,#REF!))</f>
        <v/>
      </c>
      <c r="AK107" s="179" t="str">
        <f aca="false">IF('Bulk Order Details'!R117="","","-"&amp;LOOKUP('Bulk Order Details'!R117,#REF!,#REF!))</f>
        <v/>
      </c>
      <c r="AL107" s="179" t="str">
        <f aca="false">IF('Bulk Order Details'!S117="","","-"&amp;LOOKUP('Bulk Order Details'!S117,#REF!,#REF!))</f>
        <v/>
      </c>
      <c r="AM107" s="179" t="str">
        <f aca="false">IF(_xlfn.CONCAT(AH107:AL107)="","","Lo"&amp;_xlfn.CONCAT(AH107:AL107))</f>
        <v/>
      </c>
      <c r="AN107" s="179" t="str">
        <f aca="false">IF('Bulk Order Details'!K117="","","Na-"&amp;'Bulk Order Details'!K117)</f>
        <v/>
      </c>
      <c r="AO107" s="179" t="str">
        <f aca="false">IF('Bulk Order Details'!N117="","","Fo-"&amp;'Bulk Order Details'!N117)</f>
        <v/>
      </c>
      <c r="AP107" s="179" t="str">
        <f aca="false">IF(AE107="","",AE107&amp;"_"&amp;AF107&amp;"_"&amp;AG107&amp;IF(AM107="","","_"&amp;AM107)&amp;IF(AN107="","","_"&amp;AN107)&amp;IF(AO107="","","_"&amp;AO107))</f>
        <v/>
      </c>
      <c r="AQ107" s="218" t="str">
        <f aca="false">IF(X107="","",X107)</f>
        <v/>
      </c>
    </row>
    <row r="108" customFormat="false" ht="15" hidden="false" customHeight="true" outlineLevel="0" collapsed="false">
      <c r="B108" s="209" t="n">
        <f aca="false">'Bulk Order Details'!B118</f>
        <v>105</v>
      </c>
      <c r="C108" s="209" t="e">
        <f aca="false">IF('bulk order details'!#ref!="","",'bulk order details'!#ref!&amp;" "&amp;'bulk order details'!#ref!)</f>
        <v>#VALUE!</v>
      </c>
      <c r="D108" s="210" t="str">
        <f aca="false">IF('Bulk Order Details'!J118="","",VLOOKUP(1,Price[],3))</f>
        <v/>
      </c>
      <c r="E108" s="211" t="str">
        <f aca="false">IF('Bulk Order Details'!J118="","",Summary!$D$9)</f>
        <v/>
      </c>
      <c r="F108" s="212" t="str">
        <f aca="false">IF('Bulk Order Details'!F118="","",_xlfn.xlookup('Bulk Order Details'!F118,Size[Display],Size[Price]))</f>
        <v/>
      </c>
      <c r="G108" s="212" t="str">
        <f aca="false">IF('Bulk Order Details'!G118="","",_xlfn.xlookup('Bulk Order Details'!G118,Length[Display],Length[Price]))</f>
        <v/>
      </c>
      <c r="H108" s="212" t="str">
        <f aca="false">IF('Bulk Order Details'!H118="","",_xlfn.xlookup('Bulk Order Details'!H118,Collection[Display],Collection[Price]))</f>
        <v/>
      </c>
      <c r="I108" s="212" t="str">
        <f aca="false">IF('Bulk Order Details'!I118="","",_xlfn.xlookup('Bulk Order Details'!I118,Sleeve[Display],Sleeve[Price]))</f>
        <v/>
      </c>
      <c r="J108" s="212" t="str">
        <f aca="false">IF('Bulk Order Details'!J118="","",_xlfn.xlookup('Bulk Order Details'!J118,Collar[Display],Collar[Price]))</f>
        <v/>
      </c>
      <c r="K108" s="212" t="str">
        <f aca="false">IF('Bulk Order Details'!K118="","",_xlfn.xlookup("Name",Name[Name],Name[Price]))</f>
        <v/>
      </c>
      <c r="L108" s="213" t="str">
        <f aca="false">IFERROR(IF('Bulk Order Details'!O118="","",IF(_xlfn.xlookup('Bulk Order Details'!O118,Logos[Display],Logos[Use])="Flat",_xlfn.xlookup('Bulk Order Details'!O118,Logos[Display],Logos[Flat]),ROUND(_xlfn.xlookup('Bulk Order Details'!O118,Logos[Display],Logos[Pct])*$E108,2))),"")</f>
        <v/>
      </c>
      <c r="M108" s="222" t="str">
        <f aca="false">IFERROR(IF('Bulk Order Details'!P118="","",IF(_xlfn.xlookup('Bulk Order Details'!P118,Chest[Display],Chest[Use])="Flat",_xlfn.xlookup('Bulk Order Details'!P118,Chest[Display],Chest[Flat]),ROUND(_xlfn.xlookup('Bulk Order Details'!P118,Chest[Display],Chest[Pct])*$E108,2))),"")</f>
        <v/>
      </c>
      <c r="N108" s="222" t="str">
        <f aca="false">IFERROR(IF('Bulk Order Details'!Q118="","",IF(_xlfn.xlookup('Bulk Order Details'!Q118,Chest[Display],Chest[Use])="Flat",_xlfn.xlookup('Bulk Order Details'!Q118,Chest[Display],Chest[Flat]),ROUND(_xlfn.xlookup('Bulk Order Details'!Q118,Chest[Display],Chest[Pct])*$E108,2))),"")</f>
        <v/>
      </c>
      <c r="O108" s="222" t="str">
        <f aca="false">IFERROR(IF('Bulk Order Details'!R118="","",IF(_xlfn.xlookup('Bulk Order Details'!R118,LeftSleeve[Display],LeftSleeve[Use])="Flat",_xlfn.xlookup('Bulk Order Details'!R118,LeftSleeve[Display],LeftSleeve[Flat]),ROUND(_xlfn.xlookup('Bulk Order Details'!R118,LeftSleeve[Display],LeftSleeve[Pct])*$E108,2))),"")</f>
        <v/>
      </c>
      <c r="P108" s="222" t="str">
        <f aca="false">IFERROR(IF('Bulk Order Details'!S118="","",IF(_xlfn.xlookup('Bulk Order Details'!S118,RightSleeve[Display],RightSleeve[Use])="Flat",_xlfn.xlookup('Bulk Order Details'!S118,RightSleeve[Display],RightSleeve[Flat]),ROUND(_xlfn.xlookup('Bulk Order Details'!S118,RightSleeve[Display],RightSleeve[Pct])*$E108,2))),"")</f>
        <v/>
      </c>
      <c r="Q108" s="214" t="str">
        <f aca="false">IF('Bulk Order Details'!J118="","",SUM(F108:P108))</f>
        <v/>
      </c>
      <c r="R108" s="213" t="str">
        <f aca="false">IFERROR(E108-D108,"")</f>
        <v/>
      </c>
      <c r="S108" s="215" t="str">
        <f aca="false">IFERROR(MIN(IF(Summary!$D$11="Yes",-J108,0),IF(H108&gt;0,-J108,0)),"")</f>
        <v/>
      </c>
      <c r="T108" s="212" t="str">
        <f aca="false">IFERROR(IF(Summary!$D$10="Yes",-K108,""),"")</f>
        <v/>
      </c>
      <c r="U108" s="213" t="str">
        <f aca="false">IFERROR(IF(Summary!$D$12="Yes",-L108,""),"")</f>
        <v/>
      </c>
      <c r="V108" s="216" t="str">
        <f aca="false">IF('Bulk Order Details'!J118="","",SUM(R108:U108))</f>
        <v/>
      </c>
      <c r="W108" s="217" t="str">
        <f aca="false">IF('Bulk Order Details'!J118="","",D108+Q108)</f>
        <v/>
      </c>
      <c r="X108" s="218" t="str">
        <f aca="false">IF('Bulk Order Details'!J118="","",D108+Q108+V108)</f>
        <v/>
      </c>
      <c r="Y108" s="219" t="str">
        <f aca="false">IFERROR((W108-X108)/W108,"")</f>
        <v/>
      </c>
      <c r="Z108" s="220" t="str">
        <f aca="false">IF('Bulk Order Details'!J118="","",MAX(1,'Bulk Order Details'!D118))</f>
        <v/>
      </c>
      <c r="AA108" s="217" t="str">
        <f aca="false">IF(Pricing_Details[[#This Row],[Quantity]]="","",Pricing_Details[[#This Row],[Retail Price]]*Pricing_Details[[#This Row],[Quantity]])</f>
        <v/>
      </c>
      <c r="AB108" s="217" t="str">
        <f aca="false">IF(Pricing_Details[[#This Row],[Quantity]]="","",Pricing_Details[[#This Row],[Total Discount]]*Pricing_Details[[#This Row],[Quantity]])</f>
        <v/>
      </c>
      <c r="AC108" s="221" t="str">
        <f aca="false">IFERROR(ROUND(Pricing_Details[[#This Row],[Actual Price]]*Pricing_Details[[#This Row],[Quantity]],2),"")</f>
        <v/>
      </c>
      <c r="AE108" s="179" t="str">
        <f aca="false">IF('Bulk Order Details'!J118="","",VLOOKUP('Bulk Order Details'!H118,Collection[],3)&amp;VLOOKUP('Bulk Order Details'!J118,Collar[],4)&amp;VLOOKUP('Bulk Order Details'!I118,Sleeve[],4))</f>
        <v/>
      </c>
      <c r="AF108" s="179" t="str">
        <f aca="false">IF('Bulk Order Details'!J118="","",LOOKUP('Bulk Order Details'!E118,Cut[Display],Cut[Code])&amp;LOOKUP('Bulk Order Details'!F118,#REF!,#REF!)&amp;IF('Bulk Order Details'!G118="","",LOOKUP('Bulk Order Details'!G118,Length[Display],Length[Code])))</f>
        <v/>
      </c>
      <c r="AG108" s="179" t="str">
        <f aca="false">IF('Bulk Order Details'!J118="","",IF('Bulk Order Details'!C118="","",'Bulk Order Details'!C118))</f>
        <v/>
      </c>
      <c r="AH108" s="179" t="str">
        <f aca="false">IF('Bulk Order Details'!O118="","","-"&amp;LOOKUP('Bulk Order Details'!O118,#REF!,#REF!))</f>
        <v/>
      </c>
      <c r="AI108" s="179" t="str">
        <f aca="false">IF('Bulk Order Details'!P118="","","-"&amp;LOOKUP('Bulk Order Details'!P118,#REF!,#REF!))</f>
        <v/>
      </c>
      <c r="AJ108" s="179" t="str">
        <f aca="false">IF('Bulk Order Details'!Q118="","","-"&amp;LOOKUP('Bulk Order Details'!Q118,#REF!,#REF!))</f>
        <v/>
      </c>
      <c r="AK108" s="179" t="str">
        <f aca="false">IF('Bulk Order Details'!R118="","","-"&amp;LOOKUP('Bulk Order Details'!R118,#REF!,#REF!))</f>
        <v/>
      </c>
      <c r="AL108" s="179" t="str">
        <f aca="false">IF('Bulk Order Details'!S118="","","-"&amp;LOOKUP('Bulk Order Details'!S118,#REF!,#REF!))</f>
        <v/>
      </c>
      <c r="AM108" s="179" t="str">
        <f aca="false">IF(_xlfn.CONCAT(AH108:AL108)="","","Lo"&amp;_xlfn.CONCAT(AH108:AL108))</f>
        <v/>
      </c>
      <c r="AN108" s="179" t="str">
        <f aca="false">IF('Bulk Order Details'!K118="","","Na-"&amp;'Bulk Order Details'!K118)</f>
        <v/>
      </c>
      <c r="AO108" s="179" t="str">
        <f aca="false">IF('Bulk Order Details'!N118="","","Fo-"&amp;'Bulk Order Details'!N118)</f>
        <v/>
      </c>
      <c r="AP108" s="179" t="str">
        <f aca="false">IF(AE108="","",AE108&amp;"_"&amp;AF108&amp;"_"&amp;AG108&amp;IF(AM108="","","_"&amp;AM108)&amp;IF(AN108="","","_"&amp;AN108)&amp;IF(AO108="","","_"&amp;AO108))</f>
        <v/>
      </c>
      <c r="AQ108" s="218" t="str">
        <f aca="false">IF(X108="","",X108)</f>
        <v/>
      </c>
    </row>
    <row r="109" customFormat="false" ht="15" hidden="false" customHeight="true" outlineLevel="0" collapsed="false">
      <c r="B109" s="209" t="n">
        <f aca="false">'Bulk Order Details'!B119</f>
        <v>106</v>
      </c>
      <c r="C109" s="209" t="e">
        <f aca="false">IF('bulk order details'!#ref!="","",'bulk order details'!#ref!&amp;" "&amp;'bulk order details'!#ref!)</f>
        <v>#VALUE!</v>
      </c>
      <c r="D109" s="210" t="str">
        <f aca="false">IF('Bulk Order Details'!J119="","",VLOOKUP(1,Price[],3))</f>
        <v/>
      </c>
      <c r="E109" s="211" t="str">
        <f aca="false">IF('Bulk Order Details'!J119="","",Summary!$D$9)</f>
        <v/>
      </c>
      <c r="F109" s="212" t="str">
        <f aca="false">IF('Bulk Order Details'!F119="","",_xlfn.xlookup('Bulk Order Details'!F119,Size[Display],Size[Price]))</f>
        <v/>
      </c>
      <c r="G109" s="212" t="str">
        <f aca="false">IF('Bulk Order Details'!G119="","",_xlfn.xlookup('Bulk Order Details'!G119,Length[Display],Length[Price]))</f>
        <v/>
      </c>
      <c r="H109" s="212" t="str">
        <f aca="false">IF('Bulk Order Details'!H119="","",_xlfn.xlookup('Bulk Order Details'!H119,Collection[Display],Collection[Price]))</f>
        <v/>
      </c>
      <c r="I109" s="212" t="str">
        <f aca="false">IF('Bulk Order Details'!I119="","",_xlfn.xlookup('Bulk Order Details'!I119,Sleeve[Display],Sleeve[Price]))</f>
        <v/>
      </c>
      <c r="J109" s="212" t="str">
        <f aca="false">IF('Bulk Order Details'!J119="","",_xlfn.xlookup('Bulk Order Details'!J119,Collar[Display],Collar[Price]))</f>
        <v/>
      </c>
      <c r="K109" s="212" t="str">
        <f aca="false">IF('Bulk Order Details'!K119="","",_xlfn.xlookup("Name",Name[Name],Name[Price]))</f>
        <v/>
      </c>
      <c r="L109" s="213" t="str">
        <f aca="false">IFERROR(IF('Bulk Order Details'!O119="","",IF(_xlfn.xlookup('Bulk Order Details'!O119,Logos[Display],Logos[Use])="Flat",_xlfn.xlookup('Bulk Order Details'!O119,Logos[Display],Logos[Flat]),ROUND(_xlfn.xlookup('Bulk Order Details'!O119,Logos[Display],Logos[Pct])*$E109,2))),"")</f>
        <v/>
      </c>
      <c r="M109" s="222" t="str">
        <f aca="false">IFERROR(IF('Bulk Order Details'!P119="","",IF(_xlfn.xlookup('Bulk Order Details'!P119,Chest[Display],Chest[Use])="Flat",_xlfn.xlookup('Bulk Order Details'!P119,Chest[Display],Chest[Flat]),ROUND(_xlfn.xlookup('Bulk Order Details'!P119,Chest[Display],Chest[Pct])*$E109,2))),"")</f>
        <v/>
      </c>
      <c r="N109" s="222" t="str">
        <f aca="false">IFERROR(IF('Bulk Order Details'!Q119="","",IF(_xlfn.xlookup('Bulk Order Details'!Q119,Chest[Display],Chest[Use])="Flat",_xlfn.xlookup('Bulk Order Details'!Q119,Chest[Display],Chest[Flat]),ROUND(_xlfn.xlookup('Bulk Order Details'!Q119,Chest[Display],Chest[Pct])*$E109,2))),"")</f>
        <v/>
      </c>
      <c r="O109" s="222" t="str">
        <f aca="false">IFERROR(IF('Bulk Order Details'!R119="","",IF(_xlfn.xlookup('Bulk Order Details'!R119,LeftSleeve[Display],LeftSleeve[Use])="Flat",_xlfn.xlookup('Bulk Order Details'!R119,LeftSleeve[Display],LeftSleeve[Flat]),ROUND(_xlfn.xlookup('Bulk Order Details'!R119,LeftSleeve[Display],LeftSleeve[Pct])*$E109,2))),"")</f>
        <v/>
      </c>
      <c r="P109" s="222" t="str">
        <f aca="false">IFERROR(IF('Bulk Order Details'!S119="","",IF(_xlfn.xlookup('Bulk Order Details'!S119,RightSleeve[Display],RightSleeve[Use])="Flat",_xlfn.xlookup('Bulk Order Details'!S119,RightSleeve[Display],RightSleeve[Flat]),ROUND(_xlfn.xlookup('Bulk Order Details'!S119,RightSleeve[Display],RightSleeve[Pct])*$E109,2))),"")</f>
        <v/>
      </c>
      <c r="Q109" s="214" t="str">
        <f aca="false">IF('Bulk Order Details'!J119="","",SUM(F109:P109))</f>
        <v/>
      </c>
      <c r="R109" s="213" t="str">
        <f aca="false">IFERROR(E109-D109,"")</f>
        <v/>
      </c>
      <c r="S109" s="215" t="str">
        <f aca="false">IFERROR(MIN(IF(Summary!$D$11="Yes",-J109,0),IF(H109&gt;0,-J109,0)),"")</f>
        <v/>
      </c>
      <c r="T109" s="212" t="str">
        <f aca="false">IFERROR(IF(Summary!$D$10="Yes",-K109,""),"")</f>
        <v/>
      </c>
      <c r="U109" s="213" t="str">
        <f aca="false">IFERROR(IF(Summary!$D$12="Yes",-L109,""),"")</f>
        <v/>
      </c>
      <c r="V109" s="216" t="str">
        <f aca="false">IF('Bulk Order Details'!J119="","",SUM(R109:U109))</f>
        <v/>
      </c>
      <c r="W109" s="217" t="str">
        <f aca="false">IF('Bulk Order Details'!J119="","",D109+Q109)</f>
        <v/>
      </c>
      <c r="X109" s="218" t="str">
        <f aca="false">IF('Bulk Order Details'!J119="","",D109+Q109+V109)</f>
        <v/>
      </c>
      <c r="Y109" s="219" t="str">
        <f aca="false">IFERROR((W109-X109)/W109,"")</f>
        <v/>
      </c>
      <c r="Z109" s="220" t="str">
        <f aca="false">IF('Bulk Order Details'!J119="","",MAX(1,'Bulk Order Details'!D119))</f>
        <v/>
      </c>
      <c r="AA109" s="217" t="str">
        <f aca="false">IF(Pricing_Details[[#This Row],[Quantity]]="","",Pricing_Details[[#This Row],[Retail Price]]*Pricing_Details[[#This Row],[Quantity]])</f>
        <v/>
      </c>
      <c r="AB109" s="217" t="str">
        <f aca="false">IF(Pricing_Details[[#This Row],[Quantity]]="","",Pricing_Details[[#This Row],[Total Discount]]*Pricing_Details[[#This Row],[Quantity]])</f>
        <v/>
      </c>
      <c r="AC109" s="221" t="str">
        <f aca="false">IFERROR(ROUND(Pricing_Details[[#This Row],[Actual Price]]*Pricing_Details[[#This Row],[Quantity]],2),"")</f>
        <v/>
      </c>
      <c r="AE109" s="179" t="str">
        <f aca="false">IF('Bulk Order Details'!J119="","",VLOOKUP('Bulk Order Details'!H119,Collection[],3)&amp;VLOOKUP('Bulk Order Details'!J119,Collar[],4)&amp;VLOOKUP('Bulk Order Details'!I119,Sleeve[],4))</f>
        <v/>
      </c>
      <c r="AF109" s="179" t="str">
        <f aca="false">IF('Bulk Order Details'!J119="","",LOOKUP('Bulk Order Details'!E119,Cut[Display],Cut[Code])&amp;LOOKUP('Bulk Order Details'!F119,#REF!,#REF!)&amp;IF('Bulk Order Details'!G119="","",LOOKUP('Bulk Order Details'!G119,Length[Display],Length[Code])))</f>
        <v/>
      </c>
      <c r="AG109" s="179" t="str">
        <f aca="false">IF('Bulk Order Details'!J119="","",IF('Bulk Order Details'!C119="","",'Bulk Order Details'!C119))</f>
        <v/>
      </c>
      <c r="AH109" s="179" t="str">
        <f aca="false">IF('Bulk Order Details'!O119="","","-"&amp;LOOKUP('Bulk Order Details'!O119,#REF!,#REF!))</f>
        <v/>
      </c>
      <c r="AI109" s="179" t="str">
        <f aca="false">IF('Bulk Order Details'!P119="","","-"&amp;LOOKUP('Bulk Order Details'!P119,#REF!,#REF!))</f>
        <v/>
      </c>
      <c r="AJ109" s="179" t="str">
        <f aca="false">IF('Bulk Order Details'!Q119="","","-"&amp;LOOKUP('Bulk Order Details'!Q119,#REF!,#REF!))</f>
        <v/>
      </c>
      <c r="AK109" s="179" t="str">
        <f aca="false">IF('Bulk Order Details'!R119="","","-"&amp;LOOKUP('Bulk Order Details'!R119,#REF!,#REF!))</f>
        <v/>
      </c>
      <c r="AL109" s="179" t="str">
        <f aca="false">IF('Bulk Order Details'!S119="","","-"&amp;LOOKUP('Bulk Order Details'!S119,#REF!,#REF!))</f>
        <v/>
      </c>
      <c r="AM109" s="179" t="str">
        <f aca="false">IF(_xlfn.CONCAT(AH109:AL109)="","","Lo"&amp;_xlfn.CONCAT(AH109:AL109))</f>
        <v/>
      </c>
      <c r="AN109" s="179" t="str">
        <f aca="false">IF('Bulk Order Details'!K119="","","Na-"&amp;'Bulk Order Details'!K119)</f>
        <v/>
      </c>
      <c r="AO109" s="179" t="str">
        <f aca="false">IF('Bulk Order Details'!N119="","","Fo-"&amp;'Bulk Order Details'!N119)</f>
        <v/>
      </c>
      <c r="AP109" s="179" t="str">
        <f aca="false">IF(AE109="","",AE109&amp;"_"&amp;AF109&amp;"_"&amp;AG109&amp;IF(AM109="","","_"&amp;AM109)&amp;IF(AN109="","","_"&amp;AN109)&amp;IF(AO109="","","_"&amp;AO109))</f>
        <v/>
      </c>
      <c r="AQ109" s="218" t="str">
        <f aca="false">IF(X109="","",X109)</f>
        <v/>
      </c>
    </row>
    <row r="110" customFormat="false" ht="15" hidden="false" customHeight="true" outlineLevel="0" collapsed="false">
      <c r="B110" s="209" t="n">
        <f aca="false">'Bulk Order Details'!B120</f>
        <v>107</v>
      </c>
      <c r="C110" s="209" t="e">
        <f aca="false">IF('bulk order details'!#ref!="","",'bulk order details'!#ref!&amp;" "&amp;'bulk order details'!#ref!)</f>
        <v>#VALUE!</v>
      </c>
      <c r="D110" s="210" t="str">
        <f aca="false">IF('Bulk Order Details'!J120="","",VLOOKUP(1,Price[],3))</f>
        <v/>
      </c>
      <c r="E110" s="211" t="str">
        <f aca="false">IF('Bulk Order Details'!J120="","",Summary!$D$9)</f>
        <v/>
      </c>
      <c r="F110" s="212" t="str">
        <f aca="false">IF('Bulk Order Details'!F120="","",_xlfn.xlookup('Bulk Order Details'!F120,Size[Display],Size[Price]))</f>
        <v/>
      </c>
      <c r="G110" s="212" t="str">
        <f aca="false">IF('Bulk Order Details'!G120="","",_xlfn.xlookup('Bulk Order Details'!G120,Length[Display],Length[Price]))</f>
        <v/>
      </c>
      <c r="H110" s="212" t="str">
        <f aca="false">IF('Bulk Order Details'!H120="","",_xlfn.xlookup('Bulk Order Details'!H120,Collection[Display],Collection[Price]))</f>
        <v/>
      </c>
      <c r="I110" s="212" t="str">
        <f aca="false">IF('Bulk Order Details'!I120="","",_xlfn.xlookup('Bulk Order Details'!I120,Sleeve[Display],Sleeve[Price]))</f>
        <v/>
      </c>
      <c r="J110" s="212" t="str">
        <f aca="false">IF('Bulk Order Details'!J120="","",_xlfn.xlookup('Bulk Order Details'!J120,Collar[Display],Collar[Price]))</f>
        <v/>
      </c>
      <c r="K110" s="212" t="str">
        <f aca="false">IF('Bulk Order Details'!K120="","",_xlfn.xlookup("Name",Name[Name],Name[Price]))</f>
        <v/>
      </c>
      <c r="L110" s="213" t="str">
        <f aca="false">IFERROR(IF('Bulk Order Details'!O120="","",IF(_xlfn.xlookup('Bulk Order Details'!O120,Logos[Display],Logos[Use])="Flat",_xlfn.xlookup('Bulk Order Details'!O120,Logos[Display],Logos[Flat]),ROUND(_xlfn.xlookup('Bulk Order Details'!O120,Logos[Display],Logos[Pct])*$E110,2))),"")</f>
        <v/>
      </c>
      <c r="M110" s="222" t="str">
        <f aca="false">IFERROR(IF('Bulk Order Details'!P120="","",IF(_xlfn.xlookup('Bulk Order Details'!P120,Chest[Display],Chest[Use])="Flat",_xlfn.xlookup('Bulk Order Details'!P120,Chest[Display],Chest[Flat]),ROUND(_xlfn.xlookup('Bulk Order Details'!P120,Chest[Display],Chest[Pct])*$E110,2))),"")</f>
        <v/>
      </c>
      <c r="N110" s="222" t="str">
        <f aca="false">IFERROR(IF('Bulk Order Details'!Q120="","",IF(_xlfn.xlookup('Bulk Order Details'!Q120,Chest[Display],Chest[Use])="Flat",_xlfn.xlookup('Bulk Order Details'!Q120,Chest[Display],Chest[Flat]),ROUND(_xlfn.xlookup('Bulk Order Details'!Q120,Chest[Display],Chest[Pct])*$E110,2))),"")</f>
        <v/>
      </c>
      <c r="O110" s="222" t="str">
        <f aca="false">IFERROR(IF('Bulk Order Details'!R120="","",IF(_xlfn.xlookup('Bulk Order Details'!R120,LeftSleeve[Display],LeftSleeve[Use])="Flat",_xlfn.xlookup('Bulk Order Details'!R120,LeftSleeve[Display],LeftSleeve[Flat]),ROUND(_xlfn.xlookup('Bulk Order Details'!R120,LeftSleeve[Display],LeftSleeve[Pct])*$E110,2))),"")</f>
        <v/>
      </c>
      <c r="P110" s="222" t="str">
        <f aca="false">IFERROR(IF('Bulk Order Details'!S120="","",IF(_xlfn.xlookup('Bulk Order Details'!S120,RightSleeve[Display],RightSleeve[Use])="Flat",_xlfn.xlookup('Bulk Order Details'!S120,RightSleeve[Display],RightSleeve[Flat]),ROUND(_xlfn.xlookup('Bulk Order Details'!S120,RightSleeve[Display],RightSleeve[Pct])*$E110,2))),"")</f>
        <v/>
      </c>
      <c r="Q110" s="214" t="str">
        <f aca="false">IF('Bulk Order Details'!J120="","",SUM(F110:P110))</f>
        <v/>
      </c>
      <c r="R110" s="213" t="str">
        <f aca="false">IFERROR(E110-D110,"")</f>
        <v/>
      </c>
      <c r="S110" s="215" t="str">
        <f aca="false">IFERROR(MIN(IF(Summary!$D$11="Yes",-J110,0),IF(H110&gt;0,-J110,0)),"")</f>
        <v/>
      </c>
      <c r="T110" s="212" t="str">
        <f aca="false">IFERROR(IF(Summary!$D$10="Yes",-K110,""),"")</f>
        <v/>
      </c>
      <c r="U110" s="213" t="str">
        <f aca="false">IFERROR(IF(Summary!$D$12="Yes",-L110,""),"")</f>
        <v/>
      </c>
      <c r="V110" s="216" t="str">
        <f aca="false">IF('Bulk Order Details'!J120="","",SUM(R110:U110))</f>
        <v/>
      </c>
      <c r="W110" s="217" t="str">
        <f aca="false">IF('Bulk Order Details'!J120="","",D110+Q110)</f>
        <v/>
      </c>
      <c r="X110" s="218" t="str">
        <f aca="false">IF('Bulk Order Details'!J120="","",D110+Q110+V110)</f>
        <v/>
      </c>
      <c r="Y110" s="219" t="str">
        <f aca="false">IFERROR((W110-X110)/W110,"")</f>
        <v/>
      </c>
      <c r="Z110" s="220" t="str">
        <f aca="false">IF('Bulk Order Details'!J120="","",MAX(1,'Bulk Order Details'!D120))</f>
        <v/>
      </c>
      <c r="AA110" s="217" t="str">
        <f aca="false">IF(Pricing_Details[[#This Row],[Quantity]]="","",Pricing_Details[[#This Row],[Retail Price]]*Pricing_Details[[#This Row],[Quantity]])</f>
        <v/>
      </c>
      <c r="AB110" s="217" t="str">
        <f aca="false">IF(Pricing_Details[[#This Row],[Quantity]]="","",Pricing_Details[[#This Row],[Total Discount]]*Pricing_Details[[#This Row],[Quantity]])</f>
        <v/>
      </c>
      <c r="AC110" s="221" t="str">
        <f aca="false">IFERROR(ROUND(Pricing_Details[[#This Row],[Actual Price]]*Pricing_Details[[#This Row],[Quantity]],2),"")</f>
        <v/>
      </c>
      <c r="AE110" s="179" t="str">
        <f aca="false">IF('Bulk Order Details'!J120="","",VLOOKUP('Bulk Order Details'!H120,Collection[],3)&amp;VLOOKUP('Bulk Order Details'!J120,Collar[],4)&amp;VLOOKUP('Bulk Order Details'!I120,Sleeve[],4))</f>
        <v/>
      </c>
      <c r="AF110" s="179" t="str">
        <f aca="false">IF('Bulk Order Details'!J120="","",LOOKUP('Bulk Order Details'!E120,Cut[Display],Cut[Code])&amp;LOOKUP('Bulk Order Details'!F120,#REF!,#REF!)&amp;IF('Bulk Order Details'!G120="","",LOOKUP('Bulk Order Details'!G120,Length[Display],Length[Code])))</f>
        <v/>
      </c>
      <c r="AG110" s="179" t="str">
        <f aca="false">IF('Bulk Order Details'!J120="","",IF('Bulk Order Details'!C120="","",'Bulk Order Details'!C120))</f>
        <v/>
      </c>
      <c r="AH110" s="179" t="str">
        <f aca="false">IF('Bulk Order Details'!O120="","","-"&amp;LOOKUP('Bulk Order Details'!O120,#REF!,#REF!))</f>
        <v/>
      </c>
      <c r="AI110" s="179" t="str">
        <f aca="false">IF('Bulk Order Details'!P120="","","-"&amp;LOOKUP('Bulk Order Details'!P120,#REF!,#REF!))</f>
        <v/>
      </c>
      <c r="AJ110" s="179" t="str">
        <f aca="false">IF('Bulk Order Details'!Q120="","","-"&amp;LOOKUP('Bulk Order Details'!Q120,#REF!,#REF!))</f>
        <v/>
      </c>
      <c r="AK110" s="179" t="str">
        <f aca="false">IF('Bulk Order Details'!R120="","","-"&amp;LOOKUP('Bulk Order Details'!R120,#REF!,#REF!))</f>
        <v/>
      </c>
      <c r="AL110" s="179" t="str">
        <f aca="false">IF('Bulk Order Details'!S120="","","-"&amp;LOOKUP('Bulk Order Details'!S120,#REF!,#REF!))</f>
        <v/>
      </c>
      <c r="AM110" s="179" t="str">
        <f aca="false">IF(_xlfn.CONCAT(AH110:AL110)="","","Lo"&amp;_xlfn.CONCAT(AH110:AL110))</f>
        <v/>
      </c>
      <c r="AN110" s="179" t="str">
        <f aca="false">IF('Bulk Order Details'!K120="","","Na-"&amp;'Bulk Order Details'!K120)</f>
        <v/>
      </c>
      <c r="AO110" s="179" t="str">
        <f aca="false">IF('Bulk Order Details'!N120="","","Fo-"&amp;'Bulk Order Details'!N120)</f>
        <v/>
      </c>
      <c r="AP110" s="179" t="str">
        <f aca="false">IF(AE110="","",AE110&amp;"_"&amp;AF110&amp;"_"&amp;AG110&amp;IF(AM110="","","_"&amp;AM110)&amp;IF(AN110="","","_"&amp;AN110)&amp;IF(AO110="","","_"&amp;AO110))</f>
        <v/>
      </c>
      <c r="AQ110" s="218" t="str">
        <f aca="false">IF(X110="","",X110)</f>
        <v/>
      </c>
    </row>
    <row r="111" customFormat="false" ht="15" hidden="false" customHeight="true" outlineLevel="0" collapsed="false">
      <c r="B111" s="209" t="n">
        <f aca="false">'Bulk Order Details'!B121</f>
        <v>108</v>
      </c>
      <c r="C111" s="209" t="e">
        <f aca="false">IF('bulk order details'!#ref!="","",'bulk order details'!#ref!&amp;" "&amp;'bulk order details'!#ref!)</f>
        <v>#VALUE!</v>
      </c>
      <c r="D111" s="210" t="str">
        <f aca="false">IF('Bulk Order Details'!J121="","",VLOOKUP(1,Price[],3))</f>
        <v/>
      </c>
      <c r="E111" s="211" t="str">
        <f aca="false">IF('Bulk Order Details'!J121="","",Summary!$D$9)</f>
        <v/>
      </c>
      <c r="F111" s="212" t="str">
        <f aca="false">IF('Bulk Order Details'!F121="","",_xlfn.xlookup('Bulk Order Details'!F121,Size[Display],Size[Price]))</f>
        <v/>
      </c>
      <c r="G111" s="212" t="str">
        <f aca="false">IF('Bulk Order Details'!G121="","",_xlfn.xlookup('Bulk Order Details'!G121,Length[Display],Length[Price]))</f>
        <v/>
      </c>
      <c r="H111" s="212" t="str">
        <f aca="false">IF('Bulk Order Details'!H121="","",_xlfn.xlookup('Bulk Order Details'!H121,Collection[Display],Collection[Price]))</f>
        <v/>
      </c>
      <c r="I111" s="212" t="str">
        <f aca="false">IF('Bulk Order Details'!I121="","",_xlfn.xlookup('Bulk Order Details'!I121,Sleeve[Display],Sleeve[Price]))</f>
        <v/>
      </c>
      <c r="J111" s="212" t="str">
        <f aca="false">IF('Bulk Order Details'!J121="","",_xlfn.xlookup('Bulk Order Details'!J121,Collar[Display],Collar[Price]))</f>
        <v/>
      </c>
      <c r="K111" s="212" t="str">
        <f aca="false">IF('Bulk Order Details'!K121="","",_xlfn.xlookup("Name",Name[Name],Name[Price]))</f>
        <v/>
      </c>
      <c r="L111" s="213" t="str">
        <f aca="false">IFERROR(IF('Bulk Order Details'!O121="","",IF(_xlfn.xlookup('Bulk Order Details'!O121,Logos[Display],Logos[Use])="Flat",_xlfn.xlookup('Bulk Order Details'!O121,Logos[Display],Logos[Flat]),ROUND(_xlfn.xlookup('Bulk Order Details'!O121,Logos[Display],Logos[Pct])*$E111,2))),"")</f>
        <v/>
      </c>
      <c r="M111" s="222" t="str">
        <f aca="false">IFERROR(IF('Bulk Order Details'!P121="","",IF(_xlfn.xlookup('Bulk Order Details'!P121,Chest[Display],Chest[Use])="Flat",_xlfn.xlookup('Bulk Order Details'!P121,Chest[Display],Chest[Flat]),ROUND(_xlfn.xlookup('Bulk Order Details'!P121,Chest[Display],Chest[Pct])*$E111,2))),"")</f>
        <v/>
      </c>
      <c r="N111" s="222" t="str">
        <f aca="false">IFERROR(IF('Bulk Order Details'!Q121="","",IF(_xlfn.xlookup('Bulk Order Details'!Q121,Chest[Display],Chest[Use])="Flat",_xlfn.xlookup('Bulk Order Details'!Q121,Chest[Display],Chest[Flat]),ROUND(_xlfn.xlookup('Bulk Order Details'!Q121,Chest[Display],Chest[Pct])*$E111,2))),"")</f>
        <v/>
      </c>
      <c r="O111" s="222" t="str">
        <f aca="false">IFERROR(IF('Bulk Order Details'!R121="","",IF(_xlfn.xlookup('Bulk Order Details'!R121,LeftSleeve[Display],LeftSleeve[Use])="Flat",_xlfn.xlookup('Bulk Order Details'!R121,LeftSleeve[Display],LeftSleeve[Flat]),ROUND(_xlfn.xlookup('Bulk Order Details'!R121,LeftSleeve[Display],LeftSleeve[Pct])*$E111,2))),"")</f>
        <v/>
      </c>
      <c r="P111" s="222" t="str">
        <f aca="false">IFERROR(IF('Bulk Order Details'!S121="","",IF(_xlfn.xlookup('Bulk Order Details'!S121,RightSleeve[Display],RightSleeve[Use])="Flat",_xlfn.xlookup('Bulk Order Details'!S121,RightSleeve[Display],RightSleeve[Flat]),ROUND(_xlfn.xlookup('Bulk Order Details'!S121,RightSleeve[Display],RightSleeve[Pct])*$E111,2))),"")</f>
        <v/>
      </c>
      <c r="Q111" s="214" t="str">
        <f aca="false">IF('Bulk Order Details'!J121="","",SUM(F111:P111))</f>
        <v/>
      </c>
      <c r="R111" s="213" t="str">
        <f aca="false">IFERROR(E111-D111,"")</f>
        <v/>
      </c>
      <c r="S111" s="215" t="str">
        <f aca="false">IFERROR(MIN(IF(Summary!$D$11="Yes",-J111,0),IF(H111&gt;0,-J111,0)),"")</f>
        <v/>
      </c>
      <c r="T111" s="212" t="str">
        <f aca="false">IFERROR(IF(Summary!$D$10="Yes",-K111,""),"")</f>
        <v/>
      </c>
      <c r="U111" s="213" t="str">
        <f aca="false">IFERROR(IF(Summary!$D$12="Yes",-L111,""),"")</f>
        <v/>
      </c>
      <c r="V111" s="216" t="str">
        <f aca="false">IF('Bulk Order Details'!J121="","",SUM(R111:U111))</f>
        <v/>
      </c>
      <c r="W111" s="217" t="str">
        <f aca="false">IF('Bulk Order Details'!J121="","",D111+Q111)</f>
        <v/>
      </c>
      <c r="X111" s="218" t="str">
        <f aca="false">IF('Bulk Order Details'!J121="","",D111+Q111+V111)</f>
        <v/>
      </c>
      <c r="Y111" s="219" t="str">
        <f aca="false">IFERROR((W111-X111)/W111,"")</f>
        <v/>
      </c>
      <c r="Z111" s="220" t="str">
        <f aca="false">IF('Bulk Order Details'!J121="","",MAX(1,'Bulk Order Details'!D121))</f>
        <v/>
      </c>
      <c r="AA111" s="217" t="str">
        <f aca="false">IF(Pricing_Details[[#This Row],[Quantity]]="","",Pricing_Details[[#This Row],[Retail Price]]*Pricing_Details[[#This Row],[Quantity]])</f>
        <v/>
      </c>
      <c r="AB111" s="217" t="str">
        <f aca="false">IF(Pricing_Details[[#This Row],[Quantity]]="","",Pricing_Details[[#This Row],[Total Discount]]*Pricing_Details[[#This Row],[Quantity]])</f>
        <v/>
      </c>
      <c r="AC111" s="221" t="str">
        <f aca="false">IFERROR(ROUND(Pricing_Details[[#This Row],[Actual Price]]*Pricing_Details[[#This Row],[Quantity]],2),"")</f>
        <v/>
      </c>
      <c r="AE111" s="179" t="str">
        <f aca="false">IF('Bulk Order Details'!J121="","",VLOOKUP('Bulk Order Details'!H121,Collection[],3)&amp;VLOOKUP('Bulk Order Details'!J121,Collar[],4)&amp;VLOOKUP('Bulk Order Details'!I121,Sleeve[],4))</f>
        <v/>
      </c>
      <c r="AF111" s="179" t="str">
        <f aca="false">IF('Bulk Order Details'!J121="","",LOOKUP('Bulk Order Details'!E121,Cut[Display],Cut[Code])&amp;LOOKUP('Bulk Order Details'!F121,#REF!,#REF!)&amp;IF('Bulk Order Details'!G121="","",LOOKUP('Bulk Order Details'!G121,Length[Display],Length[Code])))</f>
        <v/>
      </c>
      <c r="AG111" s="179" t="str">
        <f aca="false">IF('Bulk Order Details'!J121="","",IF('Bulk Order Details'!C121="","",'Bulk Order Details'!C121))</f>
        <v/>
      </c>
      <c r="AH111" s="179" t="str">
        <f aca="false">IF('Bulk Order Details'!O121="","","-"&amp;LOOKUP('Bulk Order Details'!O121,#REF!,#REF!))</f>
        <v/>
      </c>
      <c r="AI111" s="179" t="str">
        <f aca="false">IF('Bulk Order Details'!P121="","","-"&amp;LOOKUP('Bulk Order Details'!P121,#REF!,#REF!))</f>
        <v/>
      </c>
      <c r="AJ111" s="179" t="str">
        <f aca="false">IF('Bulk Order Details'!Q121="","","-"&amp;LOOKUP('Bulk Order Details'!Q121,#REF!,#REF!))</f>
        <v/>
      </c>
      <c r="AK111" s="179" t="str">
        <f aca="false">IF('Bulk Order Details'!R121="","","-"&amp;LOOKUP('Bulk Order Details'!R121,#REF!,#REF!))</f>
        <v/>
      </c>
      <c r="AL111" s="179" t="str">
        <f aca="false">IF('Bulk Order Details'!S121="","","-"&amp;LOOKUP('Bulk Order Details'!S121,#REF!,#REF!))</f>
        <v/>
      </c>
      <c r="AM111" s="179" t="str">
        <f aca="false">IF(_xlfn.CONCAT(AH111:AL111)="","","Lo"&amp;_xlfn.CONCAT(AH111:AL111))</f>
        <v/>
      </c>
      <c r="AN111" s="179" t="str">
        <f aca="false">IF('Bulk Order Details'!K121="","","Na-"&amp;'Bulk Order Details'!K121)</f>
        <v/>
      </c>
      <c r="AO111" s="179" t="str">
        <f aca="false">IF('Bulk Order Details'!N121="","","Fo-"&amp;'Bulk Order Details'!N121)</f>
        <v/>
      </c>
      <c r="AP111" s="179" t="str">
        <f aca="false">IF(AE111="","",AE111&amp;"_"&amp;AF111&amp;"_"&amp;AG111&amp;IF(AM111="","","_"&amp;AM111)&amp;IF(AN111="","","_"&amp;AN111)&amp;IF(AO111="","","_"&amp;AO111))</f>
        <v/>
      </c>
      <c r="AQ111" s="218" t="str">
        <f aca="false">IF(X111="","",X111)</f>
        <v/>
      </c>
    </row>
    <row r="112" customFormat="false" ht="15" hidden="false" customHeight="true" outlineLevel="0" collapsed="false">
      <c r="B112" s="209" t="n">
        <f aca="false">'Bulk Order Details'!B122</f>
        <v>109</v>
      </c>
      <c r="C112" s="209" t="e">
        <f aca="false">IF('bulk order details'!#ref!="","",'bulk order details'!#ref!&amp;" "&amp;'bulk order details'!#ref!)</f>
        <v>#VALUE!</v>
      </c>
      <c r="D112" s="210" t="str">
        <f aca="false">IF('Bulk Order Details'!J122="","",VLOOKUP(1,Price[],3))</f>
        <v/>
      </c>
      <c r="E112" s="211" t="str">
        <f aca="false">IF('Bulk Order Details'!J122="","",Summary!$D$9)</f>
        <v/>
      </c>
      <c r="F112" s="212" t="str">
        <f aca="false">IF('Bulk Order Details'!F122="","",_xlfn.xlookup('Bulk Order Details'!F122,Size[Display],Size[Price]))</f>
        <v/>
      </c>
      <c r="G112" s="212" t="str">
        <f aca="false">IF('Bulk Order Details'!G122="","",_xlfn.xlookup('Bulk Order Details'!G122,Length[Display],Length[Price]))</f>
        <v/>
      </c>
      <c r="H112" s="212" t="str">
        <f aca="false">IF('Bulk Order Details'!H122="","",_xlfn.xlookup('Bulk Order Details'!H122,Collection[Display],Collection[Price]))</f>
        <v/>
      </c>
      <c r="I112" s="212" t="str">
        <f aca="false">IF('Bulk Order Details'!I122="","",_xlfn.xlookup('Bulk Order Details'!I122,Sleeve[Display],Sleeve[Price]))</f>
        <v/>
      </c>
      <c r="J112" s="212" t="str">
        <f aca="false">IF('Bulk Order Details'!J122="","",_xlfn.xlookup('Bulk Order Details'!J122,Collar[Display],Collar[Price]))</f>
        <v/>
      </c>
      <c r="K112" s="212" t="str">
        <f aca="false">IF('Bulk Order Details'!K122="","",_xlfn.xlookup("Name",Name[Name],Name[Price]))</f>
        <v/>
      </c>
      <c r="L112" s="213" t="str">
        <f aca="false">IFERROR(IF('Bulk Order Details'!O122="","",IF(_xlfn.xlookup('Bulk Order Details'!O122,Logos[Display],Logos[Use])="Flat",_xlfn.xlookup('Bulk Order Details'!O122,Logos[Display],Logos[Flat]),ROUND(_xlfn.xlookup('Bulk Order Details'!O122,Logos[Display],Logos[Pct])*$E112,2))),"")</f>
        <v/>
      </c>
      <c r="M112" s="222" t="str">
        <f aca="false">IFERROR(IF('Bulk Order Details'!P122="","",IF(_xlfn.xlookup('Bulk Order Details'!P122,Chest[Display],Chest[Use])="Flat",_xlfn.xlookup('Bulk Order Details'!P122,Chest[Display],Chest[Flat]),ROUND(_xlfn.xlookup('Bulk Order Details'!P122,Chest[Display],Chest[Pct])*$E112,2))),"")</f>
        <v/>
      </c>
      <c r="N112" s="222" t="str">
        <f aca="false">IFERROR(IF('Bulk Order Details'!Q122="","",IF(_xlfn.xlookup('Bulk Order Details'!Q122,Chest[Display],Chest[Use])="Flat",_xlfn.xlookup('Bulk Order Details'!Q122,Chest[Display],Chest[Flat]),ROUND(_xlfn.xlookup('Bulk Order Details'!Q122,Chest[Display],Chest[Pct])*$E112,2))),"")</f>
        <v/>
      </c>
      <c r="O112" s="222" t="str">
        <f aca="false">IFERROR(IF('Bulk Order Details'!R122="","",IF(_xlfn.xlookup('Bulk Order Details'!R122,LeftSleeve[Display],LeftSleeve[Use])="Flat",_xlfn.xlookup('Bulk Order Details'!R122,LeftSleeve[Display],LeftSleeve[Flat]),ROUND(_xlfn.xlookup('Bulk Order Details'!R122,LeftSleeve[Display],LeftSleeve[Pct])*$E112,2))),"")</f>
        <v/>
      </c>
      <c r="P112" s="222" t="str">
        <f aca="false">IFERROR(IF('Bulk Order Details'!S122="","",IF(_xlfn.xlookup('Bulk Order Details'!S122,RightSleeve[Display],RightSleeve[Use])="Flat",_xlfn.xlookup('Bulk Order Details'!S122,RightSleeve[Display],RightSleeve[Flat]),ROUND(_xlfn.xlookup('Bulk Order Details'!S122,RightSleeve[Display],RightSleeve[Pct])*$E112,2))),"")</f>
        <v/>
      </c>
      <c r="Q112" s="214" t="str">
        <f aca="false">IF('Bulk Order Details'!J122="","",SUM(F112:P112))</f>
        <v/>
      </c>
      <c r="R112" s="213" t="str">
        <f aca="false">IFERROR(E112-D112,"")</f>
        <v/>
      </c>
      <c r="S112" s="215" t="str">
        <f aca="false">IFERROR(MIN(IF(Summary!$D$11="Yes",-J112,0),IF(H112&gt;0,-J112,0)),"")</f>
        <v/>
      </c>
      <c r="T112" s="212" t="str">
        <f aca="false">IFERROR(IF(Summary!$D$10="Yes",-K112,""),"")</f>
        <v/>
      </c>
      <c r="U112" s="213" t="str">
        <f aca="false">IFERROR(IF(Summary!$D$12="Yes",-L112,""),"")</f>
        <v/>
      </c>
      <c r="V112" s="216" t="str">
        <f aca="false">IF('Bulk Order Details'!J122="","",SUM(R112:U112))</f>
        <v/>
      </c>
      <c r="W112" s="217" t="str">
        <f aca="false">IF('Bulk Order Details'!J122="","",D112+Q112)</f>
        <v/>
      </c>
      <c r="X112" s="218" t="str">
        <f aca="false">IF('Bulk Order Details'!J122="","",D112+Q112+V112)</f>
        <v/>
      </c>
      <c r="Y112" s="219" t="str">
        <f aca="false">IFERROR((W112-X112)/W112,"")</f>
        <v/>
      </c>
      <c r="Z112" s="220" t="str">
        <f aca="false">IF('Bulk Order Details'!J122="","",MAX(1,'Bulk Order Details'!D122))</f>
        <v/>
      </c>
      <c r="AA112" s="217" t="str">
        <f aca="false">IF(Pricing_Details[[#This Row],[Quantity]]="","",Pricing_Details[[#This Row],[Retail Price]]*Pricing_Details[[#This Row],[Quantity]])</f>
        <v/>
      </c>
      <c r="AB112" s="217" t="str">
        <f aca="false">IF(Pricing_Details[[#This Row],[Quantity]]="","",Pricing_Details[[#This Row],[Total Discount]]*Pricing_Details[[#This Row],[Quantity]])</f>
        <v/>
      </c>
      <c r="AC112" s="221" t="str">
        <f aca="false">IFERROR(ROUND(Pricing_Details[[#This Row],[Actual Price]]*Pricing_Details[[#This Row],[Quantity]],2),"")</f>
        <v/>
      </c>
      <c r="AE112" s="179" t="str">
        <f aca="false">IF('Bulk Order Details'!J122="","",VLOOKUP('Bulk Order Details'!H122,Collection[],3)&amp;VLOOKUP('Bulk Order Details'!J122,Collar[],4)&amp;VLOOKUP('Bulk Order Details'!I122,Sleeve[],4))</f>
        <v/>
      </c>
      <c r="AF112" s="179" t="str">
        <f aca="false">IF('Bulk Order Details'!J122="","",LOOKUP('Bulk Order Details'!E122,Cut[Display],Cut[Code])&amp;LOOKUP('Bulk Order Details'!F122,#REF!,#REF!)&amp;IF('Bulk Order Details'!G122="","",LOOKUP('Bulk Order Details'!G122,Length[Display],Length[Code])))</f>
        <v/>
      </c>
      <c r="AG112" s="179" t="str">
        <f aca="false">IF('Bulk Order Details'!J122="","",IF('Bulk Order Details'!C122="","",'Bulk Order Details'!C122))</f>
        <v/>
      </c>
      <c r="AH112" s="179" t="str">
        <f aca="false">IF('Bulk Order Details'!O122="","","-"&amp;LOOKUP('Bulk Order Details'!O122,#REF!,#REF!))</f>
        <v/>
      </c>
      <c r="AI112" s="179" t="str">
        <f aca="false">IF('Bulk Order Details'!P122="","","-"&amp;LOOKUP('Bulk Order Details'!P122,#REF!,#REF!))</f>
        <v/>
      </c>
      <c r="AJ112" s="179" t="str">
        <f aca="false">IF('Bulk Order Details'!Q122="","","-"&amp;LOOKUP('Bulk Order Details'!Q122,#REF!,#REF!))</f>
        <v/>
      </c>
      <c r="AK112" s="179" t="str">
        <f aca="false">IF('Bulk Order Details'!R122="","","-"&amp;LOOKUP('Bulk Order Details'!R122,#REF!,#REF!))</f>
        <v/>
      </c>
      <c r="AL112" s="179" t="str">
        <f aca="false">IF('Bulk Order Details'!S122="","","-"&amp;LOOKUP('Bulk Order Details'!S122,#REF!,#REF!))</f>
        <v/>
      </c>
      <c r="AM112" s="179" t="str">
        <f aca="false">IF(_xlfn.CONCAT(AH112:AL112)="","","Lo"&amp;_xlfn.CONCAT(AH112:AL112))</f>
        <v/>
      </c>
      <c r="AN112" s="179" t="str">
        <f aca="false">IF('Bulk Order Details'!K122="","","Na-"&amp;'Bulk Order Details'!K122)</f>
        <v/>
      </c>
      <c r="AO112" s="179" t="str">
        <f aca="false">IF('Bulk Order Details'!N122="","","Fo-"&amp;'Bulk Order Details'!N122)</f>
        <v/>
      </c>
      <c r="AP112" s="179" t="str">
        <f aca="false">IF(AE112="","",AE112&amp;"_"&amp;AF112&amp;"_"&amp;AG112&amp;IF(AM112="","","_"&amp;AM112)&amp;IF(AN112="","","_"&amp;AN112)&amp;IF(AO112="","","_"&amp;AO112))</f>
        <v/>
      </c>
      <c r="AQ112" s="218" t="str">
        <f aca="false">IF(X112="","",X112)</f>
        <v/>
      </c>
    </row>
    <row r="113" customFormat="false" ht="15" hidden="false" customHeight="true" outlineLevel="0" collapsed="false">
      <c r="B113" s="209" t="n">
        <f aca="false">'Bulk Order Details'!B123</f>
        <v>110</v>
      </c>
      <c r="C113" s="209" t="e">
        <f aca="false">IF('bulk order details'!#ref!="","",'bulk order details'!#ref!&amp;" "&amp;'bulk order details'!#ref!)</f>
        <v>#VALUE!</v>
      </c>
      <c r="D113" s="210" t="str">
        <f aca="false">IF('Bulk Order Details'!J123="","",VLOOKUP(1,Price[],3))</f>
        <v/>
      </c>
      <c r="E113" s="211" t="str">
        <f aca="false">IF('Bulk Order Details'!J123="","",Summary!$D$9)</f>
        <v/>
      </c>
      <c r="F113" s="212" t="str">
        <f aca="false">IF('Bulk Order Details'!F123="","",_xlfn.xlookup('Bulk Order Details'!F123,Size[Display],Size[Price]))</f>
        <v/>
      </c>
      <c r="G113" s="212" t="str">
        <f aca="false">IF('Bulk Order Details'!G123="","",_xlfn.xlookup('Bulk Order Details'!G123,Length[Display],Length[Price]))</f>
        <v/>
      </c>
      <c r="H113" s="212" t="str">
        <f aca="false">IF('Bulk Order Details'!H123="","",_xlfn.xlookup('Bulk Order Details'!H123,Collection[Display],Collection[Price]))</f>
        <v/>
      </c>
      <c r="I113" s="212" t="str">
        <f aca="false">IF('Bulk Order Details'!I123="","",_xlfn.xlookup('Bulk Order Details'!I123,Sleeve[Display],Sleeve[Price]))</f>
        <v/>
      </c>
      <c r="J113" s="212" t="str">
        <f aca="false">IF('Bulk Order Details'!J123="","",_xlfn.xlookup('Bulk Order Details'!J123,Collar[Display],Collar[Price]))</f>
        <v/>
      </c>
      <c r="K113" s="212" t="str">
        <f aca="false">IF('Bulk Order Details'!K123="","",_xlfn.xlookup("Name",Name[Name],Name[Price]))</f>
        <v/>
      </c>
      <c r="L113" s="213" t="str">
        <f aca="false">IFERROR(IF('Bulk Order Details'!O123="","",IF(_xlfn.xlookup('Bulk Order Details'!O123,Logos[Display],Logos[Use])="Flat",_xlfn.xlookup('Bulk Order Details'!O123,Logos[Display],Logos[Flat]),ROUND(_xlfn.xlookup('Bulk Order Details'!O123,Logos[Display],Logos[Pct])*$E113,2))),"")</f>
        <v/>
      </c>
      <c r="M113" s="222" t="str">
        <f aca="false">IFERROR(IF('Bulk Order Details'!P123="","",IF(_xlfn.xlookup('Bulk Order Details'!P123,Chest[Display],Chest[Use])="Flat",_xlfn.xlookup('Bulk Order Details'!P123,Chest[Display],Chest[Flat]),ROUND(_xlfn.xlookup('Bulk Order Details'!P123,Chest[Display],Chest[Pct])*$E113,2))),"")</f>
        <v/>
      </c>
      <c r="N113" s="222" t="str">
        <f aca="false">IFERROR(IF('Bulk Order Details'!Q123="","",IF(_xlfn.xlookup('Bulk Order Details'!Q123,Chest[Display],Chest[Use])="Flat",_xlfn.xlookup('Bulk Order Details'!Q123,Chest[Display],Chest[Flat]),ROUND(_xlfn.xlookup('Bulk Order Details'!Q123,Chest[Display],Chest[Pct])*$E113,2))),"")</f>
        <v/>
      </c>
      <c r="O113" s="222" t="str">
        <f aca="false">IFERROR(IF('Bulk Order Details'!R123="","",IF(_xlfn.xlookup('Bulk Order Details'!R123,LeftSleeve[Display],LeftSleeve[Use])="Flat",_xlfn.xlookup('Bulk Order Details'!R123,LeftSleeve[Display],LeftSleeve[Flat]),ROUND(_xlfn.xlookup('Bulk Order Details'!R123,LeftSleeve[Display],LeftSleeve[Pct])*$E113,2))),"")</f>
        <v/>
      </c>
      <c r="P113" s="222" t="str">
        <f aca="false">IFERROR(IF('Bulk Order Details'!S123="","",IF(_xlfn.xlookup('Bulk Order Details'!S123,RightSleeve[Display],RightSleeve[Use])="Flat",_xlfn.xlookup('Bulk Order Details'!S123,RightSleeve[Display],RightSleeve[Flat]),ROUND(_xlfn.xlookup('Bulk Order Details'!S123,RightSleeve[Display],RightSleeve[Pct])*$E113,2))),"")</f>
        <v/>
      </c>
      <c r="Q113" s="214" t="str">
        <f aca="false">IF('Bulk Order Details'!J123="","",SUM(F113:P113))</f>
        <v/>
      </c>
      <c r="R113" s="213" t="str">
        <f aca="false">IFERROR(E113-D113,"")</f>
        <v/>
      </c>
      <c r="S113" s="215" t="str">
        <f aca="false">IFERROR(MIN(IF(Summary!$D$11="Yes",-J113,0),IF(H113&gt;0,-J113,0)),"")</f>
        <v/>
      </c>
      <c r="T113" s="212" t="str">
        <f aca="false">IFERROR(IF(Summary!$D$10="Yes",-K113,""),"")</f>
        <v/>
      </c>
      <c r="U113" s="213" t="str">
        <f aca="false">IFERROR(IF(Summary!$D$12="Yes",-L113,""),"")</f>
        <v/>
      </c>
      <c r="V113" s="216" t="str">
        <f aca="false">IF('Bulk Order Details'!J123="","",SUM(R113:U113))</f>
        <v/>
      </c>
      <c r="W113" s="217" t="str">
        <f aca="false">IF('Bulk Order Details'!J123="","",D113+Q113)</f>
        <v/>
      </c>
      <c r="X113" s="218" t="str">
        <f aca="false">IF('Bulk Order Details'!J123="","",D113+Q113+V113)</f>
        <v/>
      </c>
      <c r="Y113" s="219" t="str">
        <f aca="false">IFERROR((W113-X113)/W113,"")</f>
        <v/>
      </c>
      <c r="Z113" s="220" t="str">
        <f aca="false">IF('Bulk Order Details'!J123="","",MAX(1,'Bulk Order Details'!D123))</f>
        <v/>
      </c>
      <c r="AA113" s="217" t="str">
        <f aca="false">IF(Pricing_Details[[#This Row],[Quantity]]="","",Pricing_Details[[#This Row],[Retail Price]]*Pricing_Details[[#This Row],[Quantity]])</f>
        <v/>
      </c>
      <c r="AB113" s="217" t="str">
        <f aca="false">IF(Pricing_Details[[#This Row],[Quantity]]="","",Pricing_Details[[#This Row],[Total Discount]]*Pricing_Details[[#This Row],[Quantity]])</f>
        <v/>
      </c>
      <c r="AC113" s="221" t="str">
        <f aca="false">IFERROR(ROUND(Pricing_Details[[#This Row],[Actual Price]]*Pricing_Details[[#This Row],[Quantity]],2),"")</f>
        <v/>
      </c>
      <c r="AE113" s="179" t="str">
        <f aca="false">IF('Bulk Order Details'!J123="","",VLOOKUP('Bulk Order Details'!H123,Collection[],3)&amp;VLOOKUP('Bulk Order Details'!J123,Collar[],4)&amp;VLOOKUP('Bulk Order Details'!I123,Sleeve[],4))</f>
        <v/>
      </c>
      <c r="AF113" s="179" t="str">
        <f aca="false">IF('Bulk Order Details'!J123="","",LOOKUP('Bulk Order Details'!E123,Cut[Display],Cut[Code])&amp;LOOKUP('Bulk Order Details'!F123,#REF!,#REF!)&amp;IF('Bulk Order Details'!G123="","",LOOKUP('Bulk Order Details'!G123,Length[Display],Length[Code])))</f>
        <v/>
      </c>
      <c r="AG113" s="179" t="str">
        <f aca="false">IF('Bulk Order Details'!J123="","",IF('Bulk Order Details'!C123="","",'Bulk Order Details'!C123))</f>
        <v/>
      </c>
      <c r="AH113" s="179" t="str">
        <f aca="false">IF('Bulk Order Details'!O123="","","-"&amp;LOOKUP('Bulk Order Details'!O123,#REF!,#REF!))</f>
        <v/>
      </c>
      <c r="AI113" s="179" t="str">
        <f aca="false">IF('Bulk Order Details'!P123="","","-"&amp;LOOKUP('Bulk Order Details'!P123,#REF!,#REF!))</f>
        <v/>
      </c>
      <c r="AJ113" s="179" t="str">
        <f aca="false">IF('Bulk Order Details'!Q123="","","-"&amp;LOOKUP('Bulk Order Details'!Q123,#REF!,#REF!))</f>
        <v/>
      </c>
      <c r="AK113" s="179" t="str">
        <f aca="false">IF('Bulk Order Details'!R123="","","-"&amp;LOOKUP('Bulk Order Details'!R123,#REF!,#REF!))</f>
        <v/>
      </c>
      <c r="AL113" s="179" t="str">
        <f aca="false">IF('Bulk Order Details'!S123="","","-"&amp;LOOKUP('Bulk Order Details'!S123,#REF!,#REF!))</f>
        <v/>
      </c>
      <c r="AM113" s="179" t="str">
        <f aca="false">IF(_xlfn.CONCAT(AH113:AL113)="","","Lo"&amp;_xlfn.CONCAT(AH113:AL113))</f>
        <v/>
      </c>
      <c r="AN113" s="179" t="str">
        <f aca="false">IF('Bulk Order Details'!K123="","","Na-"&amp;'Bulk Order Details'!K123)</f>
        <v/>
      </c>
      <c r="AO113" s="179" t="str">
        <f aca="false">IF('Bulk Order Details'!N123="","","Fo-"&amp;'Bulk Order Details'!N123)</f>
        <v/>
      </c>
      <c r="AP113" s="179" t="str">
        <f aca="false">IF(AE113="","",AE113&amp;"_"&amp;AF113&amp;"_"&amp;AG113&amp;IF(AM113="","","_"&amp;AM113)&amp;IF(AN113="","","_"&amp;AN113)&amp;IF(AO113="","","_"&amp;AO113))</f>
        <v/>
      </c>
      <c r="AQ113" s="218" t="str">
        <f aca="false">IF(X113="","",X113)</f>
        <v/>
      </c>
    </row>
    <row r="114" customFormat="false" ht="15" hidden="false" customHeight="true" outlineLevel="0" collapsed="false">
      <c r="B114" s="209" t="n">
        <f aca="false">'Bulk Order Details'!B124</f>
        <v>111</v>
      </c>
      <c r="C114" s="209" t="e">
        <f aca="false">IF('bulk order details'!#ref!="","",'bulk order details'!#ref!&amp;" "&amp;'bulk order details'!#ref!)</f>
        <v>#VALUE!</v>
      </c>
      <c r="D114" s="210" t="str">
        <f aca="false">IF('Bulk Order Details'!J124="","",VLOOKUP(1,Price[],3))</f>
        <v/>
      </c>
      <c r="E114" s="211" t="str">
        <f aca="false">IF('Bulk Order Details'!J124="","",Summary!$D$9)</f>
        <v/>
      </c>
      <c r="F114" s="212" t="str">
        <f aca="false">IF('Bulk Order Details'!F124="","",_xlfn.xlookup('Bulk Order Details'!F124,Size[Display],Size[Price]))</f>
        <v/>
      </c>
      <c r="G114" s="212" t="str">
        <f aca="false">IF('Bulk Order Details'!G124="","",_xlfn.xlookup('Bulk Order Details'!G124,Length[Display],Length[Price]))</f>
        <v/>
      </c>
      <c r="H114" s="212" t="str">
        <f aca="false">IF('Bulk Order Details'!H124="","",_xlfn.xlookup('Bulk Order Details'!H124,Collection[Display],Collection[Price]))</f>
        <v/>
      </c>
      <c r="I114" s="212" t="str">
        <f aca="false">IF('Bulk Order Details'!I124="","",_xlfn.xlookup('Bulk Order Details'!I124,Sleeve[Display],Sleeve[Price]))</f>
        <v/>
      </c>
      <c r="J114" s="212" t="str">
        <f aca="false">IF('Bulk Order Details'!J124="","",_xlfn.xlookup('Bulk Order Details'!J124,Collar[Display],Collar[Price]))</f>
        <v/>
      </c>
      <c r="K114" s="212" t="str">
        <f aca="false">IF('Bulk Order Details'!K124="","",_xlfn.xlookup("Name",Name[Name],Name[Price]))</f>
        <v/>
      </c>
      <c r="L114" s="213" t="str">
        <f aca="false">IFERROR(IF('Bulk Order Details'!O124="","",IF(_xlfn.xlookup('Bulk Order Details'!O124,Logos[Display],Logos[Use])="Flat",_xlfn.xlookup('Bulk Order Details'!O124,Logos[Display],Logos[Flat]),ROUND(_xlfn.xlookup('Bulk Order Details'!O124,Logos[Display],Logos[Pct])*$E114,2))),"")</f>
        <v/>
      </c>
      <c r="M114" s="222" t="str">
        <f aca="false">IFERROR(IF('Bulk Order Details'!P124="","",IF(_xlfn.xlookup('Bulk Order Details'!P124,Chest[Display],Chest[Use])="Flat",_xlfn.xlookup('Bulk Order Details'!P124,Chest[Display],Chest[Flat]),ROUND(_xlfn.xlookup('Bulk Order Details'!P124,Chest[Display],Chest[Pct])*$E114,2))),"")</f>
        <v/>
      </c>
      <c r="N114" s="222" t="str">
        <f aca="false">IFERROR(IF('Bulk Order Details'!Q124="","",IF(_xlfn.xlookup('Bulk Order Details'!Q124,Chest[Display],Chest[Use])="Flat",_xlfn.xlookup('Bulk Order Details'!Q124,Chest[Display],Chest[Flat]),ROUND(_xlfn.xlookup('Bulk Order Details'!Q124,Chest[Display],Chest[Pct])*$E114,2))),"")</f>
        <v/>
      </c>
      <c r="O114" s="222" t="str">
        <f aca="false">IFERROR(IF('Bulk Order Details'!R124="","",IF(_xlfn.xlookup('Bulk Order Details'!R124,LeftSleeve[Display],LeftSleeve[Use])="Flat",_xlfn.xlookup('Bulk Order Details'!R124,LeftSleeve[Display],LeftSleeve[Flat]),ROUND(_xlfn.xlookup('Bulk Order Details'!R124,LeftSleeve[Display],LeftSleeve[Pct])*$E114,2))),"")</f>
        <v/>
      </c>
      <c r="P114" s="222" t="str">
        <f aca="false">IFERROR(IF('Bulk Order Details'!S124="","",IF(_xlfn.xlookup('Bulk Order Details'!S124,RightSleeve[Display],RightSleeve[Use])="Flat",_xlfn.xlookup('Bulk Order Details'!S124,RightSleeve[Display],RightSleeve[Flat]),ROUND(_xlfn.xlookup('Bulk Order Details'!S124,RightSleeve[Display],RightSleeve[Pct])*$E114,2))),"")</f>
        <v/>
      </c>
      <c r="Q114" s="214" t="str">
        <f aca="false">IF('Bulk Order Details'!J124="","",SUM(F114:P114))</f>
        <v/>
      </c>
      <c r="R114" s="213" t="str">
        <f aca="false">IFERROR(E114-D114,"")</f>
        <v/>
      </c>
      <c r="S114" s="215" t="str">
        <f aca="false">IFERROR(MIN(IF(Summary!$D$11="Yes",-J114,0),IF(H114&gt;0,-J114,0)),"")</f>
        <v/>
      </c>
      <c r="T114" s="212" t="str">
        <f aca="false">IFERROR(IF(Summary!$D$10="Yes",-K114,""),"")</f>
        <v/>
      </c>
      <c r="U114" s="213" t="str">
        <f aca="false">IFERROR(IF(Summary!$D$12="Yes",-L114,""),"")</f>
        <v/>
      </c>
      <c r="V114" s="216" t="str">
        <f aca="false">IF('Bulk Order Details'!J124="","",SUM(R114:U114))</f>
        <v/>
      </c>
      <c r="W114" s="217" t="str">
        <f aca="false">IF('Bulk Order Details'!J124="","",D114+Q114)</f>
        <v/>
      </c>
      <c r="X114" s="218" t="str">
        <f aca="false">IF('Bulk Order Details'!J124="","",D114+Q114+V114)</f>
        <v/>
      </c>
      <c r="Y114" s="219" t="str">
        <f aca="false">IFERROR((W114-X114)/W114,"")</f>
        <v/>
      </c>
      <c r="Z114" s="220" t="str">
        <f aca="false">IF('Bulk Order Details'!J124="","",MAX(1,'Bulk Order Details'!D124))</f>
        <v/>
      </c>
      <c r="AA114" s="217" t="str">
        <f aca="false">IF(Pricing_Details[[#This Row],[Quantity]]="","",Pricing_Details[[#This Row],[Retail Price]]*Pricing_Details[[#This Row],[Quantity]])</f>
        <v/>
      </c>
      <c r="AB114" s="217" t="str">
        <f aca="false">IF(Pricing_Details[[#This Row],[Quantity]]="","",Pricing_Details[[#This Row],[Total Discount]]*Pricing_Details[[#This Row],[Quantity]])</f>
        <v/>
      </c>
      <c r="AC114" s="221" t="str">
        <f aca="false">IFERROR(ROUND(Pricing_Details[[#This Row],[Actual Price]]*Pricing_Details[[#This Row],[Quantity]],2),"")</f>
        <v/>
      </c>
      <c r="AE114" s="179" t="str">
        <f aca="false">IF('Bulk Order Details'!J124="","",VLOOKUP('Bulk Order Details'!H124,Collection[],3)&amp;VLOOKUP('Bulk Order Details'!J124,Collar[],4)&amp;VLOOKUP('Bulk Order Details'!I124,Sleeve[],4))</f>
        <v/>
      </c>
      <c r="AF114" s="179" t="str">
        <f aca="false">IF('Bulk Order Details'!J124="","",LOOKUP('Bulk Order Details'!E124,Cut[Display],Cut[Code])&amp;LOOKUP('Bulk Order Details'!F124,#REF!,#REF!)&amp;IF('Bulk Order Details'!G124="","",LOOKUP('Bulk Order Details'!G124,Length[Display],Length[Code])))</f>
        <v/>
      </c>
      <c r="AG114" s="179" t="str">
        <f aca="false">IF('Bulk Order Details'!J124="","",IF('Bulk Order Details'!C124="","",'Bulk Order Details'!C124))</f>
        <v/>
      </c>
      <c r="AH114" s="179" t="str">
        <f aca="false">IF('Bulk Order Details'!O124="","","-"&amp;LOOKUP('Bulk Order Details'!O124,#REF!,#REF!))</f>
        <v/>
      </c>
      <c r="AI114" s="179" t="str">
        <f aca="false">IF('Bulk Order Details'!P124="","","-"&amp;LOOKUP('Bulk Order Details'!P124,#REF!,#REF!))</f>
        <v/>
      </c>
      <c r="AJ114" s="179" t="str">
        <f aca="false">IF('Bulk Order Details'!Q124="","","-"&amp;LOOKUP('Bulk Order Details'!Q124,#REF!,#REF!))</f>
        <v/>
      </c>
      <c r="AK114" s="179" t="str">
        <f aca="false">IF('Bulk Order Details'!R124="","","-"&amp;LOOKUP('Bulk Order Details'!R124,#REF!,#REF!))</f>
        <v/>
      </c>
      <c r="AL114" s="179" t="str">
        <f aca="false">IF('Bulk Order Details'!S124="","","-"&amp;LOOKUP('Bulk Order Details'!S124,#REF!,#REF!))</f>
        <v/>
      </c>
      <c r="AM114" s="179" t="str">
        <f aca="false">IF(_xlfn.CONCAT(AH114:AL114)="","","Lo"&amp;_xlfn.CONCAT(AH114:AL114))</f>
        <v/>
      </c>
      <c r="AN114" s="179" t="str">
        <f aca="false">IF('Bulk Order Details'!K124="","","Na-"&amp;'Bulk Order Details'!K124)</f>
        <v/>
      </c>
      <c r="AO114" s="179" t="str">
        <f aca="false">IF('Bulk Order Details'!N124="","","Fo-"&amp;'Bulk Order Details'!N124)</f>
        <v/>
      </c>
      <c r="AP114" s="179" t="str">
        <f aca="false">IF(AE114="","",AE114&amp;"_"&amp;AF114&amp;"_"&amp;AG114&amp;IF(AM114="","","_"&amp;AM114)&amp;IF(AN114="","","_"&amp;AN114)&amp;IF(AO114="","","_"&amp;AO114))</f>
        <v/>
      </c>
      <c r="AQ114" s="218" t="str">
        <f aca="false">IF(X114="","",X114)</f>
        <v/>
      </c>
    </row>
    <row r="115" customFormat="false" ht="15" hidden="false" customHeight="true" outlineLevel="0" collapsed="false">
      <c r="B115" s="209" t="n">
        <f aca="false">'Bulk Order Details'!B125</f>
        <v>112</v>
      </c>
      <c r="C115" s="209" t="e">
        <f aca="false">IF('bulk order details'!#ref!="","",'bulk order details'!#ref!&amp;" "&amp;'bulk order details'!#ref!)</f>
        <v>#VALUE!</v>
      </c>
      <c r="D115" s="210" t="str">
        <f aca="false">IF('Bulk Order Details'!J125="","",VLOOKUP(1,Price[],3))</f>
        <v/>
      </c>
      <c r="E115" s="211" t="str">
        <f aca="false">IF('Bulk Order Details'!J125="","",Summary!$D$9)</f>
        <v/>
      </c>
      <c r="F115" s="212" t="str">
        <f aca="false">IF('Bulk Order Details'!F125="","",_xlfn.xlookup('Bulk Order Details'!F125,Size[Display],Size[Price]))</f>
        <v/>
      </c>
      <c r="G115" s="212" t="str">
        <f aca="false">IF('Bulk Order Details'!G125="","",_xlfn.xlookup('Bulk Order Details'!G125,Length[Display],Length[Price]))</f>
        <v/>
      </c>
      <c r="H115" s="212" t="str">
        <f aca="false">IF('Bulk Order Details'!H125="","",_xlfn.xlookup('Bulk Order Details'!H125,Collection[Display],Collection[Price]))</f>
        <v/>
      </c>
      <c r="I115" s="212" t="str">
        <f aca="false">IF('Bulk Order Details'!I125="","",_xlfn.xlookup('Bulk Order Details'!I125,Sleeve[Display],Sleeve[Price]))</f>
        <v/>
      </c>
      <c r="J115" s="212" t="str">
        <f aca="false">IF('Bulk Order Details'!J125="","",_xlfn.xlookup('Bulk Order Details'!J125,Collar[Display],Collar[Price]))</f>
        <v/>
      </c>
      <c r="K115" s="212" t="str">
        <f aca="false">IF('Bulk Order Details'!K125="","",_xlfn.xlookup("Name",Name[Name],Name[Price]))</f>
        <v/>
      </c>
      <c r="L115" s="213" t="str">
        <f aca="false">IFERROR(IF('Bulk Order Details'!O125="","",IF(_xlfn.xlookup('Bulk Order Details'!O125,Logos[Display],Logos[Use])="Flat",_xlfn.xlookup('Bulk Order Details'!O125,Logos[Display],Logos[Flat]),ROUND(_xlfn.xlookup('Bulk Order Details'!O125,Logos[Display],Logos[Pct])*$E115,2))),"")</f>
        <v/>
      </c>
      <c r="M115" s="222" t="str">
        <f aca="false">IFERROR(IF('Bulk Order Details'!P125="","",IF(_xlfn.xlookup('Bulk Order Details'!P125,Chest[Display],Chest[Use])="Flat",_xlfn.xlookup('Bulk Order Details'!P125,Chest[Display],Chest[Flat]),ROUND(_xlfn.xlookup('Bulk Order Details'!P125,Chest[Display],Chest[Pct])*$E115,2))),"")</f>
        <v/>
      </c>
      <c r="N115" s="222" t="str">
        <f aca="false">IFERROR(IF('Bulk Order Details'!Q125="","",IF(_xlfn.xlookup('Bulk Order Details'!Q125,Chest[Display],Chest[Use])="Flat",_xlfn.xlookup('Bulk Order Details'!Q125,Chest[Display],Chest[Flat]),ROUND(_xlfn.xlookup('Bulk Order Details'!Q125,Chest[Display],Chest[Pct])*$E115,2))),"")</f>
        <v/>
      </c>
      <c r="O115" s="222" t="str">
        <f aca="false">IFERROR(IF('Bulk Order Details'!R125="","",IF(_xlfn.xlookup('Bulk Order Details'!R125,LeftSleeve[Display],LeftSleeve[Use])="Flat",_xlfn.xlookup('Bulk Order Details'!R125,LeftSleeve[Display],LeftSleeve[Flat]),ROUND(_xlfn.xlookup('Bulk Order Details'!R125,LeftSleeve[Display],LeftSleeve[Pct])*$E115,2))),"")</f>
        <v/>
      </c>
      <c r="P115" s="222" t="str">
        <f aca="false">IFERROR(IF('Bulk Order Details'!S125="","",IF(_xlfn.xlookup('Bulk Order Details'!S125,RightSleeve[Display],RightSleeve[Use])="Flat",_xlfn.xlookup('Bulk Order Details'!S125,RightSleeve[Display],RightSleeve[Flat]),ROUND(_xlfn.xlookup('Bulk Order Details'!S125,RightSleeve[Display],RightSleeve[Pct])*$E115,2))),"")</f>
        <v/>
      </c>
      <c r="Q115" s="214" t="str">
        <f aca="false">IF('Bulk Order Details'!J125="","",SUM(F115:P115))</f>
        <v/>
      </c>
      <c r="R115" s="213" t="str">
        <f aca="false">IFERROR(E115-D115,"")</f>
        <v/>
      </c>
      <c r="S115" s="215" t="str">
        <f aca="false">IFERROR(MIN(IF(Summary!$D$11="Yes",-J115,0),IF(H115&gt;0,-J115,0)),"")</f>
        <v/>
      </c>
      <c r="T115" s="212" t="str">
        <f aca="false">IFERROR(IF(Summary!$D$10="Yes",-K115,""),"")</f>
        <v/>
      </c>
      <c r="U115" s="213" t="str">
        <f aca="false">IFERROR(IF(Summary!$D$12="Yes",-L115,""),"")</f>
        <v/>
      </c>
      <c r="V115" s="216" t="str">
        <f aca="false">IF('Bulk Order Details'!J125="","",SUM(R115:U115))</f>
        <v/>
      </c>
      <c r="W115" s="217" t="str">
        <f aca="false">IF('Bulk Order Details'!J125="","",D115+Q115)</f>
        <v/>
      </c>
      <c r="X115" s="218" t="str">
        <f aca="false">IF('Bulk Order Details'!J125="","",D115+Q115+V115)</f>
        <v/>
      </c>
      <c r="Y115" s="219" t="str">
        <f aca="false">IFERROR((W115-X115)/W115,"")</f>
        <v/>
      </c>
      <c r="Z115" s="220" t="str">
        <f aca="false">IF('Bulk Order Details'!J125="","",MAX(1,'Bulk Order Details'!D125))</f>
        <v/>
      </c>
      <c r="AA115" s="217" t="str">
        <f aca="false">IF(Pricing_Details[[#This Row],[Quantity]]="","",Pricing_Details[[#This Row],[Retail Price]]*Pricing_Details[[#This Row],[Quantity]])</f>
        <v/>
      </c>
      <c r="AB115" s="217" t="str">
        <f aca="false">IF(Pricing_Details[[#This Row],[Quantity]]="","",Pricing_Details[[#This Row],[Total Discount]]*Pricing_Details[[#This Row],[Quantity]])</f>
        <v/>
      </c>
      <c r="AC115" s="221" t="str">
        <f aca="false">IFERROR(ROUND(Pricing_Details[[#This Row],[Actual Price]]*Pricing_Details[[#This Row],[Quantity]],2),"")</f>
        <v/>
      </c>
      <c r="AE115" s="179" t="str">
        <f aca="false">IF('Bulk Order Details'!J125="","",VLOOKUP('Bulk Order Details'!H125,Collection[],3)&amp;VLOOKUP('Bulk Order Details'!J125,Collar[],4)&amp;VLOOKUP('Bulk Order Details'!I125,Sleeve[],4))</f>
        <v/>
      </c>
      <c r="AF115" s="179" t="str">
        <f aca="false">IF('Bulk Order Details'!J125="","",LOOKUP('Bulk Order Details'!E125,Cut[Display],Cut[Code])&amp;LOOKUP('Bulk Order Details'!F125,#REF!,#REF!)&amp;IF('Bulk Order Details'!G125="","",LOOKUP('Bulk Order Details'!G125,Length[Display],Length[Code])))</f>
        <v/>
      </c>
      <c r="AG115" s="179" t="str">
        <f aca="false">IF('Bulk Order Details'!J125="","",IF('Bulk Order Details'!C125="","",'Bulk Order Details'!C125))</f>
        <v/>
      </c>
      <c r="AH115" s="179" t="str">
        <f aca="false">IF('Bulk Order Details'!O125="","","-"&amp;LOOKUP('Bulk Order Details'!O125,#REF!,#REF!))</f>
        <v/>
      </c>
      <c r="AI115" s="179" t="str">
        <f aca="false">IF('Bulk Order Details'!P125="","","-"&amp;LOOKUP('Bulk Order Details'!P125,#REF!,#REF!))</f>
        <v/>
      </c>
      <c r="AJ115" s="179" t="str">
        <f aca="false">IF('Bulk Order Details'!Q125="","","-"&amp;LOOKUP('Bulk Order Details'!Q125,#REF!,#REF!))</f>
        <v/>
      </c>
      <c r="AK115" s="179" t="str">
        <f aca="false">IF('Bulk Order Details'!R125="","","-"&amp;LOOKUP('Bulk Order Details'!R125,#REF!,#REF!))</f>
        <v/>
      </c>
      <c r="AL115" s="179" t="str">
        <f aca="false">IF('Bulk Order Details'!S125="","","-"&amp;LOOKUP('Bulk Order Details'!S125,#REF!,#REF!))</f>
        <v/>
      </c>
      <c r="AM115" s="179" t="str">
        <f aca="false">IF(_xlfn.CONCAT(AH115:AL115)="","","Lo"&amp;_xlfn.CONCAT(AH115:AL115))</f>
        <v/>
      </c>
      <c r="AN115" s="179" t="str">
        <f aca="false">IF('Bulk Order Details'!K125="","","Na-"&amp;'Bulk Order Details'!K125)</f>
        <v/>
      </c>
      <c r="AO115" s="179" t="str">
        <f aca="false">IF('Bulk Order Details'!N125="","","Fo-"&amp;'Bulk Order Details'!N125)</f>
        <v/>
      </c>
      <c r="AP115" s="179" t="str">
        <f aca="false">IF(AE115="","",AE115&amp;"_"&amp;AF115&amp;"_"&amp;AG115&amp;IF(AM115="","","_"&amp;AM115)&amp;IF(AN115="","","_"&amp;AN115)&amp;IF(AO115="","","_"&amp;AO115))</f>
        <v/>
      </c>
      <c r="AQ115" s="218" t="str">
        <f aca="false">IF(X115="","",X115)</f>
        <v/>
      </c>
    </row>
    <row r="116" customFormat="false" ht="15" hidden="false" customHeight="true" outlineLevel="0" collapsed="false">
      <c r="B116" s="209" t="n">
        <f aca="false">'Bulk Order Details'!B126</f>
        <v>113</v>
      </c>
      <c r="C116" s="209" t="e">
        <f aca="false">IF('bulk order details'!#ref!="","",'bulk order details'!#ref!&amp;" "&amp;'bulk order details'!#ref!)</f>
        <v>#VALUE!</v>
      </c>
      <c r="D116" s="210" t="str">
        <f aca="false">IF('Bulk Order Details'!J126="","",VLOOKUP(1,Price[],3))</f>
        <v/>
      </c>
      <c r="E116" s="211" t="str">
        <f aca="false">IF('Bulk Order Details'!J126="","",Summary!$D$9)</f>
        <v/>
      </c>
      <c r="F116" s="212" t="str">
        <f aca="false">IF('Bulk Order Details'!F126="","",_xlfn.xlookup('Bulk Order Details'!F126,Size[Display],Size[Price]))</f>
        <v/>
      </c>
      <c r="G116" s="212" t="str">
        <f aca="false">IF('Bulk Order Details'!G126="","",_xlfn.xlookup('Bulk Order Details'!G126,Length[Display],Length[Price]))</f>
        <v/>
      </c>
      <c r="H116" s="212" t="str">
        <f aca="false">IF('Bulk Order Details'!H126="","",_xlfn.xlookup('Bulk Order Details'!H126,Collection[Display],Collection[Price]))</f>
        <v/>
      </c>
      <c r="I116" s="212" t="str">
        <f aca="false">IF('Bulk Order Details'!I126="","",_xlfn.xlookup('Bulk Order Details'!I126,Sleeve[Display],Sleeve[Price]))</f>
        <v/>
      </c>
      <c r="J116" s="212" t="str">
        <f aca="false">IF('Bulk Order Details'!J126="","",_xlfn.xlookup('Bulk Order Details'!J126,Collar[Display],Collar[Price]))</f>
        <v/>
      </c>
      <c r="K116" s="212" t="str">
        <f aca="false">IF('Bulk Order Details'!K126="","",_xlfn.xlookup("Name",Name[Name],Name[Price]))</f>
        <v/>
      </c>
      <c r="L116" s="213" t="str">
        <f aca="false">IFERROR(IF('Bulk Order Details'!O126="","",IF(_xlfn.xlookup('Bulk Order Details'!O126,Logos[Display],Logos[Use])="Flat",_xlfn.xlookup('Bulk Order Details'!O126,Logos[Display],Logos[Flat]),ROUND(_xlfn.xlookup('Bulk Order Details'!O126,Logos[Display],Logos[Pct])*$E116,2))),"")</f>
        <v/>
      </c>
      <c r="M116" s="222" t="str">
        <f aca="false">IFERROR(IF('Bulk Order Details'!P126="","",IF(_xlfn.xlookup('Bulk Order Details'!P126,Chest[Display],Chest[Use])="Flat",_xlfn.xlookup('Bulk Order Details'!P126,Chest[Display],Chest[Flat]),ROUND(_xlfn.xlookup('Bulk Order Details'!P126,Chest[Display],Chest[Pct])*$E116,2))),"")</f>
        <v/>
      </c>
      <c r="N116" s="222" t="str">
        <f aca="false">IFERROR(IF('Bulk Order Details'!Q126="","",IF(_xlfn.xlookup('Bulk Order Details'!Q126,Chest[Display],Chest[Use])="Flat",_xlfn.xlookup('Bulk Order Details'!Q126,Chest[Display],Chest[Flat]),ROUND(_xlfn.xlookup('Bulk Order Details'!Q126,Chest[Display],Chest[Pct])*$E116,2))),"")</f>
        <v/>
      </c>
      <c r="O116" s="222" t="str">
        <f aca="false">IFERROR(IF('Bulk Order Details'!R126="","",IF(_xlfn.xlookup('Bulk Order Details'!R126,LeftSleeve[Display],LeftSleeve[Use])="Flat",_xlfn.xlookup('Bulk Order Details'!R126,LeftSleeve[Display],LeftSleeve[Flat]),ROUND(_xlfn.xlookup('Bulk Order Details'!R126,LeftSleeve[Display],LeftSleeve[Pct])*$E116,2))),"")</f>
        <v/>
      </c>
      <c r="P116" s="222" t="str">
        <f aca="false">IFERROR(IF('Bulk Order Details'!S126="","",IF(_xlfn.xlookup('Bulk Order Details'!S126,RightSleeve[Display],RightSleeve[Use])="Flat",_xlfn.xlookup('Bulk Order Details'!S126,RightSleeve[Display],RightSleeve[Flat]),ROUND(_xlfn.xlookup('Bulk Order Details'!S126,RightSleeve[Display],RightSleeve[Pct])*$E116,2))),"")</f>
        <v/>
      </c>
      <c r="Q116" s="214" t="str">
        <f aca="false">IF('Bulk Order Details'!J126="","",SUM(F116:P116))</f>
        <v/>
      </c>
      <c r="R116" s="213" t="str">
        <f aca="false">IFERROR(E116-D116,"")</f>
        <v/>
      </c>
      <c r="S116" s="215" t="str">
        <f aca="false">IFERROR(MIN(IF(Summary!$D$11="Yes",-J116,0),IF(H116&gt;0,-J116,0)),"")</f>
        <v/>
      </c>
      <c r="T116" s="212" t="str">
        <f aca="false">IFERROR(IF(Summary!$D$10="Yes",-K116,""),"")</f>
        <v/>
      </c>
      <c r="U116" s="213" t="str">
        <f aca="false">IFERROR(IF(Summary!$D$12="Yes",-L116,""),"")</f>
        <v/>
      </c>
      <c r="V116" s="216" t="str">
        <f aca="false">IF('Bulk Order Details'!J126="","",SUM(R116:U116))</f>
        <v/>
      </c>
      <c r="W116" s="217" t="str">
        <f aca="false">IF('Bulk Order Details'!J126="","",D116+Q116)</f>
        <v/>
      </c>
      <c r="X116" s="218" t="str">
        <f aca="false">IF('Bulk Order Details'!J126="","",D116+Q116+V116)</f>
        <v/>
      </c>
      <c r="Y116" s="219" t="str">
        <f aca="false">IFERROR((W116-X116)/W116,"")</f>
        <v/>
      </c>
      <c r="Z116" s="220" t="str">
        <f aca="false">IF('Bulk Order Details'!J126="","",MAX(1,'Bulk Order Details'!D126))</f>
        <v/>
      </c>
      <c r="AA116" s="217" t="str">
        <f aca="false">IF(Pricing_Details[[#This Row],[Quantity]]="","",Pricing_Details[[#This Row],[Retail Price]]*Pricing_Details[[#This Row],[Quantity]])</f>
        <v/>
      </c>
      <c r="AB116" s="217" t="str">
        <f aca="false">IF(Pricing_Details[[#This Row],[Quantity]]="","",Pricing_Details[[#This Row],[Total Discount]]*Pricing_Details[[#This Row],[Quantity]])</f>
        <v/>
      </c>
      <c r="AC116" s="221" t="str">
        <f aca="false">IFERROR(ROUND(Pricing_Details[[#This Row],[Actual Price]]*Pricing_Details[[#This Row],[Quantity]],2),"")</f>
        <v/>
      </c>
      <c r="AE116" s="179" t="str">
        <f aca="false">IF('Bulk Order Details'!J126="","",VLOOKUP('Bulk Order Details'!H126,Collection[],3)&amp;VLOOKUP('Bulk Order Details'!J126,Collar[],4)&amp;VLOOKUP('Bulk Order Details'!I126,Sleeve[],4))</f>
        <v/>
      </c>
      <c r="AF116" s="179" t="str">
        <f aca="false">IF('Bulk Order Details'!J126="","",LOOKUP('Bulk Order Details'!E126,Cut[Display],Cut[Code])&amp;LOOKUP('Bulk Order Details'!F126,#REF!,#REF!)&amp;IF('Bulk Order Details'!G126="","",LOOKUP('Bulk Order Details'!G126,Length[Display],Length[Code])))</f>
        <v/>
      </c>
      <c r="AG116" s="179" t="str">
        <f aca="false">IF('Bulk Order Details'!J126="","",IF('Bulk Order Details'!C126="","",'Bulk Order Details'!C126))</f>
        <v/>
      </c>
      <c r="AH116" s="179" t="str">
        <f aca="false">IF('Bulk Order Details'!O126="","","-"&amp;LOOKUP('Bulk Order Details'!O126,#REF!,#REF!))</f>
        <v/>
      </c>
      <c r="AI116" s="179" t="str">
        <f aca="false">IF('Bulk Order Details'!P126="","","-"&amp;LOOKUP('Bulk Order Details'!P126,#REF!,#REF!))</f>
        <v/>
      </c>
      <c r="AJ116" s="179" t="str">
        <f aca="false">IF('Bulk Order Details'!Q126="","","-"&amp;LOOKUP('Bulk Order Details'!Q126,#REF!,#REF!))</f>
        <v/>
      </c>
      <c r="AK116" s="179" t="str">
        <f aca="false">IF('Bulk Order Details'!R126="","","-"&amp;LOOKUP('Bulk Order Details'!R126,#REF!,#REF!))</f>
        <v/>
      </c>
      <c r="AL116" s="179" t="str">
        <f aca="false">IF('Bulk Order Details'!S126="","","-"&amp;LOOKUP('Bulk Order Details'!S126,#REF!,#REF!))</f>
        <v/>
      </c>
      <c r="AM116" s="179" t="str">
        <f aca="false">IF(_xlfn.CONCAT(AH116:AL116)="","","Lo"&amp;_xlfn.CONCAT(AH116:AL116))</f>
        <v/>
      </c>
      <c r="AN116" s="179" t="str">
        <f aca="false">IF('Bulk Order Details'!K126="","","Na-"&amp;'Bulk Order Details'!K126)</f>
        <v/>
      </c>
      <c r="AO116" s="179" t="str">
        <f aca="false">IF('Bulk Order Details'!N126="","","Fo-"&amp;'Bulk Order Details'!N126)</f>
        <v/>
      </c>
      <c r="AP116" s="179" t="str">
        <f aca="false">IF(AE116="","",AE116&amp;"_"&amp;AF116&amp;"_"&amp;AG116&amp;IF(AM116="","","_"&amp;AM116)&amp;IF(AN116="","","_"&amp;AN116)&amp;IF(AO116="","","_"&amp;AO116))</f>
        <v/>
      </c>
      <c r="AQ116" s="218" t="str">
        <f aca="false">IF(X116="","",X116)</f>
        <v/>
      </c>
    </row>
    <row r="117" customFormat="false" ht="15" hidden="false" customHeight="true" outlineLevel="0" collapsed="false">
      <c r="B117" s="209" t="n">
        <f aca="false">'Bulk Order Details'!B127</f>
        <v>114</v>
      </c>
      <c r="C117" s="209" t="e">
        <f aca="false">IF('bulk order details'!#ref!="","",'bulk order details'!#ref!&amp;" "&amp;'bulk order details'!#ref!)</f>
        <v>#VALUE!</v>
      </c>
      <c r="D117" s="210" t="str">
        <f aca="false">IF('Bulk Order Details'!J127="","",VLOOKUP(1,Price[],3))</f>
        <v/>
      </c>
      <c r="E117" s="211" t="str">
        <f aca="false">IF('Bulk Order Details'!J127="","",Summary!$D$9)</f>
        <v/>
      </c>
      <c r="F117" s="212" t="str">
        <f aca="false">IF('Bulk Order Details'!F127="","",_xlfn.xlookup('Bulk Order Details'!F127,Size[Display],Size[Price]))</f>
        <v/>
      </c>
      <c r="G117" s="212" t="str">
        <f aca="false">IF('Bulk Order Details'!G127="","",_xlfn.xlookup('Bulk Order Details'!G127,Length[Display],Length[Price]))</f>
        <v/>
      </c>
      <c r="H117" s="212" t="str">
        <f aca="false">IF('Bulk Order Details'!H127="","",_xlfn.xlookup('Bulk Order Details'!H127,Collection[Display],Collection[Price]))</f>
        <v/>
      </c>
      <c r="I117" s="212" t="str">
        <f aca="false">IF('Bulk Order Details'!I127="","",_xlfn.xlookup('Bulk Order Details'!I127,Sleeve[Display],Sleeve[Price]))</f>
        <v/>
      </c>
      <c r="J117" s="212" t="str">
        <f aca="false">IF('Bulk Order Details'!J127="","",_xlfn.xlookup('Bulk Order Details'!J127,Collar[Display],Collar[Price]))</f>
        <v/>
      </c>
      <c r="K117" s="212" t="str">
        <f aca="false">IF('Bulk Order Details'!K127="","",_xlfn.xlookup("Name",Name[Name],Name[Price]))</f>
        <v/>
      </c>
      <c r="L117" s="213" t="str">
        <f aca="false">IFERROR(IF('Bulk Order Details'!O127="","",IF(_xlfn.xlookup('Bulk Order Details'!O127,Logos[Display],Logos[Use])="Flat",_xlfn.xlookup('Bulk Order Details'!O127,Logos[Display],Logos[Flat]),ROUND(_xlfn.xlookup('Bulk Order Details'!O127,Logos[Display],Logos[Pct])*$E117,2))),"")</f>
        <v/>
      </c>
      <c r="M117" s="222" t="str">
        <f aca="false">IFERROR(IF('Bulk Order Details'!P127="","",IF(_xlfn.xlookup('Bulk Order Details'!P127,Chest[Display],Chest[Use])="Flat",_xlfn.xlookup('Bulk Order Details'!P127,Chest[Display],Chest[Flat]),ROUND(_xlfn.xlookup('Bulk Order Details'!P127,Chest[Display],Chest[Pct])*$E117,2))),"")</f>
        <v/>
      </c>
      <c r="N117" s="222" t="str">
        <f aca="false">IFERROR(IF('Bulk Order Details'!Q127="","",IF(_xlfn.xlookup('Bulk Order Details'!Q127,Chest[Display],Chest[Use])="Flat",_xlfn.xlookup('Bulk Order Details'!Q127,Chest[Display],Chest[Flat]),ROUND(_xlfn.xlookup('Bulk Order Details'!Q127,Chest[Display],Chest[Pct])*$E117,2))),"")</f>
        <v/>
      </c>
      <c r="O117" s="222" t="str">
        <f aca="false">IFERROR(IF('Bulk Order Details'!R127="","",IF(_xlfn.xlookup('Bulk Order Details'!R127,LeftSleeve[Display],LeftSleeve[Use])="Flat",_xlfn.xlookup('Bulk Order Details'!R127,LeftSleeve[Display],LeftSleeve[Flat]),ROUND(_xlfn.xlookup('Bulk Order Details'!R127,LeftSleeve[Display],LeftSleeve[Pct])*$E117,2))),"")</f>
        <v/>
      </c>
      <c r="P117" s="222" t="str">
        <f aca="false">IFERROR(IF('Bulk Order Details'!S127="","",IF(_xlfn.xlookup('Bulk Order Details'!S127,RightSleeve[Display],RightSleeve[Use])="Flat",_xlfn.xlookup('Bulk Order Details'!S127,RightSleeve[Display],RightSleeve[Flat]),ROUND(_xlfn.xlookup('Bulk Order Details'!S127,RightSleeve[Display],RightSleeve[Pct])*$E117,2))),"")</f>
        <v/>
      </c>
      <c r="Q117" s="214" t="str">
        <f aca="false">IF('Bulk Order Details'!J127="","",SUM(F117:P117))</f>
        <v/>
      </c>
      <c r="R117" s="213" t="str">
        <f aca="false">IFERROR(E117-D117,"")</f>
        <v/>
      </c>
      <c r="S117" s="215" t="str">
        <f aca="false">IFERROR(MIN(IF(Summary!$D$11="Yes",-J117,0),IF(H117&gt;0,-J117,0)),"")</f>
        <v/>
      </c>
      <c r="T117" s="212" t="str">
        <f aca="false">IFERROR(IF(Summary!$D$10="Yes",-K117,""),"")</f>
        <v/>
      </c>
      <c r="U117" s="213" t="str">
        <f aca="false">IFERROR(IF(Summary!$D$12="Yes",-L117,""),"")</f>
        <v/>
      </c>
      <c r="V117" s="216" t="str">
        <f aca="false">IF('Bulk Order Details'!J127="","",SUM(R117:U117))</f>
        <v/>
      </c>
      <c r="W117" s="217" t="str">
        <f aca="false">IF('Bulk Order Details'!J127="","",D117+Q117)</f>
        <v/>
      </c>
      <c r="X117" s="218" t="str">
        <f aca="false">IF('Bulk Order Details'!J127="","",D117+Q117+V117)</f>
        <v/>
      </c>
      <c r="Y117" s="219" t="str">
        <f aca="false">IFERROR((W117-X117)/W117,"")</f>
        <v/>
      </c>
      <c r="Z117" s="220" t="str">
        <f aca="false">IF('Bulk Order Details'!J127="","",MAX(1,'Bulk Order Details'!D127))</f>
        <v/>
      </c>
      <c r="AA117" s="217" t="str">
        <f aca="false">IF(Pricing_Details[[#This Row],[Quantity]]="","",Pricing_Details[[#This Row],[Retail Price]]*Pricing_Details[[#This Row],[Quantity]])</f>
        <v/>
      </c>
      <c r="AB117" s="217" t="str">
        <f aca="false">IF(Pricing_Details[[#This Row],[Quantity]]="","",Pricing_Details[[#This Row],[Total Discount]]*Pricing_Details[[#This Row],[Quantity]])</f>
        <v/>
      </c>
      <c r="AC117" s="221" t="str">
        <f aca="false">IFERROR(ROUND(Pricing_Details[[#This Row],[Actual Price]]*Pricing_Details[[#This Row],[Quantity]],2),"")</f>
        <v/>
      </c>
      <c r="AE117" s="179" t="str">
        <f aca="false">IF('Bulk Order Details'!J127="","",VLOOKUP('Bulk Order Details'!H127,Collection[],3)&amp;VLOOKUP('Bulk Order Details'!J127,Collar[],4)&amp;VLOOKUP('Bulk Order Details'!I127,Sleeve[],4))</f>
        <v/>
      </c>
      <c r="AF117" s="179" t="str">
        <f aca="false">IF('Bulk Order Details'!J127="","",LOOKUP('Bulk Order Details'!E127,Cut[Display],Cut[Code])&amp;LOOKUP('Bulk Order Details'!F127,#REF!,#REF!)&amp;IF('Bulk Order Details'!G127="","",LOOKUP('Bulk Order Details'!G127,Length[Display],Length[Code])))</f>
        <v/>
      </c>
      <c r="AG117" s="179" t="str">
        <f aca="false">IF('Bulk Order Details'!J127="","",IF('Bulk Order Details'!C127="","",'Bulk Order Details'!C127))</f>
        <v/>
      </c>
      <c r="AH117" s="179" t="str">
        <f aca="false">IF('Bulk Order Details'!O127="","","-"&amp;LOOKUP('Bulk Order Details'!O127,#REF!,#REF!))</f>
        <v/>
      </c>
      <c r="AI117" s="179" t="str">
        <f aca="false">IF('Bulk Order Details'!P127="","","-"&amp;LOOKUP('Bulk Order Details'!P127,#REF!,#REF!))</f>
        <v/>
      </c>
      <c r="AJ117" s="179" t="str">
        <f aca="false">IF('Bulk Order Details'!Q127="","","-"&amp;LOOKUP('Bulk Order Details'!Q127,#REF!,#REF!))</f>
        <v/>
      </c>
      <c r="AK117" s="179" t="str">
        <f aca="false">IF('Bulk Order Details'!R127="","","-"&amp;LOOKUP('Bulk Order Details'!R127,#REF!,#REF!))</f>
        <v/>
      </c>
      <c r="AL117" s="179" t="str">
        <f aca="false">IF('Bulk Order Details'!S127="","","-"&amp;LOOKUP('Bulk Order Details'!S127,#REF!,#REF!))</f>
        <v/>
      </c>
      <c r="AM117" s="179" t="str">
        <f aca="false">IF(_xlfn.CONCAT(AH117:AL117)="","","Lo"&amp;_xlfn.CONCAT(AH117:AL117))</f>
        <v/>
      </c>
      <c r="AN117" s="179" t="str">
        <f aca="false">IF('Bulk Order Details'!K127="","","Na-"&amp;'Bulk Order Details'!K127)</f>
        <v/>
      </c>
      <c r="AO117" s="179" t="str">
        <f aca="false">IF('Bulk Order Details'!N127="","","Fo-"&amp;'Bulk Order Details'!N127)</f>
        <v/>
      </c>
      <c r="AP117" s="179" t="str">
        <f aca="false">IF(AE117="","",AE117&amp;"_"&amp;AF117&amp;"_"&amp;AG117&amp;IF(AM117="","","_"&amp;AM117)&amp;IF(AN117="","","_"&amp;AN117)&amp;IF(AO117="","","_"&amp;AO117))</f>
        <v/>
      </c>
      <c r="AQ117" s="218" t="str">
        <f aca="false">IF(X117="","",X117)</f>
        <v/>
      </c>
    </row>
    <row r="118" customFormat="false" ht="15" hidden="false" customHeight="true" outlineLevel="0" collapsed="false">
      <c r="B118" s="209" t="n">
        <f aca="false">'Bulk Order Details'!B128</f>
        <v>115</v>
      </c>
      <c r="C118" s="209" t="e">
        <f aca="false">IF('bulk order details'!#ref!="","",'bulk order details'!#ref!&amp;" "&amp;'bulk order details'!#ref!)</f>
        <v>#VALUE!</v>
      </c>
      <c r="D118" s="210" t="str">
        <f aca="false">IF('Bulk Order Details'!J128="","",VLOOKUP(1,Price[],3))</f>
        <v/>
      </c>
      <c r="E118" s="211" t="str">
        <f aca="false">IF('Bulk Order Details'!J128="","",Summary!$D$9)</f>
        <v/>
      </c>
      <c r="F118" s="212" t="str">
        <f aca="false">IF('Bulk Order Details'!F128="","",_xlfn.xlookup('Bulk Order Details'!F128,Size[Display],Size[Price]))</f>
        <v/>
      </c>
      <c r="G118" s="212" t="str">
        <f aca="false">IF('Bulk Order Details'!G128="","",_xlfn.xlookup('Bulk Order Details'!G128,Length[Display],Length[Price]))</f>
        <v/>
      </c>
      <c r="H118" s="212" t="str">
        <f aca="false">IF('Bulk Order Details'!H128="","",_xlfn.xlookup('Bulk Order Details'!H128,Collection[Display],Collection[Price]))</f>
        <v/>
      </c>
      <c r="I118" s="212" t="str">
        <f aca="false">IF('Bulk Order Details'!I128="","",_xlfn.xlookup('Bulk Order Details'!I128,Sleeve[Display],Sleeve[Price]))</f>
        <v/>
      </c>
      <c r="J118" s="212" t="str">
        <f aca="false">IF('Bulk Order Details'!J128="","",_xlfn.xlookup('Bulk Order Details'!J128,Collar[Display],Collar[Price]))</f>
        <v/>
      </c>
      <c r="K118" s="212" t="str">
        <f aca="false">IF('Bulk Order Details'!K128="","",_xlfn.xlookup("Name",Name[Name],Name[Price]))</f>
        <v/>
      </c>
      <c r="L118" s="213" t="str">
        <f aca="false">IFERROR(IF('Bulk Order Details'!O128="","",IF(_xlfn.xlookup('Bulk Order Details'!O128,Logos[Display],Logos[Use])="Flat",_xlfn.xlookup('Bulk Order Details'!O128,Logos[Display],Logos[Flat]),ROUND(_xlfn.xlookup('Bulk Order Details'!O128,Logos[Display],Logos[Pct])*$E118,2))),"")</f>
        <v/>
      </c>
      <c r="M118" s="222" t="str">
        <f aca="false">IFERROR(IF('Bulk Order Details'!P128="","",IF(_xlfn.xlookup('Bulk Order Details'!P128,Chest[Display],Chest[Use])="Flat",_xlfn.xlookup('Bulk Order Details'!P128,Chest[Display],Chest[Flat]),ROUND(_xlfn.xlookup('Bulk Order Details'!P128,Chest[Display],Chest[Pct])*$E118,2))),"")</f>
        <v/>
      </c>
      <c r="N118" s="222" t="str">
        <f aca="false">IFERROR(IF('Bulk Order Details'!Q128="","",IF(_xlfn.xlookup('Bulk Order Details'!Q128,Chest[Display],Chest[Use])="Flat",_xlfn.xlookup('Bulk Order Details'!Q128,Chest[Display],Chest[Flat]),ROUND(_xlfn.xlookup('Bulk Order Details'!Q128,Chest[Display],Chest[Pct])*$E118,2))),"")</f>
        <v/>
      </c>
      <c r="O118" s="222" t="str">
        <f aca="false">IFERROR(IF('Bulk Order Details'!R128="","",IF(_xlfn.xlookup('Bulk Order Details'!R128,LeftSleeve[Display],LeftSleeve[Use])="Flat",_xlfn.xlookup('Bulk Order Details'!R128,LeftSleeve[Display],LeftSleeve[Flat]),ROUND(_xlfn.xlookup('Bulk Order Details'!R128,LeftSleeve[Display],LeftSleeve[Pct])*$E118,2))),"")</f>
        <v/>
      </c>
      <c r="P118" s="222" t="str">
        <f aca="false">IFERROR(IF('Bulk Order Details'!S128="","",IF(_xlfn.xlookup('Bulk Order Details'!S128,RightSleeve[Display],RightSleeve[Use])="Flat",_xlfn.xlookup('Bulk Order Details'!S128,RightSleeve[Display],RightSleeve[Flat]),ROUND(_xlfn.xlookup('Bulk Order Details'!S128,RightSleeve[Display],RightSleeve[Pct])*$E118,2))),"")</f>
        <v/>
      </c>
      <c r="Q118" s="214" t="str">
        <f aca="false">IF('Bulk Order Details'!J128="","",SUM(F118:P118))</f>
        <v/>
      </c>
      <c r="R118" s="213" t="str">
        <f aca="false">IFERROR(E118-D118,"")</f>
        <v/>
      </c>
      <c r="S118" s="215" t="str">
        <f aca="false">IFERROR(MIN(IF(Summary!$D$11="Yes",-J118,0),IF(H118&gt;0,-J118,0)),"")</f>
        <v/>
      </c>
      <c r="T118" s="212" t="str">
        <f aca="false">IFERROR(IF(Summary!$D$10="Yes",-K118,""),"")</f>
        <v/>
      </c>
      <c r="U118" s="213" t="str">
        <f aca="false">IFERROR(IF(Summary!$D$12="Yes",-L118,""),"")</f>
        <v/>
      </c>
      <c r="V118" s="216" t="str">
        <f aca="false">IF('Bulk Order Details'!J128="","",SUM(R118:U118))</f>
        <v/>
      </c>
      <c r="W118" s="217" t="str">
        <f aca="false">IF('Bulk Order Details'!J128="","",D118+Q118)</f>
        <v/>
      </c>
      <c r="X118" s="218" t="str">
        <f aca="false">IF('Bulk Order Details'!J128="","",D118+Q118+V118)</f>
        <v/>
      </c>
      <c r="Y118" s="219" t="str">
        <f aca="false">IFERROR((W118-X118)/W118,"")</f>
        <v/>
      </c>
      <c r="Z118" s="220" t="str">
        <f aca="false">IF('Bulk Order Details'!J128="","",MAX(1,'Bulk Order Details'!D128))</f>
        <v/>
      </c>
      <c r="AA118" s="217" t="str">
        <f aca="false">IF(Pricing_Details[[#This Row],[Quantity]]="","",Pricing_Details[[#This Row],[Retail Price]]*Pricing_Details[[#This Row],[Quantity]])</f>
        <v/>
      </c>
      <c r="AB118" s="217" t="str">
        <f aca="false">IF(Pricing_Details[[#This Row],[Quantity]]="","",Pricing_Details[[#This Row],[Total Discount]]*Pricing_Details[[#This Row],[Quantity]])</f>
        <v/>
      </c>
      <c r="AC118" s="221" t="str">
        <f aca="false">IFERROR(ROUND(Pricing_Details[[#This Row],[Actual Price]]*Pricing_Details[[#This Row],[Quantity]],2),"")</f>
        <v/>
      </c>
      <c r="AE118" s="179" t="str">
        <f aca="false">IF('Bulk Order Details'!J128="","",VLOOKUP('Bulk Order Details'!H128,Collection[],3)&amp;VLOOKUP('Bulk Order Details'!J128,Collar[],4)&amp;VLOOKUP('Bulk Order Details'!I128,Sleeve[],4))</f>
        <v/>
      </c>
      <c r="AF118" s="179" t="str">
        <f aca="false">IF('Bulk Order Details'!J128="","",LOOKUP('Bulk Order Details'!E128,Cut[Display],Cut[Code])&amp;LOOKUP('Bulk Order Details'!F128,#REF!,#REF!)&amp;IF('Bulk Order Details'!G128="","",LOOKUP('Bulk Order Details'!G128,Length[Display],Length[Code])))</f>
        <v/>
      </c>
      <c r="AG118" s="179" t="str">
        <f aca="false">IF('Bulk Order Details'!J128="","",IF('Bulk Order Details'!C128="","",'Bulk Order Details'!C128))</f>
        <v/>
      </c>
      <c r="AH118" s="179" t="str">
        <f aca="false">IF('Bulk Order Details'!O128="","","-"&amp;LOOKUP('Bulk Order Details'!O128,#REF!,#REF!))</f>
        <v/>
      </c>
      <c r="AI118" s="179" t="str">
        <f aca="false">IF('Bulk Order Details'!P128="","","-"&amp;LOOKUP('Bulk Order Details'!P128,#REF!,#REF!))</f>
        <v/>
      </c>
      <c r="AJ118" s="179" t="str">
        <f aca="false">IF('Bulk Order Details'!Q128="","","-"&amp;LOOKUP('Bulk Order Details'!Q128,#REF!,#REF!))</f>
        <v/>
      </c>
      <c r="AK118" s="179" t="str">
        <f aca="false">IF('Bulk Order Details'!R128="","","-"&amp;LOOKUP('Bulk Order Details'!R128,#REF!,#REF!))</f>
        <v/>
      </c>
      <c r="AL118" s="179" t="str">
        <f aca="false">IF('Bulk Order Details'!S128="","","-"&amp;LOOKUP('Bulk Order Details'!S128,#REF!,#REF!))</f>
        <v/>
      </c>
      <c r="AM118" s="179" t="str">
        <f aca="false">IF(_xlfn.CONCAT(AH118:AL118)="","","Lo"&amp;_xlfn.CONCAT(AH118:AL118))</f>
        <v/>
      </c>
      <c r="AN118" s="179" t="str">
        <f aca="false">IF('Bulk Order Details'!K128="","","Na-"&amp;'Bulk Order Details'!K128)</f>
        <v/>
      </c>
      <c r="AO118" s="179" t="str">
        <f aca="false">IF('Bulk Order Details'!N128="","","Fo-"&amp;'Bulk Order Details'!N128)</f>
        <v/>
      </c>
      <c r="AP118" s="179" t="str">
        <f aca="false">IF(AE118="","",AE118&amp;"_"&amp;AF118&amp;"_"&amp;AG118&amp;IF(AM118="","","_"&amp;AM118)&amp;IF(AN118="","","_"&amp;AN118)&amp;IF(AO118="","","_"&amp;AO118))</f>
        <v/>
      </c>
      <c r="AQ118" s="218" t="str">
        <f aca="false">IF(X118="","",X118)</f>
        <v/>
      </c>
    </row>
    <row r="119" customFormat="false" ht="15" hidden="false" customHeight="true" outlineLevel="0" collapsed="false">
      <c r="B119" s="209" t="n">
        <f aca="false">'Bulk Order Details'!B129</f>
        <v>116</v>
      </c>
      <c r="C119" s="209" t="e">
        <f aca="false">IF('bulk order details'!#ref!="","",'bulk order details'!#ref!&amp;" "&amp;'bulk order details'!#ref!)</f>
        <v>#VALUE!</v>
      </c>
      <c r="D119" s="210" t="str">
        <f aca="false">IF('Bulk Order Details'!J129="","",VLOOKUP(1,Price[],3))</f>
        <v/>
      </c>
      <c r="E119" s="211" t="str">
        <f aca="false">IF('Bulk Order Details'!J129="","",Summary!$D$9)</f>
        <v/>
      </c>
      <c r="F119" s="212" t="str">
        <f aca="false">IF('Bulk Order Details'!F129="","",_xlfn.xlookup('Bulk Order Details'!F129,Size[Display],Size[Price]))</f>
        <v/>
      </c>
      <c r="G119" s="212" t="str">
        <f aca="false">IF('Bulk Order Details'!G129="","",_xlfn.xlookup('Bulk Order Details'!G129,Length[Display],Length[Price]))</f>
        <v/>
      </c>
      <c r="H119" s="212" t="str">
        <f aca="false">IF('Bulk Order Details'!H129="","",_xlfn.xlookup('Bulk Order Details'!H129,Collection[Display],Collection[Price]))</f>
        <v/>
      </c>
      <c r="I119" s="212" t="str">
        <f aca="false">IF('Bulk Order Details'!I129="","",_xlfn.xlookup('Bulk Order Details'!I129,Sleeve[Display],Sleeve[Price]))</f>
        <v/>
      </c>
      <c r="J119" s="212" t="str">
        <f aca="false">IF('Bulk Order Details'!J129="","",_xlfn.xlookup('Bulk Order Details'!J129,Collar[Display],Collar[Price]))</f>
        <v/>
      </c>
      <c r="K119" s="212" t="str">
        <f aca="false">IF('Bulk Order Details'!K129="","",_xlfn.xlookup("Name",Name[Name],Name[Price]))</f>
        <v/>
      </c>
      <c r="L119" s="213" t="str">
        <f aca="false">IFERROR(IF('Bulk Order Details'!O129="","",IF(_xlfn.xlookup('Bulk Order Details'!O129,Logos[Display],Logos[Use])="Flat",_xlfn.xlookup('Bulk Order Details'!O129,Logos[Display],Logos[Flat]),ROUND(_xlfn.xlookup('Bulk Order Details'!O129,Logos[Display],Logos[Pct])*$E119,2))),"")</f>
        <v/>
      </c>
      <c r="M119" s="222" t="str">
        <f aca="false">IFERROR(IF('Bulk Order Details'!P129="","",IF(_xlfn.xlookup('Bulk Order Details'!P129,Chest[Display],Chest[Use])="Flat",_xlfn.xlookup('Bulk Order Details'!P129,Chest[Display],Chest[Flat]),ROUND(_xlfn.xlookup('Bulk Order Details'!P129,Chest[Display],Chest[Pct])*$E119,2))),"")</f>
        <v/>
      </c>
      <c r="N119" s="222" t="str">
        <f aca="false">IFERROR(IF('Bulk Order Details'!Q129="","",IF(_xlfn.xlookup('Bulk Order Details'!Q129,Chest[Display],Chest[Use])="Flat",_xlfn.xlookup('Bulk Order Details'!Q129,Chest[Display],Chest[Flat]),ROUND(_xlfn.xlookup('Bulk Order Details'!Q129,Chest[Display],Chest[Pct])*$E119,2))),"")</f>
        <v/>
      </c>
      <c r="O119" s="222" t="str">
        <f aca="false">IFERROR(IF('Bulk Order Details'!R129="","",IF(_xlfn.xlookup('Bulk Order Details'!R129,LeftSleeve[Display],LeftSleeve[Use])="Flat",_xlfn.xlookup('Bulk Order Details'!R129,LeftSleeve[Display],LeftSleeve[Flat]),ROUND(_xlfn.xlookup('Bulk Order Details'!R129,LeftSleeve[Display],LeftSleeve[Pct])*$E119,2))),"")</f>
        <v/>
      </c>
      <c r="P119" s="222" t="str">
        <f aca="false">IFERROR(IF('Bulk Order Details'!S129="","",IF(_xlfn.xlookup('Bulk Order Details'!S129,RightSleeve[Display],RightSleeve[Use])="Flat",_xlfn.xlookup('Bulk Order Details'!S129,RightSleeve[Display],RightSleeve[Flat]),ROUND(_xlfn.xlookup('Bulk Order Details'!S129,RightSleeve[Display],RightSleeve[Pct])*$E119,2))),"")</f>
        <v/>
      </c>
      <c r="Q119" s="214" t="str">
        <f aca="false">IF('Bulk Order Details'!J129="","",SUM(F119:P119))</f>
        <v/>
      </c>
      <c r="R119" s="213" t="str">
        <f aca="false">IFERROR(E119-D119,"")</f>
        <v/>
      </c>
      <c r="S119" s="215" t="str">
        <f aca="false">IFERROR(MIN(IF(Summary!$D$11="Yes",-J119,0),IF(H119&gt;0,-J119,0)),"")</f>
        <v/>
      </c>
      <c r="T119" s="212" t="str">
        <f aca="false">IFERROR(IF(Summary!$D$10="Yes",-K119,""),"")</f>
        <v/>
      </c>
      <c r="U119" s="213" t="str">
        <f aca="false">IFERROR(IF(Summary!$D$12="Yes",-L119,""),"")</f>
        <v/>
      </c>
      <c r="V119" s="216" t="str">
        <f aca="false">IF('Bulk Order Details'!J129="","",SUM(R119:U119))</f>
        <v/>
      </c>
      <c r="W119" s="217" t="str">
        <f aca="false">IF('Bulk Order Details'!J129="","",D119+Q119)</f>
        <v/>
      </c>
      <c r="X119" s="218" t="str">
        <f aca="false">IF('Bulk Order Details'!J129="","",D119+Q119+V119)</f>
        <v/>
      </c>
      <c r="Y119" s="219" t="str">
        <f aca="false">IFERROR((W119-X119)/W119,"")</f>
        <v/>
      </c>
      <c r="Z119" s="220" t="str">
        <f aca="false">IF('Bulk Order Details'!J129="","",MAX(1,'Bulk Order Details'!D129))</f>
        <v/>
      </c>
      <c r="AA119" s="217" t="str">
        <f aca="false">IF(Pricing_Details[[#This Row],[Quantity]]="","",Pricing_Details[[#This Row],[Retail Price]]*Pricing_Details[[#This Row],[Quantity]])</f>
        <v/>
      </c>
      <c r="AB119" s="217" t="str">
        <f aca="false">IF(Pricing_Details[[#This Row],[Quantity]]="","",Pricing_Details[[#This Row],[Total Discount]]*Pricing_Details[[#This Row],[Quantity]])</f>
        <v/>
      </c>
      <c r="AC119" s="221" t="str">
        <f aca="false">IFERROR(ROUND(Pricing_Details[[#This Row],[Actual Price]]*Pricing_Details[[#This Row],[Quantity]],2),"")</f>
        <v/>
      </c>
      <c r="AE119" s="179" t="str">
        <f aca="false">IF('Bulk Order Details'!J129="","",VLOOKUP('Bulk Order Details'!H129,Collection[],3)&amp;VLOOKUP('Bulk Order Details'!J129,Collar[],4)&amp;VLOOKUP('Bulk Order Details'!I129,Sleeve[],4))</f>
        <v/>
      </c>
      <c r="AF119" s="179" t="str">
        <f aca="false">IF('Bulk Order Details'!J129="","",LOOKUP('Bulk Order Details'!E129,Cut[Display],Cut[Code])&amp;LOOKUP('Bulk Order Details'!F129,#REF!,#REF!)&amp;IF('Bulk Order Details'!G129="","",LOOKUP('Bulk Order Details'!G129,Length[Display],Length[Code])))</f>
        <v/>
      </c>
      <c r="AG119" s="179" t="str">
        <f aca="false">IF('Bulk Order Details'!J129="","",IF('Bulk Order Details'!C129="","",'Bulk Order Details'!C129))</f>
        <v/>
      </c>
      <c r="AH119" s="179" t="str">
        <f aca="false">IF('Bulk Order Details'!O129="","","-"&amp;LOOKUP('Bulk Order Details'!O129,#REF!,#REF!))</f>
        <v/>
      </c>
      <c r="AI119" s="179" t="str">
        <f aca="false">IF('Bulk Order Details'!P129="","","-"&amp;LOOKUP('Bulk Order Details'!P129,#REF!,#REF!))</f>
        <v/>
      </c>
      <c r="AJ119" s="179" t="str">
        <f aca="false">IF('Bulk Order Details'!Q129="","","-"&amp;LOOKUP('Bulk Order Details'!Q129,#REF!,#REF!))</f>
        <v/>
      </c>
      <c r="AK119" s="179" t="str">
        <f aca="false">IF('Bulk Order Details'!R129="","","-"&amp;LOOKUP('Bulk Order Details'!R129,#REF!,#REF!))</f>
        <v/>
      </c>
      <c r="AL119" s="179" t="str">
        <f aca="false">IF('Bulk Order Details'!S129="","","-"&amp;LOOKUP('Bulk Order Details'!S129,#REF!,#REF!))</f>
        <v/>
      </c>
      <c r="AM119" s="179" t="str">
        <f aca="false">IF(_xlfn.CONCAT(AH119:AL119)="","","Lo"&amp;_xlfn.CONCAT(AH119:AL119))</f>
        <v/>
      </c>
      <c r="AN119" s="179" t="str">
        <f aca="false">IF('Bulk Order Details'!K129="","","Na-"&amp;'Bulk Order Details'!K129)</f>
        <v/>
      </c>
      <c r="AO119" s="179" t="str">
        <f aca="false">IF('Bulk Order Details'!N129="","","Fo-"&amp;'Bulk Order Details'!N129)</f>
        <v/>
      </c>
      <c r="AP119" s="179" t="str">
        <f aca="false">IF(AE119="","",AE119&amp;"_"&amp;AF119&amp;"_"&amp;AG119&amp;IF(AM119="","","_"&amp;AM119)&amp;IF(AN119="","","_"&amp;AN119)&amp;IF(AO119="","","_"&amp;AO119))</f>
        <v/>
      </c>
      <c r="AQ119" s="218" t="str">
        <f aca="false">IF(X119="","",X119)</f>
        <v/>
      </c>
    </row>
    <row r="120" customFormat="false" ht="15" hidden="false" customHeight="true" outlineLevel="0" collapsed="false">
      <c r="B120" s="209" t="n">
        <f aca="false">'Bulk Order Details'!B130</f>
        <v>117</v>
      </c>
      <c r="C120" s="209" t="e">
        <f aca="false">IF('bulk order details'!#ref!="","",'bulk order details'!#ref!&amp;" "&amp;'bulk order details'!#ref!)</f>
        <v>#VALUE!</v>
      </c>
      <c r="D120" s="210" t="str">
        <f aca="false">IF('Bulk Order Details'!J130="","",VLOOKUP(1,Price[],3))</f>
        <v/>
      </c>
      <c r="E120" s="211" t="str">
        <f aca="false">IF('Bulk Order Details'!J130="","",Summary!$D$9)</f>
        <v/>
      </c>
      <c r="F120" s="212" t="str">
        <f aca="false">IF('Bulk Order Details'!F130="","",_xlfn.xlookup('Bulk Order Details'!F130,Size[Display],Size[Price]))</f>
        <v/>
      </c>
      <c r="G120" s="212" t="str">
        <f aca="false">IF('Bulk Order Details'!G130="","",_xlfn.xlookup('Bulk Order Details'!G130,Length[Display],Length[Price]))</f>
        <v/>
      </c>
      <c r="H120" s="212" t="str">
        <f aca="false">IF('Bulk Order Details'!H130="","",_xlfn.xlookup('Bulk Order Details'!H130,Collection[Display],Collection[Price]))</f>
        <v/>
      </c>
      <c r="I120" s="212" t="str">
        <f aca="false">IF('Bulk Order Details'!I130="","",_xlfn.xlookup('Bulk Order Details'!I130,Sleeve[Display],Sleeve[Price]))</f>
        <v/>
      </c>
      <c r="J120" s="212" t="str">
        <f aca="false">IF('Bulk Order Details'!J130="","",_xlfn.xlookup('Bulk Order Details'!J130,Collar[Display],Collar[Price]))</f>
        <v/>
      </c>
      <c r="K120" s="212" t="str">
        <f aca="false">IF('Bulk Order Details'!K130="","",_xlfn.xlookup("Name",Name[Name],Name[Price]))</f>
        <v/>
      </c>
      <c r="L120" s="213" t="str">
        <f aca="false">IFERROR(IF('Bulk Order Details'!O130="","",IF(_xlfn.xlookup('Bulk Order Details'!O130,Logos[Display],Logos[Use])="Flat",_xlfn.xlookup('Bulk Order Details'!O130,Logos[Display],Logos[Flat]),ROUND(_xlfn.xlookup('Bulk Order Details'!O130,Logos[Display],Logos[Pct])*$E120,2))),"")</f>
        <v/>
      </c>
      <c r="M120" s="222" t="str">
        <f aca="false">IFERROR(IF('Bulk Order Details'!P130="","",IF(_xlfn.xlookup('Bulk Order Details'!P130,Chest[Display],Chest[Use])="Flat",_xlfn.xlookup('Bulk Order Details'!P130,Chest[Display],Chest[Flat]),ROUND(_xlfn.xlookup('Bulk Order Details'!P130,Chest[Display],Chest[Pct])*$E120,2))),"")</f>
        <v/>
      </c>
      <c r="N120" s="222" t="str">
        <f aca="false">IFERROR(IF('Bulk Order Details'!Q130="","",IF(_xlfn.xlookup('Bulk Order Details'!Q130,Chest[Display],Chest[Use])="Flat",_xlfn.xlookup('Bulk Order Details'!Q130,Chest[Display],Chest[Flat]),ROUND(_xlfn.xlookup('Bulk Order Details'!Q130,Chest[Display],Chest[Pct])*$E120,2))),"")</f>
        <v/>
      </c>
      <c r="O120" s="222" t="str">
        <f aca="false">IFERROR(IF('Bulk Order Details'!R130="","",IF(_xlfn.xlookup('Bulk Order Details'!R130,LeftSleeve[Display],LeftSleeve[Use])="Flat",_xlfn.xlookup('Bulk Order Details'!R130,LeftSleeve[Display],LeftSleeve[Flat]),ROUND(_xlfn.xlookup('Bulk Order Details'!R130,LeftSleeve[Display],LeftSleeve[Pct])*$E120,2))),"")</f>
        <v/>
      </c>
      <c r="P120" s="222" t="str">
        <f aca="false">IFERROR(IF('Bulk Order Details'!S130="","",IF(_xlfn.xlookup('Bulk Order Details'!S130,RightSleeve[Display],RightSleeve[Use])="Flat",_xlfn.xlookup('Bulk Order Details'!S130,RightSleeve[Display],RightSleeve[Flat]),ROUND(_xlfn.xlookup('Bulk Order Details'!S130,RightSleeve[Display],RightSleeve[Pct])*$E120,2))),"")</f>
        <v/>
      </c>
      <c r="Q120" s="214" t="str">
        <f aca="false">IF('Bulk Order Details'!J130="","",SUM(F120:P120))</f>
        <v/>
      </c>
      <c r="R120" s="213" t="str">
        <f aca="false">IFERROR(E120-D120,"")</f>
        <v/>
      </c>
      <c r="S120" s="215" t="str">
        <f aca="false">IFERROR(MIN(IF(Summary!$D$11="Yes",-J120,0),IF(H120&gt;0,-J120,0)),"")</f>
        <v/>
      </c>
      <c r="T120" s="212" t="str">
        <f aca="false">IFERROR(IF(Summary!$D$10="Yes",-K120,""),"")</f>
        <v/>
      </c>
      <c r="U120" s="213" t="str">
        <f aca="false">IFERROR(IF(Summary!$D$12="Yes",-L120,""),"")</f>
        <v/>
      </c>
      <c r="V120" s="216" t="str">
        <f aca="false">IF('Bulk Order Details'!J130="","",SUM(R120:U120))</f>
        <v/>
      </c>
      <c r="W120" s="217" t="str">
        <f aca="false">IF('Bulk Order Details'!J130="","",D120+Q120)</f>
        <v/>
      </c>
      <c r="X120" s="218" t="str">
        <f aca="false">IF('Bulk Order Details'!J130="","",D120+Q120+V120)</f>
        <v/>
      </c>
      <c r="Y120" s="219" t="str">
        <f aca="false">IFERROR((W120-X120)/W120,"")</f>
        <v/>
      </c>
      <c r="Z120" s="220" t="str">
        <f aca="false">IF('Bulk Order Details'!J130="","",MAX(1,'Bulk Order Details'!D130))</f>
        <v/>
      </c>
      <c r="AA120" s="217" t="str">
        <f aca="false">IF(Pricing_Details[[#This Row],[Quantity]]="","",Pricing_Details[[#This Row],[Retail Price]]*Pricing_Details[[#This Row],[Quantity]])</f>
        <v/>
      </c>
      <c r="AB120" s="217" t="str">
        <f aca="false">IF(Pricing_Details[[#This Row],[Quantity]]="","",Pricing_Details[[#This Row],[Total Discount]]*Pricing_Details[[#This Row],[Quantity]])</f>
        <v/>
      </c>
      <c r="AC120" s="221" t="str">
        <f aca="false">IFERROR(ROUND(Pricing_Details[[#This Row],[Actual Price]]*Pricing_Details[[#This Row],[Quantity]],2),"")</f>
        <v/>
      </c>
      <c r="AE120" s="179" t="str">
        <f aca="false">IF('Bulk Order Details'!J130="","",VLOOKUP('Bulk Order Details'!H130,Collection[],3)&amp;VLOOKUP('Bulk Order Details'!J130,Collar[],4)&amp;VLOOKUP('Bulk Order Details'!I130,Sleeve[],4))</f>
        <v/>
      </c>
      <c r="AF120" s="179" t="str">
        <f aca="false">IF('Bulk Order Details'!J130="","",LOOKUP('Bulk Order Details'!E130,Cut[Display],Cut[Code])&amp;LOOKUP('Bulk Order Details'!F130,#REF!,#REF!)&amp;IF('Bulk Order Details'!G130="","",LOOKUP('Bulk Order Details'!G130,Length[Display],Length[Code])))</f>
        <v/>
      </c>
      <c r="AG120" s="179" t="str">
        <f aca="false">IF('Bulk Order Details'!J130="","",IF('Bulk Order Details'!C130="","",'Bulk Order Details'!C130))</f>
        <v/>
      </c>
      <c r="AH120" s="179" t="str">
        <f aca="false">IF('Bulk Order Details'!O130="","","-"&amp;LOOKUP('Bulk Order Details'!O130,#REF!,#REF!))</f>
        <v/>
      </c>
      <c r="AI120" s="179" t="str">
        <f aca="false">IF('Bulk Order Details'!P130="","","-"&amp;LOOKUP('Bulk Order Details'!P130,#REF!,#REF!))</f>
        <v/>
      </c>
      <c r="AJ120" s="179" t="str">
        <f aca="false">IF('Bulk Order Details'!Q130="","","-"&amp;LOOKUP('Bulk Order Details'!Q130,#REF!,#REF!))</f>
        <v/>
      </c>
      <c r="AK120" s="179" t="str">
        <f aca="false">IF('Bulk Order Details'!R130="","","-"&amp;LOOKUP('Bulk Order Details'!R130,#REF!,#REF!))</f>
        <v/>
      </c>
      <c r="AL120" s="179" t="str">
        <f aca="false">IF('Bulk Order Details'!S130="","","-"&amp;LOOKUP('Bulk Order Details'!S130,#REF!,#REF!))</f>
        <v/>
      </c>
      <c r="AM120" s="179" t="str">
        <f aca="false">IF(_xlfn.CONCAT(AH120:AL120)="","","Lo"&amp;_xlfn.CONCAT(AH120:AL120))</f>
        <v/>
      </c>
      <c r="AN120" s="179" t="str">
        <f aca="false">IF('Bulk Order Details'!K130="","","Na-"&amp;'Bulk Order Details'!K130)</f>
        <v/>
      </c>
      <c r="AO120" s="179" t="str">
        <f aca="false">IF('Bulk Order Details'!N130="","","Fo-"&amp;'Bulk Order Details'!N130)</f>
        <v/>
      </c>
      <c r="AP120" s="179" t="str">
        <f aca="false">IF(AE120="","",AE120&amp;"_"&amp;AF120&amp;"_"&amp;AG120&amp;IF(AM120="","","_"&amp;AM120)&amp;IF(AN120="","","_"&amp;AN120)&amp;IF(AO120="","","_"&amp;AO120))</f>
        <v/>
      </c>
      <c r="AQ120" s="218" t="str">
        <f aca="false">IF(X120="","",X120)</f>
        <v/>
      </c>
    </row>
    <row r="121" customFormat="false" ht="15" hidden="false" customHeight="true" outlineLevel="0" collapsed="false">
      <c r="B121" s="209" t="n">
        <f aca="false">'Bulk Order Details'!B131</f>
        <v>118</v>
      </c>
      <c r="C121" s="209" t="e">
        <f aca="false">IF('bulk order details'!#ref!="","",'bulk order details'!#ref!&amp;" "&amp;'bulk order details'!#ref!)</f>
        <v>#VALUE!</v>
      </c>
      <c r="D121" s="210" t="str">
        <f aca="false">IF('Bulk Order Details'!J131="","",VLOOKUP(1,Price[],3))</f>
        <v/>
      </c>
      <c r="E121" s="211" t="str">
        <f aca="false">IF('Bulk Order Details'!J131="","",Summary!$D$9)</f>
        <v/>
      </c>
      <c r="F121" s="212" t="str">
        <f aca="false">IF('Bulk Order Details'!F131="","",_xlfn.xlookup('Bulk Order Details'!F131,Size[Display],Size[Price]))</f>
        <v/>
      </c>
      <c r="G121" s="212" t="str">
        <f aca="false">IF('Bulk Order Details'!G131="","",_xlfn.xlookup('Bulk Order Details'!G131,Length[Display],Length[Price]))</f>
        <v/>
      </c>
      <c r="H121" s="212" t="str">
        <f aca="false">IF('Bulk Order Details'!H131="","",_xlfn.xlookup('Bulk Order Details'!H131,Collection[Display],Collection[Price]))</f>
        <v/>
      </c>
      <c r="I121" s="212" t="str">
        <f aca="false">IF('Bulk Order Details'!I131="","",_xlfn.xlookup('Bulk Order Details'!I131,Sleeve[Display],Sleeve[Price]))</f>
        <v/>
      </c>
      <c r="J121" s="212" t="str">
        <f aca="false">IF('Bulk Order Details'!J131="","",_xlfn.xlookup('Bulk Order Details'!J131,Collar[Display],Collar[Price]))</f>
        <v/>
      </c>
      <c r="K121" s="212" t="str">
        <f aca="false">IF('Bulk Order Details'!K131="","",_xlfn.xlookup("Name",Name[Name],Name[Price]))</f>
        <v/>
      </c>
      <c r="L121" s="213" t="str">
        <f aca="false">IFERROR(IF('Bulk Order Details'!O131="","",IF(_xlfn.xlookup('Bulk Order Details'!O131,Logos[Display],Logos[Use])="Flat",_xlfn.xlookup('Bulk Order Details'!O131,Logos[Display],Logos[Flat]),ROUND(_xlfn.xlookup('Bulk Order Details'!O131,Logos[Display],Logos[Pct])*$E121,2))),"")</f>
        <v/>
      </c>
      <c r="M121" s="222" t="str">
        <f aca="false">IFERROR(IF('Bulk Order Details'!P131="","",IF(_xlfn.xlookup('Bulk Order Details'!P131,Chest[Display],Chest[Use])="Flat",_xlfn.xlookup('Bulk Order Details'!P131,Chest[Display],Chest[Flat]),ROUND(_xlfn.xlookup('Bulk Order Details'!P131,Chest[Display],Chest[Pct])*$E121,2))),"")</f>
        <v/>
      </c>
      <c r="N121" s="222" t="str">
        <f aca="false">IFERROR(IF('Bulk Order Details'!Q131="","",IF(_xlfn.xlookup('Bulk Order Details'!Q131,Chest[Display],Chest[Use])="Flat",_xlfn.xlookup('Bulk Order Details'!Q131,Chest[Display],Chest[Flat]),ROUND(_xlfn.xlookup('Bulk Order Details'!Q131,Chest[Display],Chest[Pct])*$E121,2))),"")</f>
        <v/>
      </c>
      <c r="O121" s="222" t="str">
        <f aca="false">IFERROR(IF('Bulk Order Details'!R131="","",IF(_xlfn.xlookup('Bulk Order Details'!R131,LeftSleeve[Display],LeftSleeve[Use])="Flat",_xlfn.xlookup('Bulk Order Details'!R131,LeftSleeve[Display],LeftSleeve[Flat]),ROUND(_xlfn.xlookup('Bulk Order Details'!R131,LeftSleeve[Display],LeftSleeve[Pct])*$E121,2))),"")</f>
        <v/>
      </c>
      <c r="P121" s="222" t="str">
        <f aca="false">IFERROR(IF('Bulk Order Details'!S131="","",IF(_xlfn.xlookup('Bulk Order Details'!S131,RightSleeve[Display],RightSleeve[Use])="Flat",_xlfn.xlookup('Bulk Order Details'!S131,RightSleeve[Display],RightSleeve[Flat]),ROUND(_xlfn.xlookup('Bulk Order Details'!S131,RightSleeve[Display],RightSleeve[Pct])*$E121,2))),"")</f>
        <v/>
      </c>
      <c r="Q121" s="214" t="str">
        <f aca="false">IF('Bulk Order Details'!J131="","",SUM(F121:P121))</f>
        <v/>
      </c>
      <c r="R121" s="213" t="str">
        <f aca="false">IFERROR(E121-D121,"")</f>
        <v/>
      </c>
      <c r="S121" s="215" t="str">
        <f aca="false">IFERROR(MIN(IF(Summary!$D$11="Yes",-J121,0),IF(H121&gt;0,-J121,0)),"")</f>
        <v/>
      </c>
      <c r="T121" s="212" t="str">
        <f aca="false">IFERROR(IF(Summary!$D$10="Yes",-K121,""),"")</f>
        <v/>
      </c>
      <c r="U121" s="213" t="str">
        <f aca="false">IFERROR(IF(Summary!$D$12="Yes",-L121,""),"")</f>
        <v/>
      </c>
      <c r="V121" s="216" t="str">
        <f aca="false">IF('Bulk Order Details'!J131="","",SUM(R121:U121))</f>
        <v/>
      </c>
      <c r="W121" s="217" t="str">
        <f aca="false">IF('Bulk Order Details'!J131="","",D121+Q121)</f>
        <v/>
      </c>
      <c r="X121" s="218" t="str">
        <f aca="false">IF('Bulk Order Details'!J131="","",D121+Q121+V121)</f>
        <v/>
      </c>
      <c r="Y121" s="219" t="str">
        <f aca="false">IFERROR((W121-X121)/W121,"")</f>
        <v/>
      </c>
      <c r="Z121" s="220" t="str">
        <f aca="false">IF('Bulk Order Details'!J131="","",MAX(1,'Bulk Order Details'!D131))</f>
        <v/>
      </c>
      <c r="AA121" s="217" t="str">
        <f aca="false">IF(Pricing_Details[[#This Row],[Quantity]]="","",Pricing_Details[[#This Row],[Retail Price]]*Pricing_Details[[#This Row],[Quantity]])</f>
        <v/>
      </c>
      <c r="AB121" s="217" t="str">
        <f aca="false">IF(Pricing_Details[[#This Row],[Quantity]]="","",Pricing_Details[[#This Row],[Total Discount]]*Pricing_Details[[#This Row],[Quantity]])</f>
        <v/>
      </c>
      <c r="AC121" s="221" t="str">
        <f aca="false">IFERROR(ROUND(Pricing_Details[[#This Row],[Actual Price]]*Pricing_Details[[#This Row],[Quantity]],2),"")</f>
        <v/>
      </c>
      <c r="AE121" s="179" t="str">
        <f aca="false">IF('Bulk Order Details'!J131="","",VLOOKUP('Bulk Order Details'!H131,Collection[],3)&amp;VLOOKUP('Bulk Order Details'!J131,Collar[],4)&amp;VLOOKUP('Bulk Order Details'!I131,Sleeve[],4))</f>
        <v/>
      </c>
      <c r="AF121" s="179" t="str">
        <f aca="false">IF('Bulk Order Details'!J131="","",LOOKUP('Bulk Order Details'!E131,Cut[Display],Cut[Code])&amp;LOOKUP('Bulk Order Details'!F131,#REF!,#REF!)&amp;IF('Bulk Order Details'!G131="","",LOOKUP('Bulk Order Details'!G131,Length[Display],Length[Code])))</f>
        <v/>
      </c>
      <c r="AG121" s="179" t="str">
        <f aca="false">IF('Bulk Order Details'!J131="","",IF('Bulk Order Details'!C131="","",'Bulk Order Details'!C131))</f>
        <v/>
      </c>
      <c r="AH121" s="179" t="str">
        <f aca="false">IF('Bulk Order Details'!O131="","","-"&amp;LOOKUP('Bulk Order Details'!O131,#REF!,#REF!))</f>
        <v/>
      </c>
      <c r="AI121" s="179" t="str">
        <f aca="false">IF('Bulk Order Details'!P131="","","-"&amp;LOOKUP('Bulk Order Details'!P131,#REF!,#REF!))</f>
        <v/>
      </c>
      <c r="AJ121" s="179" t="str">
        <f aca="false">IF('Bulk Order Details'!Q131="","","-"&amp;LOOKUP('Bulk Order Details'!Q131,#REF!,#REF!))</f>
        <v/>
      </c>
      <c r="AK121" s="179" t="str">
        <f aca="false">IF('Bulk Order Details'!R131="","","-"&amp;LOOKUP('Bulk Order Details'!R131,#REF!,#REF!))</f>
        <v/>
      </c>
      <c r="AL121" s="179" t="str">
        <f aca="false">IF('Bulk Order Details'!S131="","","-"&amp;LOOKUP('Bulk Order Details'!S131,#REF!,#REF!))</f>
        <v/>
      </c>
      <c r="AM121" s="179" t="str">
        <f aca="false">IF(_xlfn.CONCAT(AH121:AL121)="","","Lo"&amp;_xlfn.CONCAT(AH121:AL121))</f>
        <v/>
      </c>
      <c r="AN121" s="179" t="str">
        <f aca="false">IF('Bulk Order Details'!K131="","","Na-"&amp;'Bulk Order Details'!K131)</f>
        <v/>
      </c>
      <c r="AO121" s="179" t="str">
        <f aca="false">IF('Bulk Order Details'!N131="","","Fo-"&amp;'Bulk Order Details'!N131)</f>
        <v/>
      </c>
      <c r="AP121" s="179" t="str">
        <f aca="false">IF(AE121="","",AE121&amp;"_"&amp;AF121&amp;"_"&amp;AG121&amp;IF(AM121="","","_"&amp;AM121)&amp;IF(AN121="","","_"&amp;AN121)&amp;IF(AO121="","","_"&amp;AO121))</f>
        <v/>
      </c>
      <c r="AQ121" s="218" t="str">
        <f aca="false">IF(X121="","",X121)</f>
        <v/>
      </c>
    </row>
    <row r="122" customFormat="false" ht="15" hidden="false" customHeight="true" outlineLevel="0" collapsed="false">
      <c r="B122" s="209" t="n">
        <f aca="false">'Bulk Order Details'!B132</f>
        <v>119</v>
      </c>
      <c r="C122" s="209" t="e">
        <f aca="false">IF('bulk order details'!#ref!="","",'bulk order details'!#ref!&amp;" "&amp;'bulk order details'!#ref!)</f>
        <v>#VALUE!</v>
      </c>
      <c r="D122" s="210" t="str">
        <f aca="false">IF('Bulk Order Details'!J132="","",VLOOKUP(1,Price[],3))</f>
        <v/>
      </c>
      <c r="E122" s="211" t="str">
        <f aca="false">IF('Bulk Order Details'!J132="","",Summary!$D$9)</f>
        <v/>
      </c>
      <c r="F122" s="212" t="str">
        <f aca="false">IF('Bulk Order Details'!F132="","",_xlfn.xlookup('Bulk Order Details'!F132,Size[Display],Size[Price]))</f>
        <v/>
      </c>
      <c r="G122" s="212" t="str">
        <f aca="false">IF('Bulk Order Details'!G132="","",_xlfn.xlookup('Bulk Order Details'!G132,Length[Display],Length[Price]))</f>
        <v/>
      </c>
      <c r="H122" s="212" t="str">
        <f aca="false">IF('Bulk Order Details'!H132="","",_xlfn.xlookup('Bulk Order Details'!H132,Collection[Display],Collection[Price]))</f>
        <v/>
      </c>
      <c r="I122" s="212" t="str">
        <f aca="false">IF('Bulk Order Details'!I132="","",_xlfn.xlookup('Bulk Order Details'!I132,Sleeve[Display],Sleeve[Price]))</f>
        <v/>
      </c>
      <c r="J122" s="212" t="str">
        <f aca="false">IF('Bulk Order Details'!J132="","",_xlfn.xlookup('Bulk Order Details'!J132,Collar[Display],Collar[Price]))</f>
        <v/>
      </c>
      <c r="K122" s="212" t="str">
        <f aca="false">IF('Bulk Order Details'!K132="","",_xlfn.xlookup("Name",Name[Name],Name[Price]))</f>
        <v/>
      </c>
      <c r="L122" s="213" t="str">
        <f aca="false">IFERROR(IF('Bulk Order Details'!O132="","",IF(_xlfn.xlookup('Bulk Order Details'!O132,Logos[Display],Logos[Use])="Flat",_xlfn.xlookup('Bulk Order Details'!O132,Logos[Display],Logos[Flat]),ROUND(_xlfn.xlookup('Bulk Order Details'!O132,Logos[Display],Logos[Pct])*$E122,2))),"")</f>
        <v/>
      </c>
      <c r="M122" s="222" t="str">
        <f aca="false">IFERROR(IF('Bulk Order Details'!P132="","",IF(_xlfn.xlookup('Bulk Order Details'!P132,Chest[Display],Chest[Use])="Flat",_xlfn.xlookup('Bulk Order Details'!P132,Chest[Display],Chest[Flat]),ROUND(_xlfn.xlookup('Bulk Order Details'!P132,Chest[Display],Chest[Pct])*$E122,2))),"")</f>
        <v/>
      </c>
      <c r="N122" s="222" t="str">
        <f aca="false">IFERROR(IF('Bulk Order Details'!Q132="","",IF(_xlfn.xlookup('Bulk Order Details'!Q132,Chest[Display],Chest[Use])="Flat",_xlfn.xlookup('Bulk Order Details'!Q132,Chest[Display],Chest[Flat]),ROUND(_xlfn.xlookup('Bulk Order Details'!Q132,Chest[Display],Chest[Pct])*$E122,2))),"")</f>
        <v/>
      </c>
      <c r="O122" s="222" t="str">
        <f aca="false">IFERROR(IF('Bulk Order Details'!R132="","",IF(_xlfn.xlookup('Bulk Order Details'!R132,LeftSleeve[Display],LeftSleeve[Use])="Flat",_xlfn.xlookup('Bulk Order Details'!R132,LeftSleeve[Display],LeftSleeve[Flat]),ROUND(_xlfn.xlookup('Bulk Order Details'!R132,LeftSleeve[Display],LeftSleeve[Pct])*$E122,2))),"")</f>
        <v/>
      </c>
      <c r="P122" s="222" t="str">
        <f aca="false">IFERROR(IF('Bulk Order Details'!S132="","",IF(_xlfn.xlookup('Bulk Order Details'!S132,RightSleeve[Display],RightSleeve[Use])="Flat",_xlfn.xlookup('Bulk Order Details'!S132,RightSleeve[Display],RightSleeve[Flat]),ROUND(_xlfn.xlookup('Bulk Order Details'!S132,RightSleeve[Display],RightSleeve[Pct])*$E122,2))),"")</f>
        <v/>
      </c>
      <c r="Q122" s="214" t="str">
        <f aca="false">IF('Bulk Order Details'!J132="","",SUM(F122:P122))</f>
        <v/>
      </c>
      <c r="R122" s="213" t="str">
        <f aca="false">IFERROR(E122-D122,"")</f>
        <v/>
      </c>
      <c r="S122" s="215" t="str">
        <f aca="false">IFERROR(MIN(IF(Summary!$D$11="Yes",-J122,0),IF(H122&gt;0,-J122,0)),"")</f>
        <v/>
      </c>
      <c r="T122" s="212" t="str">
        <f aca="false">IFERROR(IF(Summary!$D$10="Yes",-K122,""),"")</f>
        <v/>
      </c>
      <c r="U122" s="213" t="str">
        <f aca="false">IFERROR(IF(Summary!$D$12="Yes",-L122,""),"")</f>
        <v/>
      </c>
      <c r="V122" s="216" t="str">
        <f aca="false">IF('Bulk Order Details'!J132="","",SUM(R122:U122))</f>
        <v/>
      </c>
      <c r="W122" s="217" t="str">
        <f aca="false">IF('Bulk Order Details'!J132="","",D122+Q122)</f>
        <v/>
      </c>
      <c r="X122" s="218" t="str">
        <f aca="false">IF('Bulk Order Details'!J132="","",D122+Q122+V122)</f>
        <v/>
      </c>
      <c r="Y122" s="219" t="str">
        <f aca="false">IFERROR((W122-X122)/W122,"")</f>
        <v/>
      </c>
      <c r="Z122" s="220" t="str">
        <f aca="false">IF('Bulk Order Details'!J132="","",MAX(1,'Bulk Order Details'!D132))</f>
        <v/>
      </c>
      <c r="AA122" s="217" t="str">
        <f aca="false">IF(Pricing_Details[[#This Row],[Quantity]]="","",Pricing_Details[[#This Row],[Retail Price]]*Pricing_Details[[#This Row],[Quantity]])</f>
        <v/>
      </c>
      <c r="AB122" s="217" t="str">
        <f aca="false">IF(Pricing_Details[[#This Row],[Quantity]]="","",Pricing_Details[[#This Row],[Total Discount]]*Pricing_Details[[#This Row],[Quantity]])</f>
        <v/>
      </c>
      <c r="AC122" s="221" t="str">
        <f aca="false">IFERROR(ROUND(Pricing_Details[[#This Row],[Actual Price]]*Pricing_Details[[#This Row],[Quantity]],2),"")</f>
        <v/>
      </c>
      <c r="AE122" s="179" t="str">
        <f aca="false">IF('Bulk Order Details'!J132="","",VLOOKUP('Bulk Order Details'!H132,Collection[],3)&amp;VLOOKUP('Bulk Order Details'!J132,Collar[],4)&amp;VLOOKUP('Bulk Order Details'!I132,Sleeve[],4))</f>
        <v/>
      </c>
      <c r="AF122" s="179" t="str">
        <f aca="false">IF('Bulk Order Details'!J132="","",LOOKUP('Bulk Order Details'!E132,Cut[Display],Cut[Code])&amp;LOOKUP('Bulk Order Details'!F132,#REF!,#REF!)&amp;IF('Bulk Order Details'!G132="","",LOOKUP('Bulk Order Details'!G132,Length[Display],Length[Code])))</f>
        <v/>
      </c>
      <c r="AG122" s="179" t="str">
        <f aca="false">IF('Bulk Order Details'!J132="","",IF('Bulk Order Details'!C132="","",'Bulk Order Details'!C132))</f>
        <v/>
      </c>
      <c r="AH122" s="179" t="str">
        <f aca="false">IF('Bulk Order Details'!O132="","","-"&amp;LOOKUP('Bulk Order Details'!O132,#REF!,#REF!))</f>
        <v/>
      </c>
      <c r="AI122" s="179" t="str">
        <f aca="false">IF('Bulk Order Details'!P132="","","-"&amp;LOOKUP('Bulk Order Details'!P132,#REF!,#REF!))</f>
        <v/>
      </c>
      <c r="AJ122" s="179" t="str">
        <f aca="false">IF('Bulk Order Details'!Q132="","","-"&amp;LOOKUP('Bulk Order Details'!Q132,#REF!,#REF!))</f>
        <v/>
      </c>
      <c r="AK122" s="179" t="str">
        <f aca="false">IF('Bulk Order Details'!R132="","","-"&amp;LOOKUP('Bulk Order Details'!R132,#REF!,#REF!))</f>
        <v/>
      </c>
      <c r="AL122" s="179" t="str">
        <f aca="false">IF('Bulk Order Details'!S132="","","-"&amp;LOOKUP('Bulk Order Details'!S132,#REF!,#REF!))</f>
        <v/>
      </c>
      <c r="AM122" s="179" t="str">
        <f aca="false">IF(_xlfn.CONCAT(AH122:AL122)="","","Lo"&amp;_xlfn.CONCAT(AH122:AL122))</f>
        <v/>
      </c>
      <c r="AN122" s="179" t="str">
        <f aca="false">IF('Bulk Order Details'!K132="","","Na-"&amp;'Bulk Order Details'!K132)</f>
        <v/>
      </c>
      <c r="AO122" s="179" t="str">
        <f aca="false">IF('Bulk Order Details'!N132="","","Fo-"&amp;'Bulk Order Details'!N132)</f>
        <v/>
      </c>
      <c r="AP122" s="179" t="str">
        <f aca="false">IF(AE122="","",AE122&amp;"_"&amp;AF122&amp;"_"&amp;AG122&amp;IF(AM122="","","_"&amp;AM122)&amp;IF(AN122="","","_"&amp;AN122)&amp;IF(AO122="","","_"&amp;AO122))</f>
        <v/>
      </c>
      <c r="AQ122" s="218" t="str">
        <f aca="false">IF(X122="","",X122)</f>
        <v/>
      </c>
    </row>
    <row r="123" customFormat="false" ht="15" hidden="false" customHeight="true" outlineLevel="0" collapsed="false">
      <c r="B123" s="209" t="n">
        <f aca="false">'Bulk Order Details'!B133</f>
        <v>120</v>
      </c>
      <c r="C123" s="209" t="e">
        <f aca="false">IF('bulk order details'!#ref!="","",'bulk order details'!#ref!&amp;" "&amp;'bulk order details'!#ref!)</f>
        <v>#VALUE!</v>
      </c>
      <c r="D123" s="210" t="str">
        <f aca="false">IF('Bulk Order Details'!J133="","",VLOOKUP(1,Price[],3))</f>
        <v/>
      </c>
      <c r="E123" s="211" t="str">
        <f aca="false">IF('Bulk Order Details'!J133="","",Summary!$D$9)</f>
        <v/>
      </c>
      <c r="F123" s="212" t="str">
        <f aca="false">IF('Bulk Order Details'!F133="","",_xlfn.xlookup('Bulk Order Details'!F133,Size[Display],Size[Price]))</f>
        <v/>
      </c>
      <c r="G123" s="212" t="str">
        <f aca="false">IF('Bulk Order Details'!G133="","",_xlfn.xlookup('Bulk Order Details'!G133,Length[Display],Length[Price]))</f>
        <v/>
      </c>
      <c r="H123" s="212" t="str">
        <f aca="false">IF('Bulk Order Details'!H133="","",_xlfn.xlookup('Bulk Order Details'!H133,Collection[Display],Collection[Price]))</f>
        <v/>
      </c>
      <c r="I123" s="212" t="str">
        <f aca="false">IF('Bulk Order Details'!I133="","",_xlfn.xlookup('Bulk Order Details'!I133,Sleeve[Display],Sleeve[Price]))</f>
        <v/>
      </c>
      <c r="J123" s="212" t="str">
        <f aca="false">IF('Bulk Order Details'!J133="","",_xlfn.xlookup('Bulk Order Details'!J133,Collar[Display],Collar[Price]))</f>
        <v/>
      </c>
      <c r="K123" s="212" t="str">
        <f aca="false">IF('Bulk Order Details'!K133="","",_xlfn.xlookup("Name",Name[Name],Name[Price]))</f>
        <v/>
      </c>
      <c r="L123" s="213" t="str">
        <f aca="false">IFERROR(IF('Bulk Order Details'!O133="","",IF(_xlfn.xlookup('Bulk Order Details'!O133,Logos[Display],Logos[Use])="Flat",_xlfn.xlookup('Bulk Order Details'!O133,Logos[Display],Logos[Flat]),ROUND(_xlfn.xlookup('Bulk Order Details'!O133,Logos[Display],Logos[Pct])*$E123,2))),"")</f>
        <v/>
      </c>
      <c r="M123" s="222" t="str">
        <f aca="false">IFERROR(IF('Bulk Order Details'!P133="","",IF(_xlfn.xlookup('Bulk Order Details'!P133,Chest[Display],Chest[Use])="Flat",_xlfn.xlookup('Bulk Order Details'!P133,Chest[Display],Chest[Flat]),ROUND(_xlfn.xlookup('Bulk Order Details'!P133,Chest[Display],Chest[Pct])*$E123,2))),"")</f>
        <v/>
      </c>
      <c r="N123" s="222" t="str">
        <f aca="false">IFERROR(IF('Bulk Order Details'!Q133="","",IF(_xlfn.xlookup('Bulk Order Details'!Q133,Chest[Display],Chest[Use])="Flat",_xlfn.xlookup('Bulk Order Details'!Q133,Chest[Display],Chest[Flat]),ROUND(_xlfn.xlookup('Bulk Order Details'!Q133,Chest[Display],Chest[Pct])*$E123,2))),"")</f>
        <v/>
      </c>
      <c r="O123" s="222" t="str">
        <f aca="false">IFERROR(IF('Bulk Order Details'!R133="","",IF(_xlfn.xlookup('Bulk Order Details'!R133,LeftSleeve[Display],LeftSleeve[Use])="Flat",_xlfn.xlookup('Bulk Order Details'!R133,LeftSleeve[Display],LeftSleeve[Flat]),ROUND(_xlfn.xlookup('Bulk Order Details'!R133,LeftSleeve[Display],LeftSleeve[Pct])*$E123,2))),"")</f>
        <v/>
      </c>
      <c r="P123" s="222" t="str">
        <f aca="false">IFERROR(IF('Bulk Order Details'!S133="","",IF(_xlfn.xlookup('Bulk Order Details'!S133,RightSleeve[Display],RightSleeve[Use])="Flat",_xlfn.xlookup('Bulk Order Details'!S133,RightSleeve[Display],RightSleeve[Flat]),ROUND(_xlfn.xlookup('Bulk Order Details'!S133,RightSleeve[Display],RightSleeve[Pct])*$E123,2))),"")</f>
        <v/>
      </c>
      <c r="Q123" s="214" t="str">
        <f aca="false">IF('Bulk Order Details'!J133="","",SUM(F123:P123))</f>
        <v/>
      </c>
      <c r="R123" s="213" t="str">
        <f aca="false">IFERROR(E123-D123,"")</f>
        <v/>
      </c>
      <c r="S123" s="215" t="str">
        <f aca="false">IFERROR(MIN(IF(Summary!$D$11="Yes",-J123,0),IF(H123&gt;0,-J123,0)),"")</f>
        <v/>
      </c>
      <c r="T123" s="212" t="str">
        <f aca="false">IFERROR(IF(Summary!$D$10="Yes",-K123,""),"")</f>
        <v/>
      </c>
      <c r="U123" s="213" t="str">
        <f aca="false">IFERROR(IF(Summary!$D$12="Yes",-L123,""),"")</f>
        <v/>
      </c>
      <c r="V123" s="216" t="str">
        <f aca="false">IF('Bulk Order Details'!J133="","",SUM(R123:U123))</f>
        <v/>
      </c>
      <c r="W123" s="217" t="str">
        <f aca="false">IF('Bulk Order Details'!J133="","",D123+Q123)</f>
        <v/>
      </c>
      <c r="X123" s="218" t="str">
        <f aca="false">IF('Bulk Order Details'!J133="","",D123+Q123+V123)</f>
        <v/>
      </c>
      <c r="Y123" s="219" t="str">
        <f aca="false">IFERROR((W123-X123)/W123,"")</f>
        <v/>
      </c>
      <c r="Z123" s="220" t="str">
        <f aca="false">IF('Bulk Order Details'!J133="","",MAX(1,'Bulk Order Details'!D133))</f>
        <v/>
      </c>
      <c r="AA123" s="217" t="str">
        <f aca="false">IF(Pricing_Details[[#This Row],[Quantity]]="","",Pricing_Details[[#This Row],[Retail Price]]*Pricing_Details[[#This Row],[Quantity]])</f>
        <v/>
      </c>
      <c r="AB123" s="217" t="str">
        <f aca="false">IF(Pricing_Details[[#This Row],[Quantity]]="","",Pricing_Details[[#This Row],[Total Discount]]*Pricing_Details[[#This Row],[Quantity]])</f>
        <v/>
      </c>
      <c r="AC123" s="221" t="str">
        <f aca="false">IFERROR(ROUND(Pricing_Details[[#This Row],[Actual Price]]*Pricing_Details[[#This Row],[Quantity]],2),"")</f>
        <v/>
      </c>
      <c r="AE123" s="179" t="str">
        <f aca="false">IF('Bulk Order Details'!J133="","",VLOOKUP('Bulk Order Details'!H133,Collection[],3)&amp;VLOOKUP('Bulk Order Details'!J133,Collar[],4)&amp;VLOOKUP('Bulk Order Details'!I133,Sleeve[],4))</f>
        <v/>
      </c>
      <c r="AF123" s="179" t="str">
        <f aca="false">IF('Bulk Order Details'!J133="","",LOOKUP('Bulk Order Details'!E133,Cut[Display],Cut[Code])&amp;LOOKUP('Bulk Order Details'!F133,#REF!,#REF!)&amp;IF('Bulk Order Details'!G133="","",LOOKUP('Bulk Order Details'!G133,Length[Display],Length[Code])))</f>
        <v/>
      </c>
      <c r="AG123" s="179" t="str">
        <f aca="false">IF('Bulk Order Details'!J133="","",IF('Bulk Order Details'!C133="","",'Bulk Order Details'!C133))</f>
        <v/>
      </c>
      <c r="AH123" s="179" t="str">
        <f aca="false">IF('Bulk Order Details'!O133="","","-"&amp;LOOKUP('Bulk Order Details'!O133,#REF!,#REF!))</f>
        <v/>
      </c>
      <c r="AI123" s="179" t="str">
        <f aca="false">IF('Bulk Order Details'!P133="","","-"&amp;LOOKUP('Bulk Order Details'!P133,#REF!,#REF!))</f>
        <v/>
      </c>
      <c r="AJ123" s="179" t="str">
        <f aca="false">IF('Bulk Order Details'!Q133="","","-"&amp;LOOKUP('Bulk Order Details'!Q133,#REF!,#REF!))</f>
        <v/>
      </c>
      <c r="AK123" s="179" t="str">
        <f aca="false">IF('Bulk Order Details'!R133="","","-"&amp;LOOKUP('Bulk Order Details'!R133,#REF!,#REF!))</f>
        <v/>
      </c>
      <c r="AL123" s="179" t="str">
        <f aca="false">IF('Bulk Order Details'!S133="","","-"&amp;LOOKUP('Bulk Order Details'!S133,#REF!,#REF!))</f>
        <v/>
      </c>
      <c r="AM123" s="179" t="str">
        <f aca="false">IF(_xlfn.CONCAT(AH123:AL123)="","","Lo"&amp;_xlfn.CONCAT(AH123:AL123))</f>
        <v/>
      </c>
      <c r="AN123" s="179" t="str">
        <f aca="false">IF('Bulk Order Details'!K133="","","Na-"&amp;'Bulk Order Details'!K133)</f>
        <v/>
      </c>
      <c r="AO123" s="179" t="str">
        <f aca="false">IF('Bulk Order Details'!N133="","","Fo-"&amp;'Bulk Order Details'!N133)</f>
        <v/>
      </c>
      <c r="AP123" s="179" t="str">
        <f aca="false">IF(AE123="","",AE123&amp;"_"&amp;AF123&amp;"_"&amp;AG123&amp;IF(AM123="","","_"&amp;AM123)&amp;IF(AN123="","","_"&amp;AN123)&amp;IF(AO123="","","_"&amp;AO123))</f>
        <v/>
      </c>
      <c r="AQ123" s="218" t="str">
        <f aca="false">IF(X123="","",X123)</f>
        <v/>
      </c>
    </row>
    <row r="124" customFormat="false" ht="15" hidden="false" customHeight="true" outlineLevel="0" collapsed="false">
      <c r="B124" s="209" t="n">
        <f aca="false">'Bulk Order Details'!B134</f>
        <v>121</v>
      </c>
      <c r="C124" s="209" t="e">
        <f aca="false">IF('bulk order details'!#ref!="","",'bulk order details'!#ref!&amp;" "&amp;'bulk order details'!#ref!)</f>
        <v>#VALUE!</v>
      </c>
      <c r="D124" s="210" t="str">
        <f aca="false">IF('Bulk Order Details'!J134="","",VLOOKUP(1,Price[],3))</f>
        <v/>
      </c>
      <c r="E124" s="211" t="str">
        <f aca="false">IF('Bulk Order Details'!J134="","",Summary!$D$9)</f>
        <v/>
      </c>
      <c r="F124" s="212" t="str">
        <f aca="false">IF('Bulk Order Details'!F134="","",_xlfn.xlookup('Bulk Order Details'!F134,Size[Display],Size[Price]))</f>
        <v/>
      </c>
      <c r="G124" s="212" t="str">
        <f aca="false">IF('Bulk Order Details'!G134="","",_xlfn.xlookup('Bulk Order Details'!G134,Length[Display],Length[Price]))</f>
        <v/>
      </c>
      <c r="H124" s="212" t="str">
        <f aca="false">IF('Bulk Order Details'!H134="","",_xlfn.xlookup('Bulk Order Details'!H134,Collection[Display],Collection[Price]))</f>
        <v/>
      </c>
      <c r="I124" s="212" t="str">
        <f aca="false">IF('Bulk Order Details'!I134="","",_xlfn.xlookup('Bulk Order Details'!I134,Sleeve[Display],Sleeve[Price]))</f>
        <v/>
      </c>
      <c r="J124" s="212" t="str">
        <f aca="false">IF('Bulk Order Details'!J134="","",_xlfn.xlookup('Bulk Order Details'!J134,Collar[Display],Collar[Price]))</f>
        <v/>
      </c>
      <c r="K124" s="212" t="str">
        <f aca="false">IF('Bulk Order Details'!K134="","",_xlfn.xlookup("Name",Name[Name],Name[Price]))</f>
        <v/>
      </c>
      <c r="L124" s="213" t="str">
        <f aca="false">IFERROR(IF('Bulk Order Details'!O134="","",IF(_xlfn.xlookup('Bulk Order Details'!O134,Logos[Display],Logos[Use])="Flat",_xlfn.xlookup('Bulk Order Details'!O134,Logos[Display],Logos[Flat]),ROUND(_xlfn.xlookup('Bulk Order Details'!O134,Logos[Display],Logos[Pct])*$E124,2))),"")</f>
        <v/>
      </c>
      <c r="M124" s="222" t="str">
        <f aca="false">IFERROR(IF('Bulk Order Details'!P134="","",IF(_xlfn.xlookup('Bulk Order Details'!P134,Chest[Display],Chest[Use])="Flat",_xlfn.xlookup('Bulk Order Details'!P134,Chest[Display],Chest[Flat]),ROUND(_xlfn.xlookup('Bulk Order Details'!P134,Chest[Display],Chest[Pct])*$E124,2))),"")</f>
        <v/>
      </c>
      <c r="N124" s="222" t="str">
        <f aca="false">IFERROR(IF('Bulk Order Details'!Q134="","",IF(_xlfn.xlookup('Bulk Order Details'!Q134,Chest[Display],Chest[Use])="Flat",_xlfn.xlookup('Bulk Order Details'!Q134,Chest[Display],Chest[Flat]),ROUND(_xlfn.xlookup('Bulk Order Details'!Q134,Chest[Display],Chest[Pct])*$E124,2))),"")</f>
        <v/>
      </c>
      <c r="O124" s="222" t="str">
        <f aca="false">IFERROR(IF('Bulk Order Details'!R134="","",IF(_xlfn.xlookup('Bulk Order Details'!R134,LeftSleeve[Display],LeftSleeve[Use])="Flat",_xlfn.xlookup('Bulk Order Details'!R134,LeftSleeve[Display],LeftSleeve[Flat]),ROUND(_xlfn.xlookup('Bulk Order Details'!R134,LeftSleeve[Display],LeftSleeve[Pct])*$E124,2))),"")</f>
        <v/>
      </c>
      <c r="P124" s="222" t="str">
        <f aca="false">IFERROR(IF('Bulk Order Details'!S134="","",IF(_xlfn.xlookup('Bulk Order Details'!S134,RightSleeve[Display],RightSleeve[Use])="Flat",_xlfn.xlookup('Bulk Order Details'!S134,RightSleeve[Display],RightSleeve[Flat]),ROUND(_xlfn.xlookup('Bulk Order Details'!S134,RightSleeve[Display],RightSleeve[Pct])*$E124,2))),"")</f>
        <v/>
      </c>
      <c r="Q124" s="214" t="str">
        <f aca="false">IF('Bulk Order Details'!J134="","",SUM(F124:P124))</f>
        <v/>
      </c>
      <c r="R124" s="213" t="str">
        <f aca="false">IFERROR(E124-D124,"")</f>
        <v/>
      </c>
      <c r="S124" s="215" t="str">
        <f aca="false">IFERROR(MIN(IF(Summary!$D$11="Yes",-J124,0),IF(H124&gt;0,-J124,0)),"")</f>
        <v/>
      </c>
      <c r="T124" s="212" t="str">
        <f aca="false">IFERROR(IF(Summary!$D$10="Yes",-K124,""),"")</f>
        <v/>
      </c>
      <c r="U124" s="213" t="str">
        <f aca="false">IFERROR(IF(Summary!$D$12="Yes",-L124,""),"")</f>
        <v/>
      </c>
      <c r="V124" s="216" t="str">
        <f aca="false">IF('Bulk Order Details'!J134="","",SUM(R124:U124))</f>
        <v/>
      </c>
      <c r="W124" s="217" t="str">
        <f aca="false">IF('Bulk Order Details'!J134="","",D124+Q124)</f>
        <v/>
      </c>
      <c r="X124" s="218" t="str">
        <f aca="false">IF('Bulk Order Details'!J134="","",D124+Q124+V124)</f>
        <v/>
      </c>
      <c r="Y124" s="219" t="str">
        <f aca="false">IFERROR((W124-X124)/W124,"")</f>
        <v/>
      </c>
      <c r="Z124" s="220" t="str">
        <f aca="false">IF('Bulk Order Details'!J134="","",MAX(1,'Bulk Order Details'!D134))</f>
        <v/>
      </c>
      <c r="AA124" s="217" t="str">
        <f aca="false">IF(Pricing_Details[[#This Row],[Quantity]]="","",Pricing_Details[[#This Row],[Retail Price]]*Pricing_Details[[#This Row],[Quantity]])</f>
        <v/>
      </c>
      <c r="AB124" s="217" t="str">
        <f aca="false">IF(Pricing_Details[[#This Row],[Quantity]]="","",Pricing_Details[[#This Row],[Total Discount]]*Pricing_Details[[#This Row],[Quantity]])</f>
        <v/>
      </c>
      <c r="AC124" s="221" t="str">
        <f aca="false">IFERROR(ROUND(Pricing_Details[[#This Row],[Actual Price]]*Pricing_Details[[#This Row],[Quantity]],2),"")</f>
        <v/>
      </c>
      <c r="AE124" s="179" t="str">
        <f aca="false">IF('Bulk Order Details'!J134="","",VLOOKUP('Bulk Order Details'!H134,Collection[],3)&amp;VLOOKUP('Bulk Order Details'!J134,Collar[],4)&amp;VLOOKUP('Bulk Order Details'!I134,Sleeve[],4))</f>
        <v/>
      </c>
      <c r="AF124" s="179" t="str">
        <f aca="false">IF('Bulk Order Details'!J134="","",LOOKUP('Bulk Order Details'!E134,Cut[Display],Cut[Code])&amp;LOOKUP('Bulk Order Details'!F134,#REF!,#REF!)&amp;IF('Bulk Order Details'!G134="","",LOOKUP('Bulk Order Details'!G134,Length[Display],Length[Code])))</f>
        <v/>
      </c>
      <c r="AG124" s="179" t="str">
        <f aca="false">IF('Bulk Order Details'!J134="","",IF('Bulk Order Details'!C134="","",'Bulk Order Details'!C134))</f>
        <v/>
      </c>
      <c r="AH124" s="179" t="str">
        <f aca="false">IF('Bulk Order Details'!O134="","","-"&amp;LOOKUP('Bulk Order Details'!O134,#REF!,#REF!))</f>
        <v/>
      </c>
      <c r="AI124" s="179" t="str">
        <f aca="false">IF('Bulk Order Details'!P134="","","-"&amp;LOOKUP('Bulk Order Details'!P134,#REF!,#REF!))</f>
        <v/>
      </c>
      <c r="AJ124" s="179" t="str">
        <f aca="false">IF('Bulk Order Details'!Q134="","","-"&amp;LOOKUP('Bulk Order Details'!Q134,#REF!,#REF!))</f>
        <v/>
      </c>
      <c r="AK124" s="179" t="str">
        <f aca="false">IF('Bulk Order Details'!R134="","","-"&amp;LOOKUP('Bulk Order Details'!R134,#REF!,#REF!))</f>
        <v/>
      </c>
      <c r="AL124" s="179" t="str">
        <f aca="false">IF('Bulk Order Details'!S134="","","-"&amp;LOOKUP('Bulk Order Details'!S134,#REF!,#REF!))</f>
        <v/>
      </c>
      <c r="AM124" s="179" t="str">
        <f aca="false">IF(_xlfn.CONCAT(AH124:AL124)="","","Lo"&amp;_xlfn.CONCAT(AH124:AL124))</f>
        <v/>
      </c>
      <c r="AN124" s="179" t="str">
        <f aca="false">IF('Bulk Order Details'!K134="","","Na-"&amp;'Bulk Order Details'!K134)</f>
        <v/>
      </c>
      <c r="AO124" s="179" t="str">
        <f aca="false">IF('Bulk Order Details'!N134="","","Fo-"&amp;'Bulk Order Details'!N134)</f>
        <v/>
      </c>
      <c r="AP124" s="179" t="str">
        <f aca="false">IF(AE124="","",AE124&amp;"_"&amp;AF124&amp;"_"&amp;AG124&amp;IF(AM124="","","_"&amp;AM124)&amp;IF(AN124="","","_"&amp;AN124)&amp;IF(AO124="","","_"&amp;AO124))</f>
        <v/>
      </c>
      <c r="AQ124" s="218" t="str">
        <f aca="false">IF(X124="","",X124)</f>
        <v/>
      </c>
    </row>
    <row r="125" customFormat="false" ht="15" hidden="false" customHeight="true" outlineLevel="0" collapsed="false">
      <c r="B125" s="209" t="n">
        <f aca="false">'Bulk Order Details'!B135</f>
        <v>122</v>
      </c>
      <c r="C125" s="209" t="e">
        <f aca="false">IF('bulk order details'!#ref!="","",'bulk order details'!#ref!&amp;" "&amp;'bulk order details'!#ref!)</f>
        <v>#VALUE!</v>
      </c>
      <c r="D125" s="210" t="str">
        <f aca="false">IF('Bulk Order Details'!J135="","",VLOOKUP(1,Price[],3))</f>
        <v/>
      </c>
      <c r="E125" s="211" t="str">
        <f aca="false">IF('Bulk Order Details'!J135="","",Summary!$D$9)</f>
        <v/>
      </c>
      <c r="F125" s="212" t="str">
        <f aca="false">IF('Bulk Order Details'!F135="","",_xlfn.xlookup('Bulk Order Details'!F135,Size[Display],Size[Price]))</f>
        <v/>
      </c>
      <c r="G125" s="212" t="str">
        <f aca="false">IF('Bulk Order Details'!G135="","",_xlfn.xlookup('Bulk Order Details'!G135,Length[Display],Length[Price]))</f>
        <v/>
      </c>
      <c r="H125" s="212" t="str">
        <f aca="false">IF('Bulk Order Details'!H135="","",_xlfn.xlookup('Bulk Order Details'!H135,Collection[Display],Collection[Price]))</f>
        <v/>
      </c>
      <c r="I125" s="212" t="str">
        <f aca="false">IF('Bulk Order Details'!I135="","",_xlfn.xlookup('Bulk Order Details'!I135,Sleeve[Display],Sleeve[Price]))</f>
        <v/>
      </c>
      <c r="J125" s="212" t="str">
        <f aca="false">IF('Bulk Order Details'!J135="","",_xlfn.xlookup('Bulk Order Details'!J135,Collar[Display],Collar[Price]))</f>
        <v/>
      </c>
      <c r="K125" s="212" t="str">
        <f aca="false">IF('Bulk Order Details'!K135="","",_xlfn.xlookup("Name",Name[Name],Name[Price]))</f>
        <v/>
      </c>
      <c r="L125" s="213" t="str">
        <f aca="false">IFERROR(IF('Bulk Order Details'!O135="","",IF(_xlfn.xlookup('Bulk Order Details'!O135,Logos[Display],Logos[Use])="Flat",_xlfn.xlookup('Bulk Order Details'!O135,Logos[Display],Logos[Flat]),ROUND(_xlfn.xlookup('Bulk Order Details'!O135,Logos[Display],Logos[Pct])*$E125,2))),"")</f>
        <v/>
      </c>
      <c r="M125" s="222" t="str">
        <f aca="false">IFERROR(IF('Bulk Order Details'!P135="","",IF(_xlfn.xlookup('Bulk Order Details'!P135,Chest[Display],Chest[Use])="Flat",_xlfn.xlookup('Bulk Order Details'!P135,Chest[Display],Chest[Flat]),ROUND(_xlfn.xlookup('Bulk Order Details'!P135,Chest[Display],Chest[Pct])*$E125,2))),"")</f>
        <v/>
      </c>
      <c r="N125" s="222" t="str">
        <f aca="false">IFERROR(IF('Bulk Order Details'!Q135="","",IF(_xlfn.xlookup('Bulk Order Details'!Q135,Chest[Display],Chest[Use])="Flat",_xlfn.xlookup('Bulk Order Details'!Q135,Chest[Display],Chest[Flat]),ROUND(_xlfn.xlookup('Bulk Order Details'!Q135,Chest[Display],Chest[Pct])*$E125,2))),"")</f>
        <v/>
      </c>
      <c r="O125" s="222" t="str">
        <f aca="false">IFERROR(IF('Bulk Order Details'!R135="","",IF(_xlfn.xlookup('Bulk Order Details'!R135,LeftSleeve[Display],LeftSleeve[Use])="Flat",_xlfn.xlookup('Bulk Order Details'!R135,LeftSleeve[Display],LeftSleeve[Flat]),ROUND(_xlfn.xlookup('Bulk Order Details'!R135,LeftSleeve[Display],LeftSleeve[Pct])*$E125,2))),"")</f>
        <v/>
      </c>
      <c r="P125" s="222" t="str">
        <f aca="false">IFERROR(IF('Bulk Order Details'!S135="","",IF(_xlfn.xlookup('Bulk Order Details'!S135,RightSleeve[Display],RightSleeve[Use])="Flat",_xlfn.xlookup('Bulk Order Details'!S135,RightSleeve[Display],RightSleeve[Flat]),ROUND(_xlfn.xlookup('Bulk Order Details'!S135,RightSleeve[Display],RightSleeve[Pct])*$E125,2))),"")</f>
        <v/>
      </c>
      <c r="Q125" s="214" t="str">
        <f aca="false">IF('Bulk Order Details'!J135="","",SUM(F125:P125))</f>
        <v/>
      </c>
      <c r="R125" s="213" t="str">
        <f aca="false">IFERROR(E125-D125,"")</f>
        <v/>
      </c>
      <c r="S125" s="215" t="str">
        <f aca="false">IFERROR(MIN(IF(Summary!$D$11="Yes",-J125,0),IF(H125&gt;0,-J125,0)),"")</f>
        <v/>
      </c>
      <c r="T125" s="212" t="str">
        <f aca="false">IFERROR(IF(Summary!$D$10="Yes",-K125,""),"")</f>
        <v/>
      </c>
      <c r="U125" s="213" t="str">
        <f aca="false">IFERROR(IF(Summary!$D$12="Yes",-L125,""),"")</f>
        <v/>
      </c>
      <c r="V125" s="216" t="str">
        <f aca="false">IF('Bulk Order Details'!J135="","",SUM(R125:U125))</f>
        <v/>
      </c>
      <c r="W125" s="217" t="str">
        <f aca="false">IF('Bulk Order Details'!J135="","",D125+Q125)</f>
        <v/>
      </c>
      <c r="X125" s="218" t="str">
        <f aca="false">IF('Bulk Order Details'!J135="","",D125+Q125+V125)</f>
        <v/>
      </c>
      <c r="Y125" s="219" t="str">
        <f aca="false">IFERROR((W125-X125)/W125,"")</f>
        <v/>
      </c>
      <c r="Z125" s="220" t="str">
        <f aca="false">IF('Bulk Order Details'!J135="","",MAX(1,'Bulk Order Details'!D135))</f>
        <v/>
      </c>
      <c r="AA125" s="217" t="str">
        <f aca="false">IF(Pricing_Details[[#This Row],[Quantity]]="","",Pricing_Details[[#This Row],[Retail Price]]*Pricing_Details[[#This Row],[Quantity]])</f>
        <v/>
      </c>
      <c r="AB125" s="217" t="str">
        <f aca="false">IF(Pricing_Details[[#This Row],[Quantity]]="","",Pricing_Details[[#This Row],[Total Discount]]*Pricing_Details[[#This Row],[Quantity]])</f>
        <v/>
      </c>
      <c r="AC125" s="221" t="str">
        <f aca="false">IFERROR(ROUND(Pricing_Details[[#This Row],[Actual Price]]*Pricing_Details[[#This Row],[Quantity]],2),"")</f>
        <v/>
      </c>
      <c r="AE125" s="179" t="str">
        <f aca="false">IF('Bulk Order Details'!J135="","",VLOOKUP('Bulk Order Details'!H135,Collection[],3)&amp;VLOOKUP('Bulk Order Details'!J135,Collar[],4)&amp;VLOOKUP('Bulk Order Details'!I135,Sleeve[],4))</f>
        <v/>
      </c>
      <c r="AF125" s="179" t="str">
        <f aca="false">IF('Bulk Order Details'!J135="","",LOOKUP('Bulk Order Details'!E135,Cut[Display],Cut[Code])&amp;LOOKUP('Bulk Order Details'!F135,#REF!,#REF!)&amp;IF('Bulk Order Details'!G135="","",LOOKUP('Bulk Order Details'!G135,Length[Display],Length[Code])))</f>
        <v/>
      </c>
      <c r="AG125" s="179" t="str">
        <f aca="false">IF('Bulk Order Details'!J135="","",IF('Bulk Order Details'!C135="","",'Bulk Order Details'!C135))</f>
        <v/>
      </c>
      <c r="AH125" s="179" t="str">
        <f aca="false">IF('Bulk Order Details'!O135="","","-"&amp;LOOKUP('Bulk Order Details'!O135,#REF!,#REF!))</f>
        <v/>
      </c>
      <c r="AI125" s="179" t="str">
        <f aca="false">IF('Bulk Order Details'!P135="","","-"&amp;LOOKUP('Bulk Order Details'!P135,#REF!,#REF!))</f>
        <v/>
      </c>
      <c r="AJ125" s="179" t="str">
        <f aca="false">IF('Bulk Order Details'!Q135="","","-"&amp;LOOKUP('Bulk Order Details'!Q135,#REF!,#REF!))</f>
        <v/>
      </c>
      <c r="AK125" s="179" t="str">
        <f aca="false">IF('Bulk Order Details'!R135="","","-"&amp;LOOKUP('Bulk Order Details'!R135,#REF!,#REF!))</f>
        <v/>
      </c>
      <c r="AL125" s="179" t="str">
        <f aca="false">IF('Bulk Order Details'!S135="","","-"&amp;LOOKUP('Bulk Order Details'!S135,#REF!,#REF!))</f>
        <v/>
      </c>
      <c r="AM125" s="179" t="str">
        <f aca="false">IF(_xlfn.CONCAT(AH125:AL125)="","","Lo"&amp;_xlfn.CONCAT(AH125:AL125))</f>
        <v/>
      </c>
      <c r="AN125" s="179" t="str">
        <f aca="false">IF('Bulk Order Details'!K135="","","Na-"&amp;'Bulk Order Details'!K135)</f>
        <v/>
      </c>
      <c r="AO125" s="179" t="str">
        <f aca="false">IF('Bulk Order Details'!N135="","","Fo-"&amp;'Bulk Order Details'!N135)</f>
        <v/>
      </c>
      <c r="AP125" s="179" t="str">
        <f aca="false">IF(AE125="","",AE125&amp;"_"&amp;AF125&amp;"_"&amp;AG125&amp;IF(AM125="","","_"&amp;AM125)&amp;IF(AN125="","","_"&amp;AN125)&amp;IF(AO125="","","_"&amp;AO125))</f>
        <v/>
      </c>
      <c r="AQ125" s="218" t="str">
        <f aca="false">IF(X125="","",X125)</f>
        <v/>
      </c>
    </row>
    <row r="126" customFormat="false" ht="15" hidden="false" customHeight="true" outlineLevel="0" collapsed="false">
      <c r="B126" s="209" t="n">
        <f aca="false">'Bulk Order Details'!B136</f>
        <v>123</v>
      </c>
      <c r="C126" s="209" t="e">
        <f aca="false">IF('bulk order details'!#ref!="","",'bulk order details'!#ref!&amp;" "&amp;'bulk order details'!#ref!)</f>
        <v>#VALUE!</v>
      </c>
      <c r="D126" s="210" t="str">
        <f aca="false">IF('Bulk Order Details'!J136="","",VLOOKUP(1,Price[],3))</f>
        <v/>
      </c>
      <c r="E126" s="211" t="str">
        <f aca="false">IF('Bulk Order Details'!J136="","",Summary!$D$9)</f>
        <v/>
      </c>
      <c r="F126" s="212" t="str">
        <f aca="false">IF('Bulk Order Details'!F136="","",_xlfn.xlookup('Bulk Order Details'!F136,Size[Display],Size[Price]))</f>
        <v/>
      </c>
      <c r="G126" s="212" t="str">
        <f aca="false">IF('Bulk Order Details'!G136="","",_xlfn.xlookup('Bulk Order Details'!G136,Length[Display],Length[Price]))</f>
        <v/>
      </c>
      <c r="H126" s="212" t="str">
        <f aca="false">IF('Bulk Order Details'!H136="","",_xlfn.xlookup('Bulk Order Details'!H136,Collection[Display],Collection[Price]))</f>
        <v/>
      </c>
      <c r="I126" s="212" t="str">
        <f aca="false">IF('Bulk Order Details'!I136="","",_xlfn.xlookup('Bulk Order Details'!I136,Sleeve[Display],Sleeve[Price]))</f>
        <v/>
      </c>
      <c r="J126" s="212" t="str">
        <f aca="false">IF('Bulk Order Details'!J136="","",_xlfn.xlookup('Bulk Order Details'!J136,Collar[Display],Collar[Price]))</f>
        <v/>
      </c>
      <c r="K126" s="212" t="str">
        <f aca="false">IF('Bulk Order Details'!K136="","",_xlfn.xlookup("Name",Name[Name],Name[Price]))</f>
        <v/>
      </c>
      <c r="L126" s="213" t="str">
        <f aca="false">IFERROR(IF('Bulk Order Details'!O136="","",IF(_xlfn.xlookup('Bulk Order Details'!O136,Logos[Display],Logos[Use])="Flat",_xlfn.xlookup('Bulk Order Details'!O136,Logos[Display],Logos[Flat]),ROUND(_xlfn.xlookup('Bulk Order Details'!O136,Logos[Display],Logos[Pct])*$E126,2))),"")</f>
        <v/>
      </c>
      <c r="M126" s="222" t="str">
        <f aca="false">IFERROR(IF('Bulk Order Details'!P136="","",IF(_xlfn.xlookup('Bulk Order Details'!P136,Chest[Display],Chest[Use])="Flat",_xlfn.xlookup('Bulk Order Details'!P136,Chest[Display],Chest[Flat]),ROUND(_xlfn.xlookup('Bulk Order Details'!P136,Chest[Display],Chest[Pct])*$E126,2))),"")</f>
        <v/>
      </c>
      <c r="N126" s="222" t="str">
        <f aca="false">IFERROR(IF('Bulk Order Details'!Q136="","",IF(_xlfn.xlookup('Bulk Order Details'!Q136,Chest[Display],Chest[Use])="Flat",_xlfn.xlookup('Bulk Order Details'!Q136,Chest[Display],Chest[Flat]),ROUND(_xlfn.xlookup('Bulk Order Details'!Q136,Chest[Display],Chest[Pct])*$E126,2))),"")</f>
        <v/>
      </c>
      <c r="O126" s="222" t="str">
        <f aca="false">IFERROR(IF('Bulk Order Details'!R136="","",IF(_xlfn.xlookup('Bulk Order Details'!R136,LeftSleeve[Display],LeftSleeve[Use])="Flat",_xlfn.xlookup('Bulk Order Details'!R136,LeftSleeve[Display],LeftSleeve[Flat]),ROUND(_xlfn.xlookup('Bulk Order Details'!R136,LeftSleeve[Display],LeftSleeve[Pct])*$E126,2))),"")</f>
        <v/>
      </c>
      <c r="P126" s="222" t="str">
        <f aca="false">IFERROR(IF('Bulk Order Details'!S136="","",IF(_xlfn.xlookup('Bulk Order Details'!S136,RightSleeve[Display],RightSleeve[Use])="Flat",_xlfn.xlookup('Bulk Order Details'!S136,RightSleeve[Display],RightSleeve[Flat]),ROUND(_xlfn.xlookup('Bulk Order Details'!S136,RightSleeve[Display],RightSleeve[Pct])*$E126,2))),"")</f>
        <v/>
      </c>
      <c r="Q126" s="214" t="str">
        <f aca="false">IF('Bulk Order Details'!J136="","",SUM(F126:P126))</f>
        <v/>
      </c>
      <c r="R126" s="213" t="str">
        <f aca="false">IFERROR(E126-D126,"")</f>
        <v/>
      </c>
      <c r="S126" s="215" t="str">
        <f aca="false">IFERROR(MIN(IF(Summary!$D$11="Yes",-J126,0),IF(H126&gt;0,-J126,0)),"")</f>
        <v/>
      </c>
      <c r="T126" s="212" t="str">
        <f aca="false">IFERROR(IF(Summary!$D$10="Yes",-K126,""),"")</f>
        <v/>
      </c>
      <c r="U126" s="213" t="str">
        <f aca="false">IFERROR(IF(Summary!$D$12="Yes",-L126,""),"")</f>
        <v/>
      </c>
      <c r="V126" s="216" t="str">
        <f aca="false">IF('Bulk Order Details'!J136="","",SUM(R126:U126))</f>
        <v/>
      </c>
      <c r="W126" s="217" t="str">
        <f aca="false">IF('Bulk Order Details'!J136="","",D126+Q126)</f>
        <v/>
      </c>
      <c r="X126" s="218" t="str">
        <f aca="false">IF('Bulk Order Details'!J136="","",D126+Q126+V126)</f>
        <v/>
      </c>
      <c r="Y126" s="219" t="str">
        <f aca="false">IFERROR((W126-X126)/W126,"")</f>
        <v/>
      </c>
      <c r="Z126" s="220" t="str">
        <f aca="false">IF('Bulk Order Details'!J136="","",MAX(1,'Bulk Order Details'!D136))</f>
        <v/>
      </c>
      <c r="AA126" s="217" t="str">
        <f aca="false">IF(Pricing_Details[[#This Row],[Quantity]]="","",Pricing_Details[[#This Row],[Retail Price]]*Pricing_Details[[#This Row],[Quantity]])</f>
        <v/>
      </c>
      <c r="AB126" s="217" t="str">
        <f aca="false">IF(Pricing_Details[[#This Row],[Quantity]]="","",Pricing_Details[[#This Row],[Total Discount]]*Pricing_Details[[#This Row],[Quantity]])</f>
        <v/>
      </c>
      <c r="AC126" s="221" t="str">
        <f aca="false">IFERROR(ROUND(Pricing_Details[[#This Row],[Actual Price]]*Pricing_Details[[#This Row],[Quantity]],2),"")</f>
        <v/>
      </c>
      <c r="AE126" s="179" t="str">
        <f aca="false">IF('Bulk Order Details'!J136="","",VLOOKUP('Bulk Order Details'!H136,Collection[],3)&amp;VLOOKUP('Bulk Order Details'!J136,Collar[],4)&amp;VLOOKUP('Bulk Order Details'!I136,Sleeve[],4))</f>
        <v/>
      </c>
      <c r="AF126" s="179" t="str">
        <f aca="false">IF('Bulk Order Details'!J136="","",LOOKUP('Bulk Order Details'!E136,Cut[Display],Cut[Code])&amp;LOOKUP('Bulk Order Details'!F136,#REF!,#REF!)&amp;IF('Bulk Order Details'!G136="","",LOOKUP('Bulk Order Details'!G136,Length[Display],Length[Code])))</f>
        <v/>
      </c>
      <c r="AG126" s="179" t="str">
        <f aca="false">IF('Bulk Order Details'!J136="","",IF('Bulk Order Details'!C136="","",'Bulk Order Details'!C136))</f>
        <v/>
      </c>
      <c r="AH126" s="179" t="str">
        <f aca="false">IF('Bulk Order Details'!O136="","","-"&amp;LOOKUP('Bulk Order Details'!O136,#REF!,#REF!))</f>
        <v/>
      </c>
      <c r="AI126" s="179" t="str">
        <f aca="false">IF('Bulk Order Details'!P136="","","-"&amp;LOOKUP('Bulk Order Details'!P136,#REF!,#REF!))</f>
        <v/>
      </c>
      <c r="AJ126" s="179" t="str">
        <f aca="false">IF('Bulk Order Details'!Q136="","","-"&amp;LOOKUP('Bulk Order Details'!Q136,#REF!,#REF!))</f>
        <v/>
      </c>
      <c r="AK126" s="179" t="str">
        <f aca="false">IF('Bulk Order Details'!R136="","","-"&amp;LOOKUP('Bulk Order Details'!R136,#REF!,#REF!))</f>
        <v/>
      </c>
      <c r="AL126" s="179" t="str">
        <f aca="false">IF('Bulk Order Details'!S136="","","-"&amp;LOOKUP('Bulk Order Details'!S136,#REF!,#REF!))</f>
        <v/>
      </c>
      <c r="AM126" s="179" t="str">
        <f aca="false">IF(_xlfn.CONCAT(AH126:AL126)="","","Lo"&amp;_xlfn.CONCAT(AH126:AL126))</f>
        <v/>
      </c>
      <c r="AN126" s="179" t="str">
        <f aca="false">IF('Bulk Order Details'!K136="","","Na-"&amp;'Bulk Order Details'!K136)</f>
        <v/>
      </c>
      <c r="AO126" s="179" t="str">
        <f aca="false">IF('Bulk Order Details'!N136="","","Fo-"&amp;'Bulk Order Details'!N136)</f>
        <v/>
      </c>
      <c r="AP126" s="179" t="str">
        <f aca="false">IF(AE126="","",AE126&amp;"_"&amp;AF126&amp;"_"&amp;AG126&amp;IF(AM126="","","_"&amp;AM126)&amp;IF(AN126="","","_"&amp;AN126)&amp;IF(AO126="","","_"&amp;AO126))</f>
        <v/>
      </c>
      <c r="AQ126" s="218" t="str">
        <f aca="false">IF(X126="","",X126)</f>
        <v/>
      </c>
    </row>
    <row r="127" customFormat="false" ht="15" hidden="false" customHeight="true" outlineLevel="0" collapsed="false">
      <c r="B127" s="209" t="n">
        <f aca="false">'Bulk Order Details'!B137</f>
        <v>124</v>
      </c>
      <c r="C127" s="209" t="e">
        <f aca="false">IF('bulk order details'!#ref!="","",'bulk order details'!#ref!&amp;" "&amp;'bulk order details'!#ref!)</f>
        <v>#VALUE!</v>
      </c>
      <c r="D127" s="210" t="str">
        <f aca="false">IF('Bulk Order Details'!J137="","",VLOOKUP(1,Price[],3))</f>
        <v/>
      </c>
      <c r="E127" s="211" t="str">
        <f aca="false">IF('Bulk Order Details'!J137="","",Summary!$D$9)</f>
        <v/>
      </c>
      <c r="F127" s="212" t="str">
        <f aca="false">IF('Bulk Order Details'!F137="","",_xlfn.xlookup('Bulk Order Details'!F137,Size[Display],Size[Price]))</f>
        <v/>
      </c>
      <c r="G127" s="212" t="str">
        <f aca="false">IF('Bulk Order Details'!G137="","",_xlfn.xlookup('Bulk Order Details'!G137,Length[Display],Length[Price]))</f>
        <v/>
      </c>
      <c r="H127" s="212" t="str">
        <f aca="false">IF('Bulk Order Details'!H137="","",_xlfn.xlookup('Bulk Order Details'!H137,Collection[Display],Collection[Price]))</f>
        <v/>
      </c>
      <c r="I127" s="212" t="str">
        <f aca="false">IF('Bulk Order Details'!I137="","",_xlfn.xlookup('Bulk Order Details'!I137,Sleeve[Display],Sleeve[Price]))</f>
        <v/>
      </c>
      <c r="J127" s="212" t="str">
        <f aca="false">IF('Bulk Order Details'!J137="","",_xlfn.xlookup('Bulk Order Details'!J137,Collar[Display],Collar[Price]))</f>
        <v/>
      </c>
      <c r="K127" s="212" t="str">
        <f aca="false">IF('Bulk Order Details'!K137="","",_xlfn.xlookup("Name",Name[Name],Name[Price]))</f>
        <v/>
      </c>
      <c r="L127" s="213" t="str">
        <f aca="false">IFERROR(IF('Bulk Order Details'!O137="","",IF(_xlfn.xlookup('Bulk Order Details'!O137,Logos[Display],Logos[Use])="Flat",_xlfn.xlookup('Bulk Order Details'!O137,Logos[Display],Logos[Flat]),ROUND(_xlfn.xlookup('Bulk Order Details'!O137,Logos[Display],Logos[Pct])*$E127,2))),"")</f>
        <v/>
      </c>
      <c r="M127" s="222" t="str">
        <f aca="false">IFERROR(IF('Bulk Order Details'!P137="","",IF(_xlfn.xlookup('Bulk Order Details'!P137,Chest[Display],Chest[Use])="Flat",_xlfn.xlookup('Bulk Order Details'!P137,Chest[Display],Chest[Flat]),ROUND(_xlfn.xlookup('Bulk Order Details'!P137,Chest[Display],Chest[Pct])*$E127,2))),"")</f>
        <v/>
      </c>
      <c r="N127" s="222" t="str">
        <f aca="false">IFERROR(IF('Bulk Order Details'!Q137="","",IF(_xlfn.xlookup('Bulk Order Details'!Q137,Chest[Display],Chest[Use])="Flat",_xlfn.xlookup('Bulk Order Details'!Q137,Chest[Display],Chest[Flat]),ROUND(_xlfn.xlookup('Bulk Order Details'!Q137,Chest[Display],Chest[Pct])*$E127,2))),"")</f>
        <v/>
      </c>
      <c r="O127" s="222" t="str">
        <f aca="false">IFERROR(IF('Bulk Order Details'!R137="","",IF(_xlfn.xlookup('Bulk Order Details'!R137,LeftSleeve[Display],LeftSleeve[Use])="Flat",_xlfn.xlookup('Bulk Order Details'!R137,LeftSleeve[Display],LeftSleeve[Flat]),ROUND(_xlfn.xlookup('Bulk Order Details'!R137,LeftSleeve[Display],LeftSleeve[Pct])*$E127,2))),"")</f>
        <v/>
      </c>
      <c r="P127" s="222" t="str">
        <f aca="false">IFERROR(IF('Bulk Order Details'!S137="","",IF(_xlfn.xlookup('Bulk Order Details'!S137,RightSleeve[Display],RightSleeve[Use])="Flat",_xlfn.xlookup('Bulk Order Details'!S137,RightSleeve[Display],RightSleeve[Flat]),ROUND(_xlfn.xlookup('Bulk Order Details'!S137,RightSleeve[Display],RightSleeve[Pct])*$E127,2))),"")</f>
        <v/>
      </c>
      <c r="Q127" s="214" t="str">
        <f aca="false">IF('Bulk Order Details'!J137="","",SUM(F127:P127))</f>
        <v/>
      </c>
      <c r="R127" s="213" t="str">
        <f aca="false">IFERROR(E127-D127,"")</f>
        <v/>
      </c>
      <c r="S127" s="215" t="str">
        <f aca="false">IFERROR(MIN(IF(Summary!$D$11="Yes",-J127,0),IF(H127&gt;0,-J127,0)),"")</f>
        <v/>
      </c>
      <c r="T127" s="212" t="str">
        <f aca="false">IFERROR(IF(Summary!$D$10="Yes",-K127,""),"")</f>
        <v/>
      </c>
      <c r="U127" s="213" t="str">
        <f aca="false">IFERROR(IF(Summary!$D$12="Yes",-L127,""),"")</f>
        <v/>
      </c>
      <c r="V127" s="216" t="str">
        <f aca="false">IF('Bulk Order Details'!J137="","",SUM(R127:U127))</f>
        <v/>
      </c>
      <c r="W127" s="217" t="str">
        <f aca="false">IF('Bulk Order Details'!J137="","",D127+Q127)</f>
        <v/>
      </c>
      <c r="X127" s="218" t="str">
        <f aca="false">IF('Bulk Order Details'!J137="","",D127+Q127+V127)</f>
        <v/>
      </c>
      <c r="Y127" s="219" t="str">
        <f aca="false">IFERROR((W127-X127)/W127,"")</f>
        <v/>
      </c>
      <c r="Z127" s="220" t="str">
        <f aca="false">IF('Bulk Order Details'!J137="","",MAX(1,'Bulk Order Details'!D137))</f>
        <v/>
      </c>
      <c r="AA127" s="217" t="str">
        <f aca="false">IF(Pricing_Details[[#This Row],[Quantity]]="","",Pricing_Details[[#This Row],[Retail Price]]*Pricing_Details[[#This Row],[Quantity]])</f>
        <v/>
      </c>
      <c r="AB127" s="217" t="str">
        <f aca="false">IF(Pricing_Details[[#This Row],[Quantity]]="","",Pricing_Details[[#This Row],[Total Discount]]*Pricing_Details[[#This Row],[Quantity]])</f>
        <v/>
      </c>
      <c r="AC127" s="221" t="str">
        <f aca="false">IFERROR(ROUND(Pricing_Details[[#This Row],[Actual Price]]*Pricing_Details[[#This Row],[Quantity]],2),"")</f>
        <v/>
      </c>
      <c r="AE127" s="179" t="str">
        <f aca="false">IF('Bulk Order Details'!J137="","",VLOOKUP('Bulk Order Details'!H137,Collection[],3)&amp;VLOOKUP('Bulk Order Details'!J137,Collar[],4)&amp;VLOOKUP('Bulk Order Details'!I137,Sleeve[],4))</f>
        <v/>
      </c>
      <c r="AF127" s="179" t="str">
        <f aca="false">IF('Bulk Order Details'!J137="","",LOOKUP('Bulk Order Details'!E137,Cut[Display],Cut[Code])&amp;LOOKUP('Bulk Order Details'!F137,#REF!,#REF!)&amp;IF('Bulk Order Details'!G137="","",LOOKUP('Bulk Order Details'!G137,Length[Display],Length[Code])))</f>
        <v/>
      </c>
      <c r="AG127" s="179" t="str">
        <f aca="false">IF('Bulk Order Details'!J137="","",IF('Bulk Order Details'!C137="","",'Bulk Order Details'!C137))</f>
        <v/>
      </c>
      <c r="AH127" s="179" t="str">
        <f aca="false">IF('Bulk Order Details'!O137="","","-"&amp;LOOKUP('Bulk Order Details'!O137,#REF!,#REF!))</f>
        <v/>
      </c>
      <c r="AI127" s="179" t="str">
        <f aca="false">IF('Bulk Order Details'!P137="","","-"&amp;LOOKUP('Bulk Order Details'!P137,#REF!,#REF!))</f>
        <v/>
      </c>
      <c r="AJ127" s="179" t="str">
        <f aca="false">IF('Bulk Order Details'!Q137="","","-"&amp;LOOKUP('Bulk Order Details'!Q137,#REF!,#REF!))</f>
        <v/>
      </c>
      <c r="AK127" s="179" t="str">
        <f aca="false">IF('Bulk Order Details'!R137="","","-"&amp;LOOKUP('Bulk Order Details'!R137,#REF!,#REF!))</f>
        <v/>
      </c>
      <c r="AL127" s="179" t="str">
        <f aca="false">IF('Bulk Order Details'!S137="","","-"&amp;LOOKUP('Bulk Order Details'!S137,#REF!,#REF!))</f>
        <v/>
      </c>
      <c r="AM127" s="179" t="str">
        <f aca="false">IF(_xlfn.CONCAT(AH127:AL127)="","","Lo"&amp;_xlfn.CONCAT(AH127:AL127))</f>
        <v/>
      </c>
      <c r="AN127" s="179" t="str">
        <f aca="false">IF('Bulk Order Details'!K137="","","Na-"&amp;'Bulk Order Details'!K137)</f>
        <v/>
      </c>
      <c r="AO127" s="179" t="str">
        <f aca="false">IF('Bulk Order Details'!N137="","","Fo-"&amp;'Bulk Order Details'!N137)</f>
        <v/>
      </c>
      <c r="AP127" s="179" t="str">
        <f aca="false">IF(AE127="","",AE127&amp;"_"&amp;AF127&amp;"_"&amp;AG127&amp;IF(AM127="","","_"&amp;AM127)&amp;IF(AN127="","","_"&amp;AN127)&amp;IF(AO127="","","_"&amp;AO127))</f>
        <v/>
      </c>
      <c r="AQ127" s="218" t="str">
        <f aca="false">IF(X127="","",X127)</f>
        <v/>
      </c>
    </row>
    <row r="128" customFormat="false" ht="15" hidden="false" customHeight="true" outlineLevel="0" collapsed="false">
      <c r="B128" s="209" t="n">
        <f aca="false">'Bulk Order Details'!B138</f>
        <v>125</v>
      </c>
      <c r="C128" s="209" t="e">
        <f aca="false">IF('bulk order details'!#ref!="","",'bulk order details'!#ref!&amp;" "&amp;'bulk order details'!#ref!)</f>
        <v>#VALUE!</v>
      </c>
      <c r="D128" s="210" t="str">
        <f aca="false">IF('Bulk Order Details'!J138="","",VLOOKUP(1,Price[],3))</f>
        <v/>
      </c>
      <c r="E128" s="211" t="str">
        <f aca="false">IF('Bulk Order Details'!J138="","",Summary!$D$9)</f>
        <v/>
      </c>
      <c r="F128" s="212" t="str">
        <f aca="false">IF('Bulk Order Details'!F138="","",_xlfn.xlookup('Bulk Order Details'!F138,Size[Display],Size[Price]))</f>
        <v/>
      </c>
      <c r="G128" s="212" t="str">
        <f aca="false">IF('Bulk Order Details'!G138="","",_xlfn.xlookup('Bulk Order Details'!G138,Length[Display],Length[Price]))</f>
        <v/>
      </c>
      <c r="H128" s="212" t="str">
        <f aca="false">IF('Bulk Order Details'!H138="","",_xlfn.xlookup('Bulk Order Details'!H138,Collection[Display],Collection[Price]))</f>
        <v/>
      </c>
      <c r="I128" s="212" t="str">
        <f aca="false">IF('Bulk Order Details'!I138="","",_xlfn.xlookup('Bulk Order Details'!I138,Sleeve[Display],Sleeve[Price]))</f>
        <v/>
      </c>
      <c r="J128" s="212" t="str">
        <f aca="false">IF('Bulk Order Details'!J138="","",_xlfn.xlookup('Bulk Order Details'!J138,Collar[Display],Collar[Price]))</f>
        <v/>
      </c>
      <c r="K128" s="212" t="str">
        <f aca="false">IF('Bulk Order Details'!K138="","",_xlfn.xlookup("Name",Name[Name],Name[Price]))</f>
        <v/>
      </c>
      <c r="L128" s="213" t="str">
        <f aca="false">IFERROR(IF('Bulk Order Details'!O138="","",IF(_xlfn.xlookup('Bulk Order Details'!O138,Logos[Display],Logos[Use])="Flat",_xlfn.xlookup('Bulk Order Details'!O138,Logos[Display],Logos[Flat]),ROUND(_xlfn.xlookup('Bulk Order Details'!O138,Logos[Display],Logos[Pct])*$E128,2))),"")</f>
        <v/>
      </c>
      <c r="M128" s="222" t="str">
        <f aca="false">IFERROR(IF('Bulk Order Details'!P138="","",IF(_xlfn.xlookup('Bulk Order Details'!P138,Chest[Display],Chest[Use])="Flat",_xlfn.xlookup('Bulk Order Details'!P138,Chest[Display],Chest[Flat]),ROUND(_xlfn.xlookup('Bulk Order Details'!P138,Chest[Display],Chest[Pct])*$E128,2))),"")</f>
        <v/>
      </c>
      <c r="N128" s="222" t="str">
        <f aca="false">IFERROR(IF('Bulk Order Details'!Q138="","",IF(_xlfn.xlookup('Bulk Order Details'!Q138,Chest[Display],Chest[Use])="Flat",_xlfn.xlookup('Bulk Order Details'!Q138,Chest[Display],Chest[Flat]),ROUND(_xlfn.xlookup('Bulk Order Details'!Q138,Chest[Display],Chest[Pct])*$E128,2))),"")</f>
        <v/>
      </c>
      <c r="O128" s="222" t="str">
        <f aca="false">IFERROR(IF('Bulk Order Details'!R138="","",IF(_xlfn.xlookup('Bulk Order Details'!R138,LeftSleeve[Display],LeftSleeve[Use])="Flat",_xlfn.xlookup('Bulk Order Details'!R138,LeftSleeve[Display],LeftSleeve[Flat]),ROUND(_xlfn.xlookup('Bulk Order Details'!R138,LeftSleeve[Display],LeftSleeve[Pct])*$E128,2))),"")</f>
        <v/>
      </c>
      <c r="P128" s="222" t="str">
        <f aca="false">IFERROR(IF('Bulk Order Details'!S138="","",IF(_xlfn.xlookup('Bulk Order Details'!S138,RightSleeve[Display],RightSleeve[Use])="Flat",_xlfn.xlookup('Bulk Order Details'!S138,RightSleeve[Display],RightSleeve[Flat]),ROUND(_xlfn.xlookup('Bulk Order Details'!S138,RightSleeve[Display],RightSleeve[Pct])*$E128,2))),"")</f>
        <v/>
      </c>
      <c r="Q128" s="214" t="str">
        <f aca="false">IF('Bulk Order Details'!J138="","",SUM(F128:P128))</f>
        <v/>
      </c>
      <c r="R128" s="213" t="str">
        <f aca="false">IFERROR(E128-D128,"")</f>
        <v/>
      </c>
      <c r="S128" s="215" t="str">
        <f aca="false">IFERROR(MIN(IF(Summary!$D$11="Yes",-J128,0),IF(H128&gt;0,-J128,0)),"")</f>
        <v/>
      </c>
      <c r="T128" s="212" t="str">
        <f aca="false">IFERROR(IF(Summary!$D$10="Yes",-K128,""),"")</f>
        <v/>
      </c>
      <c r="U128" s="213" t="str">
        <f aca="false">IFERROR(IF(Summary!$D$12="Yes",-L128,""),"")</f>
        <v/>
      </c>
      <c r="V128" s="216" t="str">
        <f aca="false">IF('Bulk Order Details'!J138="","",SUM(R128:U128))</f>
        <v/>
      </c>
      <c r="W128" s="217" t="str">
        <f aca="false">IF('Bulk Order Details'!J138="","",D128+Q128)</f>
        <v/>
      </c>
      <c r="X128" s="218" t="str">
        <f aca="false">IF('Bulk Order Details'!J138="","",D128+Q128+V128)</f>
        <v/>
      </c>
      <c r="Y128" s="219" t="str">
        <f aca="false">IFERROR((W128-X128)/W128,"")</f>
        <v/>
      </c>
      <c r="Z128" s="220" t="str">
        <f aca="false">IF('Bulk Order Details'!J138="","",MAX(1,'Bulk Order Details'!D138))</f>
        <v/>
      </c>
      <c r="AA128" s="217" t="str">
        <f aca="false">IF(Pricing_Details[[#This Row],[Quantity]]="","",Pricing_Details[[#This Row],[Retail Price]]*Pricing_Details[[#This Row],[Quantity]])</f>
        <v/>
      </c>
      <c r="AB128" s="217" t="str">
        <f aca="false">IF(Pricing_Details[[#This Row],[Quantity]]="","",Pricing_Details[[#This Row],[Total Discount]]*Pricing_Details[[#This Row],[Quantity]])</f>
        <v/>
      </c>
      <c r="AC128" s="221" t="str">
        <f aca="false">IFERROR(ROUND(Pricing_Details[[#This Row],[Actual Price]]*Pricing_Details[[#This Row],[Quantity]],2),"")</f>
        <v/>
      </c>
      <c r="AE128" s="179" t="str">
        <f aca="false">IF('Bulk Order Details'!J138="","",VLOOKUP('Bulk Order Details'!H138,Collection[],3)&amp;VLOOKUP('Bulk Order Details'!J138,Collar[],4)&amp;VLOOKUP('Bulk Order Details'!I138,Sleeve[],4))</f>
        <v/>
      </c>
      <c r="AF128" s="179" t="str">
        <f aca="false">IF('Bulk Order Details'!J138="","",LOOKUP('Bulk Order Details'!E138,Cut[Display],Cut[Code])&amp;LOOKUP('Bulk Order Details'!F138,#REF!,#REF!)&amp;IF('Bulk Order Details'!G138="","",LOOKUP('Bulk Order Details'!G138,Length[Display],Length[Code])))</f>
        <v/>
      </c>
      <c r="AG128" s="179" t="str">
        <f aca="false">IF('Bulk Order Details'!J138="","",IF('Bulk Order Details'!C138="","",'Bulk Order Details'!C138))</f>
        <v/>
      </c>
      <c r="AH128" s="179" t="str">
        <f aca="false">IF('Bulk Order Details'!O138="","","-"&amp;LOOKUP('Bulk Order Details'!O138,#REF!,#REF!))</f>
        <v/>
      </c>
      <c r="AI128" s="179" t="str">
        <f aca="false">IF('Bulk Order Details'!P138="","","-"&amp;LOOKUP('Bulk Order Details'!P138,#REF!,#REF!))</f>
        <v/>
      </c>
      <c r="AJ128" s="179" t="str">
        <f aca="false">IF('Bulk Order Details'!Q138="","","-"&amp;LOOKUP('Bulk Order Details'!Q138,#REF!,#REF!))</f>
        <v/>
      </c>
      <c r="AK128" s="179" t="str">
        <f aca="false">IF('Bulk Order Details'!R138="","","-"&amp;LOOKUP('Bulk Order Details'!R138,#REF!,#REF!))</f>
        <v/>
      </c>
      <c r="AL128" s="179" t="str">
        <f aca="false">IF('Bulk Order Details'!S138="","","-"&amp;LOOKUP('Bulk Order Details'!S138,#REF!,#REF!))</f>
        <v/>
      </c>
      <c r="AM128" s="179" t="str">
        <f aca="false">IF(_xlfn.CONCAT(AH128:AL128)="","","Lo"&amp;_xlfn.CONCAT(AH128:AL128))</f>
        <v/>
      </c>
      <c r="AN128" s="179" t="str">
        <f aca="false">IF('Bulk Order Details'!K138="","","Na-"&amp;'Bulk Order Details'!K138)</f>
        <v/>
      </c>
      <c r="AO128" s="179" t="str">
        <f aca="false">IF('Bulk Order Details'!N138="","","Fo-"&amp;'Bulk Order Details'!N138)</f>
        <v/>
      </c>
      <c r="AP128" s="179" t="str">
        <f aca="false">IF(AE128="","",AE128&amp;"_"&amp;AF128&amp;"_"&amp;AG128&amp;IF(AM128="","","_"&amp;AM128)&amp;IF(AN128="","","_"&amp;AN128)&amp;IF(AO128="","","_"&amp;AO128))</f>
        <v/>
      </c>
      <c r="AQ128" s="218" t="str">
        <f aca="false">IF(X128="","",X128)</f>
        <v/>
      </c>
    </row>
    <row r="129" customFormat="false" ht="15" hidden="false" customHeight="true" outlineLevel="0" collapsed="false">
      <c r="B129" s="209" t="n">
        <f aca="false">'Bulk Order Details'!B139</f>
        <v>126</v>
      </c>
      <c r="C129" s="209" t="e">
        <f aca="false">IF('bulk order details'!#ref!="","",'bulk order details'!#ref!&amp;" "&amp;'bulk order details'!#ref!)</f>
        <v>#VALUE!</v>
      </c>
      <c r="D129" s="210" t="str">
        <f aca="false">IF('Bulk Order Details'!J139="","",VLOOKUP(1,Price[],3))</f>
        <v/>
      </c>
      <c r="E129" s="211" t="str">
        <f aca="false">IF('Bulk Order Details'!J139="","",Summary!$D$9)</f>
        <v/>
      </c>
      <c r="F129" s="212" t="str">
        <f aca="false">IF('Bulk Order Details'!F139="","",_xlfn.xlookup('Bulk Order Details'!F139,Size[Display],Size[Price]))</f>
        <v/>
      </c>
      <c r="G129" s="212" t="str">
        <f aca="false">IF('Bulk Order Details'!G139="","",_xlfn.xlookup('Bulk Order Details'!G139,Length[Display],Length[Price]))</f>
        <v/>
      </c>
      <c r="H129" s="212" t="str">
        <f aca="false">IF('Bulk Order Details'!H139="","",_xlfn.xlookup('Bulk Order Details'!H139,Collection[Display],Collection[Price]))</f>
        <v/>
      </c>
      <c r="I129" s="212" t="str">
        <f aca="false">IF('Bulk Order Details'!I139="","",_xlfn.xlookup('Bulk Order Details'!I139,Sleeve[Display],Sleeve[Price]))</f>
        <v/>
      </c>
      <c r="J129" s="212" t="str">
        <f aca="false">IF('Bulk Order Details'!J139="","",_xlfn.xlookup('Bulk Order Details'!J139,Collar[Display],Collar[Price]))</f>
        <v/>
      </c>
      <c r="K129" s="212" t="str">
        <f aca="false">IF('Bulk Order Details'!K139="","",_xlfn.xlookup("Name",Name[Name],Name[Price]))</f>
        <v/>
      </c>
      <c r="L129" s="213" t="str">
        <f aca="false">IFERROR(IF('Bulk Order Details'!O139="","",IF(_xlfn.xlookup('Bulk Order Details'!O139,Logos[Display],Logos[Use])="Flat",_xlfn.xlookup('Bulk Order Details'!O139,Logos[Display],Logos[Flat]),ROUND(_xlfn.xlookup('Bulk Order Details'!O139,Logos[Display],Logos[Pct])*$E129,2))),"")</f>
        <v/>
      </c>
      <c r="M129" s="222" t="str">
        <f aca="false">IFERROR(IF('Bulk Order Details'!P139="","",IF(_xlfn.xlookup('Bulk Order Details'!P139,Chest[Display],Chest[Use])="Flat",_xlfn.xlookup('Bulk Order Details'!P139,Chest[Display],Chest[Flat]),ROUND(_xlfn.xlookup('Bulk Order Details'!P139,Chest[Display],Chest[Pct])*$E129,2))),"")</f>
        <v/>
      </c>
      <c r="N129" s="222" t="str">
        <f aca="false">IFERROR(IF('Bulk Order Details'!Q139="","",IF(_xlfn.xlookup('Bulk Order Details'!Q139,Chest[Display],Chest[Use])="Flat",_xlfn.xlookup('Bulk Order Details'!Q139,Chest[Display],Chest[Flat]),ROUND(_xlfn.xlookup('Bulk Order Details'!Q139,Chest[Display],Chest[Pct])*$E129,2))),"")</f>
        <v/>
      </c>
      <c r="O129" s="222" t="str">
        <f aca="false">IFERROR(IF('Bulk Order Details'!R139="","",IF(_xlfn.xlookup('Bulk Order Details'!R139,LeftSleeve[Display],LeftSleeve[Use])="Flat",_xlfn.xlookup('Bulk Order Details'!R139,LeftSleeve[Display],LeftSleeve[Flat]),ROUND(_xlfn.xlookup('Bulk Order Details'!R139,LeftSleeve[Display],LeftSleeve[Pct])*$E129,2))),"")</f>
        <v/>
      </c>
      <c r="P129" s="222" t="str">
        <f aca="false">IFERROR(IF('Bulk Order Details'!S139="","",IF(_xlfn.xlookup('Bulk Order Details'!S139,RightSleeve[Display],RightSleeve[Use])="Flat",_xlfn.xlookup('Bulk Order Details'!S139,RightSleeve[Display],RightSleeve[Flat]),ROUND(_xlfn.xlookup('Bulk Order Details'!S139,RightSleeve[Display],RightSleeve[Pct])*$E129,2))),"")</f>
        <v/>
      </c>
      <c r="Q129" s="214" t="str">
        <f aca="false">IF('Bulk Order Details'!J139="","",SUM(F129:P129))</f>
        <v/>
      </c>
      <c r="R129" s="213" t="str">
        <f aca="false">IFERROR(E129-D129,"")</f>
        <v/>
      </c>
      <c r="S129" s="215" t="str">
        <f aca="false">IFERROR(MIN(IF(Summary!$D$11="Yes",-J129,0),IF(H129&gt;0,-J129,0)),"")</f>
        <v/>
      </c>
      <c r="T129" s="212" t="str">
        <f aca="false">IFERROR(IF(Summary!$D$10="Yes",-K129,""),"")</f>
        <v/>
      </c>
      <c r="U129" s="213" t="str">
        <f aca="false">IFERROR(IF(Summary!$D$12="Yes",-L129,""),"")</f>
        <v/>
      </c>
      <c r="V129" s="216" t="str">
        <f aca="false">IF('Bulk Order Details'!J139="","",SUM(R129:U129))</f>
        <v/>
      </c>
      <c r="W129" s="217" t="str">
        <f aca="false">IF('Bulk Order Details'!J139="","",D129+Q129)</f>
        <v/>
      </c>
      <c r="X129" s="218" t="str">
        <f aca="false">IF('Bulk Order Details'!J139="","",D129+Q129+V129)</f>
        <v/>
      </c>
      <c r="Y129" s="219" t="str">
        <f aca="false">IFERROR((W129-X129)/W129,"")</f>
        <v/>
      </c>
      <c r="Z129" s="220" t="str">
        <f aca="false">IF('Bulk Order Details'!J139="","",MAX(1,'Bulk Order Details'!D139))</f>
        <v/>
      </c>
      <c r="AA129" s="217" t="str">
        <f aca="false">IF(Pricing_Details[[#This Row],[Quantity]]="","",Pricing_Details[[#This Row],[Retail Price]]*Pricing_Details[[#This Row],[Quantity]])</f>
        <v/>
      </c>
      <c r="AB129" s="217" t="str">
        <f aca="false">IF(Pricing_Details[[#This Row],[Quantity]]="","",Pricing_Details[[#This Row],[Total Discount]]*Pricing_Details[[#This Row],[Quantity]])</f>
        <v/>
      </c>
      <c r="AC129" s="221" t="str">
        <f aca="false">IFERROR(ROUND(Pricing_Details[[#This Row],[Actual Price]]*Pricing_Details[[#This Row],[Quantity]],2),"")</f>
        <v/>
      </c>
      <c r="AE129" s="179" t="str">
        <f aca="false">IF('Bulk Order Details'!J139="","",VLOOKUP('Bulk Order Details'!H139,Collection[],3)&amp;VLOOKUP('Bulk Order Details'!J139,Collar[],4)&amp;VLOOKUP('Bulk Order Details'!I139,Sleeve[],4))</f>
        <v/>
      </c>
      <c r="AF129" s="179" t="str">
        <f aca="false">IF('Bulk Order Details'!J139="","",LOOKUP('Bulk Order Details'!E139,Cut[Display],Cut[Code])&amp;LOOKUP('Bulk Order Details'!F139,#REF!,#REF!)&amp;IF('Bulk Order Details'!G139="","",LOOKUP('Bulk Order Details'!G139,Length[Display],Length[Code])))</f>
        <v/>
      </c>
      <c r="AG129" s="179" t="str">
        <f aca="false">IF('Bulk Order Details'!J139="","",IF('Bulk Order Details'!C139="","",'Bulk Order Details'!C139))</f>
        <v/>
      </c>
      <c r="AH129" s="179" t="str">
        <f aca="false">IF('Bulk Order Details'!O139="","","-"&amp;LOOKUP('Bulk Order Details'!O139,#REF!,#REF!))</f>
        <v/>
      </c>
      <c r="AI129" s="179" t="str">
        <f aca="false">IF('Bulk Order Details'!P139="","","-"&amp;LOOKUP('Bulk Order Details'!P139,#REF!,#REF!))</f>
        <v/>
      </c>
      <c r="AJ129" s="179" t="str">
        <f aca="false">IF('Bulk Order Details'!Q139="","","-"&amp;LOOKUP('Bulk Order Details'!Q139,#REF!,#REF!))</f>
        <v/>
      </c>
      <c r="AK129" s="179" t="str">
        <f aca="false">IF('Bulk Order Details'!R139="","","-"&amp;LOOKUP('Bulk Order Details'!R139,#REF!,#REF!))</f>
        <v/>
      </c>
      <c r="AL129" s="179" t="str">
        <f aca="false">IF('Bulk Order Details'!S139="","","-"&amp;LOOKUP('Bulk Order Details'!S139,#REF!,#REF!))</f>
        <v/>
      </c>
      <c r="AM129" s="179" t="str">
        <f aca="false">IF(_xlfn.CONCAT(AH129:AL129)="","","Lo"&amp;_xlfn.CONCAT(AH129:AL129))</f>
        <v/>
      </c>
      <c r="AN129" s="179" t="str">
        <f aca="false">IF('Bulk Order Details'!K139="","","Na-"&amp;'Bulk Order Details'!K139)</f>
        <v/>
      </c>
      <c r="AO129" s="179" t="str">
        <f aca="false">IF('Bulk Order Details'!N139="","","Fo-"&amp;'Bulk Order Details'!N139)</f>
        <v/>
      </c>
      <c r="AP129" s="179" t="str">
        <f aca="false">IF(AE129="","",AE129&amp;"_"&amp;AF129&amp;"_"&amp;AG129&amp;IF(AM129="","","_"&amp;AM129)&amp;IF(AN129="","","_"&amp;AN129)&amp;IF(AO129="","","_"&amp;AO129))</f>
        <v/>
      </c>
      <c r="AQ129" s="218" t="str">
        <f aca="false">IF(X129="","",X129)</f>
        <v/>
      </c>
    </row>
    <row r="130" customFormat="false" ht="15" hidden="false" customHeight="true" outlineLevel="0" collapsed="false">
      <c r="B130" s="209" t="n">
        <f aca="false">'Bulk Order Details'!B140</f>
        <v>127</v>
      </c>
      <c r="C130" s="209" t="e">
        <f aca="false">IF('bulk order details'!#ref!="","",'bulk order details'!#ref!&amp;" "&amp;'bulk order details'!#ref!)</f>
        <v>#VALUE!</v>
      </c>
      <c r="D130" s="210" t="str">
        <f aca="false">IF('Bulk Order Details'!J140="","",VLOOKUP(1,Price[],3))</f>
        <v/>
      </c>
      <c r="E130" s="211" t="str">
        <f aca="false">IF('Bulk Order Details'!J140="","",Summary!$D$9)</f>
        <v/>
      </c>
      <c r="F130" s="212" t="str">
        <f aca="false">IF('Bulk Order Details'!F140="","",_xlfn.xlookup('Bulk Order Details'!F140,Size[Display],Size[Price]))</f>
        <v/>
      </c>
      <c r="G130" s="212" t="str">
        <f aca="false">IF('Bulk Order Details'!G140="","",_xlfn.xlookup('Bulk Order Details'!G140,Length[Display],Length[Price]))</f>
        <v/>
      </c>
      <c r="H130" s="212" t="str">
        <f aca="false">IF('Bulk Order Details'!H140="","",_xlfn.xlookup('Bulk Order Details'!H140,Collection[Display],Collection[Price]))</f>
        <v/>
      </c>
      <c r="I130" s="212" t="str">
        <f aca="false">IF('Bulk Order Details'!I140="","",_xlfn.xlookup('Bulk Order Details'!I140,Sleeve[Display],Sleeve[Price]))</f>
        <v/>
      </c>
      <c r="J130" s="212" t="str">
        <f aca="false">IF('Bulk Order Details'!J140="","",_xlfn.xlookup('Bulk Order Details'!J140,Collar[Display],Collar[Price]))</f>
        <v/>
      </c>
      <c r="K130" s="212" t="str">
        <f aca="false">IF('Bulk Order Details'!K140="","",_xlfn.xlookup("Name",Name[Name],Name[Price]))</f>
        <v/>
      </c>
      <c r="L130" s="213" t="str">
        <f aca="false">IFERROR(IF('Bulk Order Details'!O140="","",IF(_xlfn.xlookup('Bulk Order Details'!O140,Logos[Display],Logos[Use])="Flat",_xlfn.xlookup('Bulk Order Details'!O140,Logos[Display],Logos[Flat]),ROUND(_xlfn.xlookup('Bulk Order Details'!O140,Logos[Display],Logos[Pct])*$E130,2))),"")</f>
        <v/>
      </c>
      <c r="M130" s="222" t="str">
        <f aca="false">IFERROR(IF('Bulk Order Details'!P140="","",IF(_xlfn.xlookup('Bulk Order Details'!P140,Chest[Display],Chest[Use])="Flat",_xlfn.xlookup('Bulk Order Details'!P140,Chest[Display],Chest[Flat]),ROUND(_xlfn.xlookup('Bulk Order Details'!P140,Chest[Display],Chest[Pct])*$E130,2))),"")</f>
        <v/>
      </c>
      <c r="N130" s="222" t="str">
        <f aca="false">IFERROR(IF('Bulk Order Details'!Q140="","",IF(_xlfn.xlookup('Bulk Order Details'!Q140,Chest[Display],Chest[Use])="Flat",_xlfn.xlookup('Bulk Order Details'!Q140,Chest[Display],Chest[Flat]),ROUND(_xlfn.xlookup('Bulk Order Details'!Q140,Chest[Display],Chest[Pct])*$E130,2))),"")</f>
        <v/>
      </c>
      <c r="O130" s="222" t="str">
        <f aca="false">IFERROR(IF('Bulk Order Details'!R140="","",IF(_xlfn.xlookup('Bulk Order Details'!R140,LeftSleeve[Display],LeftSleeve[Use])="Flat",_xlfn.xlookup('Bulk Order Details'!R140,LeftSleeve[Display],LeftSleeve[Flat]),ROUND(_xlfn.xlookup('Bulk Order Details'!R140,LeftSleeve[Display],LeftSleeve[Pct])*$E130,2))),"")</f>
        <v/>
      </c>
      <c r="P130" s="222" t="str">
        <f aca="false">IFERROR(IF('Bulk Order Details'!S140="","",IF(_xlfn.xlookup('Bulk Order Details'!S140,RightSleeve[Display],RightSleeve[Use])="Flat",_xlfn.xlookup('Bulk Order Details'!S140,RightSleeve[Display],RightSleeve[Flat]),ROUND(_xlfn.xlookup('Bulk Order Details'!S140,RightSleeve[Display],RightSleeve[Pct])*$E130,2))),"")</f>
        <v/>
      </c>
      <c r="Q130" s="214" t="str">
        <f aca="false">IF('Bulk Order Details'!J140="","",SUM(F130:P130))</f>
        <v/>
      </c>
      <c r="R130" s="213" t="str">
        <f aca="false">IFERROR(E130-D130,"")</f>
        <v/>
      </c>
      <c r="S130" s="215" t="str">
        <f aca="false">IFERROR(MIN(IF(Summary!$D$11="Yes",-J130,0),IF(H130&gt;0,-J130,0)),"")</f>
        <v/>
      </c>
      <c r="T130" s="212" t="str">
        <f aca="false">IFERROR(IF(Summary!$D$10="Yes",-K130,""),"")</f>
        <v/>
      </c>
      <c r="U130" s="213" t="str">
        <f aca="false">IFERROR(IF(Summary!$D$12="Yes",-L130,""),"")</f>
        <v/>
      </c>
      <c r="V130" s="216" t="str">
        <f aca="false">IF('Bulk Order Details'!J140="","",SUM(R130:U130))</f>
        <v/>
      </c>
      <c r="W130" s="217" t="str">
        <f aca="false">IF('Bulk Order Details'!J140="","",D130+Q130)</f>
        <v/>
      </c>
      <c r="X130" s="218" t="str">
        <f aca="false">IF('Bulk Order Details'!J140="","",D130+Q130+V130)</f>
        <v/>
      </c>
      <c r="Y130" s="219" t="str">
        <f aca="false">IFERROR((W130-X130)/W130,"")</f>
        <v/>
      </c>
      <c r="Z130" s="220" t="str">
        <f aca="false">IF('Bulk Order Details'!J140="","",MAX(1,'Bulk Order Details'!D140))</f>
        <v/>
      </c>
      <c r="AA130" s="217" t="str">
        <f aca="false">IF(Pricing_Details[[#This Row],[Quantity]]="","",Pricing_Details[[#This Row],[Retail Price]]*Pricing_Details[[#This Row],[Quantity]])</f>
        <v/>
      </c>
      <c r="AB130" s="217" t="str">
        <f aca="false">IF(Pricing_Details[[#This Row],[Quantity]]="","",Pricing_Details[[#This Row],[Total Discount]]*Pricing_Details[[#This Row],[Quantity]])</f>
        <v/>
      </c>
      <c r="AC130" s="221" t="str">
        <f aca="false">IFERROR(ROUND(Pricing_Details[[#This Row],[Actual Price]]*Pricing_Details[[#This Row],[Quantity]],2),"")</f>
        <v/>
      </c>
      <c r="AE130" s="179" t="str">
        <f aca="false">IF('Bulk Order Details'!J140="","",VLOOKUP('Bulk Order Details'!H140,Collection[],3)&amp;VLOOKUP('Bulk Order Details'!J140,Collar[],4)&amp;VLOOKUP('Bulk Order Details'!I140,Sleeve[],4))</f>
        <v/>
      </c>
      <c r="AF130" s="179" t="str">
        <f aca="false">IF('Bulk Order Details'!J140="","",LOOKUP('Bulk Order Details'!E140,Cut[Display],Cut[Code])&amp;LOOKUP('Bulk Order Details'!F140,#REF!,#REF!)&amp;IF('Bulk Order Details'!G140="","",LOOKUP('Bulk Order Details'!G140,Length[Display],Length[Code])))</f>
        <v/>
      </c>
      <c r="AG130" s="179" t="str">
        <f aca="false">IF('Bulk Order Details'!J140="","",IF('Bulk Order Details'!C140="","",'Bulk Order Details'!C140))</f>
        <v/>
      </c>
      <c r="AH130" s="179" t="str">
        <f aca="false">IF('Bulk Order Details'!O140="","","-"&amp;LOOKUP('Bulk Order Details'!O140,#REF!,#REF!))</f>
        <v/>
      </c>
      <c r="AI130" s="179" t="str">
        <f aca="false">IF('Bulk Order Details'!P140="","","-"&amp;LOOKUP('Bulk Order Details'!P140,#REF!,#REF!))</f>
        <v/>
      </c>
      <c r="AJ130" s="179" t="str">
        <f aca="false">IF('Bulk Order Details'!Q140="","","-"&amp;LOOKUP('Bulk Order Details'!Q140,#REF!,#REF!))</f>
        <v/>
      </c>
      <c r="AK130" s="179" t="str">
        <f aca="false">IF('Bulk Order Details'!R140="","","-"&amp;LOOKUP('Bulk Order Details'!R140,#REF!,#REF!))</f>
        <v/>
      </c>
      <c r="AL130" s="179" t="str">
        <f aca="false">IF('Bulk Order Details'!S140="","","-"&amp;LOOKUP('Bulk Order Details'!S140,#REF!,#REF!))</f>
        <v/>
      </c>
      <c r="AM130" s="179" t="str">
        <f aca="false">IF(_xlfn.CONCAT(AH130:AL130)="","","Lo"&amp;_xlfn.CONCAT(AH130:AL130))</f>
        <v/>
      </c>
      <c r="AN130" s="179" t="str">
        <f aca="false">IF('Bulk Order Details'!K140="","","Na-"&amp;'Bulk Order Details'!K140)</f>
        <v/>
      </c>
      <c r="AO130" s="179" t="str">
        <f aca="false">IF('Bulk Order Details'!N140="","","Fo-"&amp;'Bulk Order Details'!N140)</f>
        <v/>
      </c>
      <c r="AP130" s="179" t="str">
        <f aca="false">IF(AE130="","",AE130&amp;"_"&amp;AF130&amp;"_"&amp;AG130&amp;IF(AM130="","","_"&amp;AM130)&amp;IF(AN130="","","_"&amp;AN130)&amp;IF(AO130="","","_"&amp;AO130))</f>
        <v/>
      </c>
      <c r="AQ130" s="218" t="str">
        <f aca="false">IF(X130="","",X130)</f>
        <v/>
      </c>
    </row>
    <row r="131" customFormat="false" ht="15" hidden="false" customHeight="true" outlineLevel="0" collapsed="false">
      <c r="B131" s="209" t="n">
        <f aca="false">'Bulk Order Details'!B141</f>
        <v>128</v>
      </c>
      <c r="C131" s="209" t="e">
        <f aca="false">IF('bulk order details'!#ref!="","",'bulk order details'!#ref!&amp;" "&amp;'bulk order details'!#ref!)</f>
        <v>#VALUE!</v>
      </c>
      <c r="D131" s="210" t="str">
        <f aca="false">IF('Bulk Order Details'!J141="","",VLOOKUP(1,Price[],3))</f>
        <v/>
      </c>
      <c r="E131" s="211" t="str">
        <f aca="false">IF('Bulk Order Details'!J141="","",Summary!$D$9)</f>
        <v/>
      </c>
      <c r="F131" s="212" t="str">
        <f aca="false">IF('Bulk Order Details'!F141="","",_xlfn.xlookup('Bulk Order Details'!F141,Size[Display],Size[Price]))</f>
        <v/>
      </c>
      <c r="G131" s="212" t="str">
        <f aca="false">IF('Bulk Order Details'!G141="","",_xlfn.xlookup('Bulk Order Details'!G141,Length[Display],Length[Price]))</f>
        <v/>
      </c>
      <c r="H131" s="212" t="str">
        <f aca="false">IF('Bulk Order Details'!H141="","",_xlfn.xlookup('Bulk Order Details'!H141,Collection[Display],Collection[Price]))</f>
        <v/>
      </c>
      <c r="I131" s="212" t="str">
        <f aca="false">IF('Bulk Order Details'!I141="","",_xlfn.xlookup('Bulk Order Details'!I141,Sleeve[Display],Sleeve[Price]))</f>
        <v/>
      </c>
      <c r="J131" s="212" t="str">
        <f aca="false">IF('Bulk Order Details'!J141="","",_xlfn.xlookup('Bulk Order Details'!J141,Collar[Display],Collar[Price]))</f>
        <v/>
      </c>
      <c r="K131" s="212" t="str">
        <f aca="false">IF('Bulk Order Details'!K141="","",_xlfn.xlookup("Name",Name[Name],Name[Price]))</f>
        <v/>
      </c>
      <c r="L131" s="213" t="str">
        <f aca="false">IFERROR(IF('Bulk Order Details'!O141="","",IF(_xlfn.xlookup('Bulk Order Details'!O141,Logos[Display],Logos[Use])="Flat",_xlfn.xlookup('Bulk Order Details'!O141,Logos[Display],Logos[Flat]),ROUND(_xlfn.xlookup('Bulk Order Details'!O141,Logos[Display],Logos[Pct])*$E131,2))),"")</f>
        <v/>
      </c>
      <c r="M131" s="222" t="str">
        <f aca="false">IFERROR(IF('Bulk Order Details'!P141="","",IF(_xlfn.xlookup('Bulk Order Details'!P141,Chest[Display],Chest[Use])="Flat",_xlfn.xlookup('Bulk Order Details'!P141,Chest[Display],Chest[Flat]),ROUND(_xlfn.xlookup('Bulk Order Details'!P141,Chest[Display],Chest[Pct])*$E131,2))),"")</f>
        <v/>
      </c>
      <c r="N131" s="222" t="str">
        <f aca="false">IFERROR(IF('Bulk Order Details'!Q141="","",IF(_xlfn.xlookup('Bulk Order Details'!Q141,Chest[Display],Chest[Use])="Flat",_xlfn.xlookup('Bulk Order Details'!Q141,Chest[Display],Chest[Flat]),ROUND(_xlfn.xlookup('Bulk Order Details'!Q141,Chest[Display],Chest[Pct])*$E131,2))),"")</f>
        <v/>
      </c>
      <c r="O131" s="222" t="str">
        <f aca="false">IFERROR(IF('Bulk Order Details'!R141="","",IF(_xlfn.xlookup('Bulk Order Details'!R141,LeftSleeve[Display],LeftSleeve[Use])="Flat",_xlfn.xlookup('Bulk Order Details'!R141,LeftSleeve[Display],LeftSleeve[Flat]),ROUND(_xlfn.xlookup('Bulk Order Details'!R141,LeftSleeve[Display],LeftSleeve[Pct])*$E131,2))),"")</f>
        <v/>
      </c>
      <c r="P131" s="222" t="str">
        <f aca="false">IFERROR(IF('Bulk Order Details'!S141="","",IF(_xlfn.xlookup('Bulk Order Details'!S141,RightSleeve[Display],RightSleeve[Use])="Flat",_xlfn.xlookup('Bulk Order Details'!S141,RightSleeve[Display],RightSleeve[Flat]),ROUND(_xlfn.xlookup('Bulk Order Details'!S141,RightSleeve[Display],RightSleeve[Pct])*$E131,2))),"")</f>
        <v/>
      </c>
      <c r="Q131" s="214" t="str">
        <f aca="false">IF('Bulk Order Details'!J141="","",SUM(F131:P131))</f>
        <v/>
      </c>
      <c r="R131" s="213" t="str">
        <f aca="false">IFERROR(E131-D131,"")</f>
        <v/>
      </c>
      <c r="S131" s="215" t="str">
        <f aca="false">IFERROR(MIN(IF(Summary!$D$11="Yes",-J131,0),IF(H131&gt;0,-J131,0)),"")</f>
        <v/>
      </c>
      <c r="T131" s="212" t="str">
        <f aca="false">IFERROR(IF(Summary!$D$10="Yes",-K131,""),"")</f>
        <v/>
      </c>
      <c r="U131" s="213" t="str">
        <f aca="false">IFERROR(IF(Summary!$D$12="Yes",-L131,""),"")</f>
        <v/>
      </c>
      <c r="V131" s="216" t="str">
        <f aca="false">IF('Bulk Order Details'!J141="","",SUM(R131:U131))</f>
        <v/>
      </c>
      <c r="W131" s="217" t="str">
        <f aca="false">IF('Bulk Order Details'!J141="","",D131+Q131)</f>
        <v/>
      </c>
      <c r="X131" s="218" t="str">
        <f aca="false">IF('Bulk Order Details'!J141="","",D131+Q131+V131)</f>
        <v/>
      </c>
      <c r="Y131" s="219" t="str">
        <f aca="false">IFERROR((W131-X131)/W131,"")</f>
        <v/>
      </c>
      <c r="Z131" s="220" t="str">
        <f aca="false">IF('Bulk Order Details'!J141="","",MAX(1,'Bulk Order Details'!D141))</f>
        <v/>
      </c>
      <c r="AA131" s="217" t="str">
        <f aca="false">IF(Pricing_Details[[#This Row],[Quantity]]="","",Pricing_Details[[#This Row],[Retail Price]]*Pricing_Details[[#This Row],[Quantity]])</f>
        <v/>
      </c>
      <c r="AB131" s="217" t="str">
        <f aca="false">IF(Pricing_Details[[#This Row],[Quantity]]="","",Pricing_Details[[#This Row],[Total Discount]]*Pricing_Details[[#This Row],[Quantity]])</f>
        <v/>
      </c>
      <c r="AC131" s="221" t="str">
        <f aca="false">IFERROR(ROUND(Pricing_Details[[#This Row],[Actual Price]]*Pricing_Details[[#This Row],[Quantity]],2),"")</f>
        <v/>
      </c>
      <c r="AE131" s="179" t="str">
        <f aca="false">IF('Bulk Order Details'!J141="","",VLOOKUP('Bulk Order Details'!H141,Collection[],3)&amp;VLOOKUP('Bulk Order Details'!J141,Collar[],4)&amp;VLOOKUP('Bulk Order Details'!I141,Sleeve[],4))</f>
        <v/>
      </c>
      <c r="AF131" s="179" t="str">
        <f aca="false">IF('Bulk Order Details'!J141="","",LOOKUP('Bulk Order Details'!E141,Cut[Display],Cut[Code])&amp;LOOKUP('Bulk Order Details'!F141,#REF!,#REF!)&amp;IF('Bulk Order Details'!G141="","",LOOKUP('Bulk Order Details'!G141,Length[Display],Length[Code])))</f>
        <v/>
      </c>
      <c r="AG131" s="179" t="str">
        <f aca="false">IF('Bulk Order Details'!J141="","",IF('Bulk Order Details'!C141="","",'Bulk Order Details'!C141))</f>
        <v/>
      </c>
      <c r="AH131" s="179" t="str">
        <f aca="false">IF('Bulk Order Details'!O141="","","-"&amp;LOOKUP('Bulk Order Details'!O141,#REF!,#REF!))</f>
        <v/>
      </c>
      <c r="AI131" s="179" t="str">
        <f aca="false">IF('Bulk Order Details'!P141="","","-"&amp;LOOKUP('Bulk Order Details'!P141,#REF!,#REF!))</f>
        <v/>
      </c>
      <c r="AJ131" s="179" t="str">
        <f aca="false">IF('Bulk Order Details'!Q141="","","-"&amp;LOOKUP('Bulk Order Details'!Q141,#REF!,#REF!))</f>
        <v/>
      </c>
      <c r="AK131" s="179" t="str">
        <f aca="false">IF('Bulk Order Details'!R141="","","-"&amp;LOOKUP('Bulk Order Details'!R141,#REF!,#REF!))</f>
        <v/>
      </c>
      <c r="AL131" s="179" t="str">
        <f aca="false">IF('Bulk Order Details'!S141="","","-"&amp;LOOKUP('Bulk Order Details'!S141,#REF!,#REF!))</f>
        <v/>
      </c>
      <c r="AM131" s="179" t="str">
        <f aca="false">IF(_xlfn.CONCAT(AH131:AL131)="","","Lo"&amp;_xlfn.CONCAT(AH131:AL131))</f>
        <v/>
      </c>
      <c r="AN131" s="179" t="str">
        <f aca="false">IF('Bulk Order Details'!K141="","","Na-"&amp;'Bulk Order Details'!K141)</f>
        <v/>
      </c>
      <c r="AO131" s="179" t="str">
        <f aca="false">IF('Bulk Order Details'!N141="","","Fo-"&amp;'Bulk Order Details'!N141)</f>
        <v/>
      </c>
      <c r="AP131" s="179" t="str">
        <f aca="false">IF(AE131="","",AE131&amp;"_"&amp;AF131&amp;"_"&amp;AG131&amp;IF(AM131="","","_"&amp;AM131)&amp;IF(AN131="","","_"&amp;AN131)&amp;IF(AO131="","","_"&amp;AO131))</f>
        <v/>
      </c>
      <c r="AQ131" s="218" t="str">
        <f aca="false">IF(X131="","",X131)</f>
        <v/>
      </c>
    </row>
    <row r="132" customFormat="false" ht="15" hidden="false" customHeight="true" outlineLevel="0" collapsed="false">
      <c r="B132" s="209" t="n">
        <f aca="false">'Bulk Order Details'!B142</f>
        <v>129</v>
      </c>
      <c r="C132" s="209" t="e">
        <f aca="false">IF('bulk order details'!#ref!="","",'bulk order details'!#ref!&amp;" "&amp;'bulk order details'!#ref!)</f>
        <v>#VALUE!</v>
      </c>
      <c r="D132" s="210" t="str">
        <f aca="false">IF('Bulk Order Details'!J142="","",VLOOKUP(1,Price[],3))</f>
        <v/>
      </c>
      <c r="E132" s="211" t="str">
        <f aca="false">IF('Bulk Order Details'!J142="","",Summary!$D$9)</f>
        <v/>
      </c>
      <c r="F132" s="212" t="str">
        <f aca="false">IF('Bulk Order Details'!F142="","",_xlfn.xlookup('Bulk Order Details'!F142,Size[Display],Size[Price]))</f>
        <v/>
      </c>
      <c r="G132" s="212" t="str">
        <f aca="false">IF('Bulk Order Details'!G142="","",_xlfn.xlookup('Bulk Order Details'!G142,Length[Display],Length[Price]))</f>
        <v/>
      </c>
      <c r="H132" s="212" t="str">
        <f aca="false">IF('Bulk Order Details'!H142="","",_xlfn.xlookup('Bulk Order Details'!H142,Collection[Display],Collection[Price]))</f>
        <v/>
      </c>
      <c r="I132" s="212" t="str">
        <f aca="false">IF('Bulk Order Details'!I142="","",_xlfn.xlookup('Bulk Order Details'!I142,Sleeve[Display],Sleeve[Price]))</f>
        <v/>
      </c>
      <c r="J132" s="212" t="str">
        <f aca="false">IF('Bulk Order Details'!J142="","",_xlfn.xlookup('Bulk Order Details'!J142,Collar[Display],Collar[Price]))</f>
        <v/>
      </c>
      <c r="K132" s="212" t="str">
        <f aca="false">IF('Bulk Order Details'!K142="","",_xlfn.xlookup("Name",Name[Name],Name[Price]))</f>
        <v/>
      </c>
      <c r="L132" s="213" t="str">
        <f aca="false">IFERROR(IF('Bulk Order Details'!O142="","",IF(_xlfn.xlookup('Bulk Order Details'!O142,Logos[Display],Logos[Use])="Flat",_xlfn.xlookup('Bulk Order Details'!O142,Logos[Display],Logos[Flat]),ROUND(_xlfn.xlookup('Bulk Order Details'!O142,Logos[Display],Logos[Pct])*$E132,2))),"")</f>
        <v/>
      </c>
      <c r="M132" s="222" t="str">
        <f aca="false">IFERROR(IF('Bulk Order Details'!P142="","",IF(_xlfn.xlookup('Bulk Order Details'!P142,Chest[Display],Chest[Use])="Flat",_xlfn.xlookup('Bulk Order Details'!P142,Chest[Display],Chest[Flat]),ROUND(_xlfn.xlookup('Bulk Order Details'!P142,Chest[Display],Chest[Pct])*$E132,2))),"")</f>
        <v/>
      </c>
      <c r="N132" s="222" t="str">
        <f aca="false">IFERROR(IF('Bulk Order Details'!Q142="","",IF(_xlfn.xlookup('Bulk Order Details'!Q142,Chest[Display],Chest[Use])="Flat",_xlfn.xlookup('Bulk Order Details'!Q142,Chest[Display],Chest[Flat]),ROUND(_xlfn.xlookup('Bulk Order Details'!Q142,Chest[Display],Chest[Pct])*$E132,2))),"")</f>
        <v/>
      </c>
      <c r="O132" s="222" t="str">
        <f aca="false">IFERROR(IF('Bulk Order Details'!R142="","",IF(_xlfn.xlookup('Bulk Order Details'!R142,LeftSleeve[Display],LeftSleeve[Use])="Flat",_xlfn.xlookup('Bulk Order Details'!R142,LeftSleeve[Display],LeftSleeve[Flat]),ROUND(_xlfn.xlookup('Bulk Order Details'!R142,LeftSleeve[Display],LeftSleeve[Pct])*$E132,2))),"")</f>
        <v/>
      </c>
      <c r="P132" s="222" t="str">
        <f aca="false">IFERROR(IF('Bulk Order Details'!S142="","",IF(_xlfn.xlookup('Bulk Order Details'!S142,RightSleeve[Display],RightSleeve[Use])="Flat",_xlfn.xlookup('Bulk Order Details'!S142,RightSleeve[Display],RightSleeve[Flat]),ROUND(_xlfn.xlookup('Bulk Order Details'!S142,RightSleeve[Display],RightSleeve[Pct])*$E132,2))),"")</f>
        <v/>
      </c>
      <c r="Q132" s="214" t="str">
        <f aca="false">IF('Bulk Order Details'!J142="","",SUM(F132:P132))</f>
        <v/>
      </c>
      <c r="R132" s="213" t="str">
        <f aca="false">IFERROR(E132-D132,"")</f>
        <v/>
      </c>
      <c r="S132" s="215" t="str">
        <f aca="false">IFERROR(MIN(IF(Summary!$D$11="Yes",-J132,0),IF(H132&gt;0,-J132,0)),"")</f>
        <v/>
      </c>
      <c r="T132" s="212" t="str">
        <f aca="false">IFERROR(IF(Summary!$D$10="Yes",-K132,""),"")</f>
        <v/>
      </c>
      <c r="U132" s="213" t="str">
        <f aca="false">IFERROR(IF(Summary!$D$12="Yes",-L132,""),"")</f>
        <v/>
      </c>
      <c r="V132" s="216" t="str">
        <f aca="false">IF('Bulk Order Details'!J142="","",SUM(R132:U132))</f>
        <v/>
      </c>
      <c r="W132" s="217" t="str">
        <f aca="false">IF('Bulk Order Details'!J142="","",D132+Q132)</f>
        <v/>
      </c>
      <c r="X132" s="218" t="str">
        <f aca="false">IF('Bulk Order Details'!J142="","",D132+Q132+V132)</f>
        <v/>
      </c>
      <c r="Y132" s="219" t="str">
        <f aca="false">IFERROR((W132-X132)/W132,"")</f>
        <v/>
      </c>
      <c r="Z132" s="220" t="str">
        <f aca="false">IF('Bulk Order Details'!J142="","",MAX(1,'Bulk Order Details'!D142))</f>
        <v/>
      </c>
      <c r="AA132" s="217" t="str">
        <f aca="false">IF(Pricing_Details[[#This Row],[Quantity]]="","",Pricing_Details[[#This Row],[Retail Price]]*Pricing_Details[[#This Row],[Quantity]])</f>
        <v/>
      </c>
      <c r="AB132" s="217" t="str">
        <f aca="false">IF(Pricing_Details[[#This Row],[Quantity]]="","",Pricing_Details[[#This Row],[Total Discount]]*Pricing_Details[[#This Row],[Quantity]])</f>
        <v/>
      </c>
      <c r="AC132" s="221" t="str">
        <f aca="false">IFERROR(ROUND(Pricing_Details[[#This Row],[Actual Price]]*Pricing_Details[[#This Row],[Quantity]],2),"")</f>
        <v/>
      </c>
      <c r="AE132" s="179" t="str">
        <f aca="false">IF('Bulk Order Details'!J142="","",VLOOKUP('Bulk Order Details'!H142,Collection[],3)&amp;VLOOKUP('Bulk Order Details'!J142,Collar[],4)&amp;VLOOKUP('Bulk Order Details'!I142,Sleeve[],4))</f>
        <v/>
      </c>
      <c r="AF132" s="179" t="str">
        <f aca="false">IF('Bulk Order Details'!J142="","",LOOKUP('Bulk Order Details'!E142,Cut[Display],Cut[Code])&amp;LOOKUP('Bulk Order Details'!F142,#REF!,#REF!)&amp;IF('Bulk Order Details'!G142="","",LOOKUP('Bulk Order Details'!G142,Length[Display],Length[Code])))</f>
        <v/>
      </c>
      <c r="AG132" s="179" t="str">
        <f aca="false">IF('Bulk Order Details'!J142="","",IF('Bulk Order Details'!C142="","",'Bulk Order Details'!C142))</f>
        <v/>
      </c>
      <c r="AH132" s="179" t="str">
        <f aca="false">IF('Bulk Order Details'!O142="","","-"&amp;LOOKUP('Bulk Order Details'!O142,#REF!,#REF!))</f>
        <v/>
      </c>
      <c r="AI132" s="179" t="str">
        <f aca="false">IF('Bulk Order Details'!P142="","","-"&amp;LOOKUP('Bulk Order Details'!P142,#REF!,#REF!))</f>
        <v/>
      </c>
      <c r="AJ132" s="179" t="str">
        <f aca="false">IF('Bulk Order Details'!Q142="","","-"&amp;LOOKUP('Bulk Order Details'!Q142,#REF!,#REF!))</f>
        <v/>
      </c>
      <c r="AK132" s="179" t="str">
        <f aca="false">IF('Bulk Order Details'!R142="","","-"&amp;LOOKUP('Bulk Order Details'!R142,#REF!,#REF!))</f>
        <v/>
      </c>
      <c r="AL132" s="179" t="str">
        <f aca="false">IF('Bulk Order Details'!S142="","","-"&amp;LOOKUP('Bulk Order Details'!S142,#REF!,#REF!))</f>
        <v/>
      </c>
      <c r="AM132" s="179" t="str">
        <f aca="false">IF(_xlfn.CONCAT(AH132:AL132)="","","Lo"&amp;_xlfn.CONCAT(AH132:AL132))</f>
        <v/>
      </c>
      <c r="AN132" s="179" t="str">
        <f aca="false">IF('Bulk Order Details'!K142="","","Na-"&amp;'Bulk Order Details'!K142)</f>
        <v/>
      </c>
      <c r="AO132" s="179" t="str">
        <f aca="false">IF('Bulk Order Details'!N142="","","Fo-"&amp;'Bulk Order Details'!N142)</f>
        <v/>
      </c>
      <c r="AP132" s="179" t="str">
        <f aca="false">IF(AE132="","",AE132&amp;"_"&amp;AF132&amp;"_"&amp;AG132&amp;IF(AM132="","","_"&amp;AM132)&amp;IF(AN132="","","_"&amp;AN132)&amp;IF(AO132="","","_"&amp;AO132))</f>
        <v/>
      </c>
      <c r="AQ132" s="218" t="str">
        <f aca="false">IF(X132="","",X132)</f>
        <v/>
      </c>
    </row>
    <row r="133" customFormat="false" ht="15" hidden="false" customHeight="true" outlineLevel="0" collapsed="false">
      <c r="B133" s="209" t="n">
        <f aca="false">'Bulk Order Details'!B143</f>
        <v>130</v>
      </c>
      <c r="C133" s="209" t="e">
        <f aca="false">IF('bulk order details'!#ref!="","",'bulk order details'!#ref!&amp;" "&amp;'bulk order details'!#ref!)</f>
        <v>#VALUE!</v>
      </c>
      <c r="D133" s="210" t="str">
        <f aca="false">IF('Bulk Order Details'!J143="","",VLOOKUP(1,Price[],3))</f>
        <v/>
      </c>
      <c r="E133" s="211" t="str">
        <f aca="false">IF('Bulk Order Details'!J143="","",Summary!$D$9)</f>
        <v/>
      </c>
      <c r="F133" s="212" t="str">
        <f aca="false">IF('Bulk Order Details'!F143="","",_xlfn.xlookup('Bulk Order Details'!F143,Size[Display],Size[Price]))</f>
        <v/>
      </c>
      <c r="G133" s="212" t="str">
        <f aca="false">IF('Bulk Order Details'!G143="","",_xlfn.xlookup('Bulk Order Details'!G143,Length[Display],Length[Price]))</f>
        <v/>
      </c>
      <c r="H133" s="212" t="str">
        <f aca="false">IF('Bulk Order Details'!H143="","",_xlfn.xlookup('Bulk Order Details'!H143,Collection[Display],Collection[Price]))</f>
        <v/>
      </c>
      <c r="I133" s="212" t="str">
        <f aca="false">IF('Bulk Order Details'!I143="","",_xlfn.xlookup('Bulk Order Details'!I143,Sleeve[Display],Sleeve[Price]))</f>
        <v/>
      </c>
      <c r="J133" s="212" t="str">
        <f aca="false">IF('Bulk Order Details'!J143="","",_xlfn.xlookup('Bulk Order Details'!J143,Collar[Display],Collar[Price]))</f>
        <v/>
      </c>
      <c r="K133" s="212" t="str">
        <f aca="false">IF('Bulk Order Details'!K143="","",_xlfn.xlookup("Name",Name[Name],Name[Price]))</f>
        <v/>
      </c>
      <c r="L133" s="213" t="str">
        <f aca="false">IFERROR(IF('Bulk Order Details'!O143="","",IF(_xlfn.xlookup('Bulk Order Details'!O143,Logos[Display],Logos[Use])="Flat",_xlfn.xlookup('Bulk Order Details'!O143,Logos[Display],Logos[Flat]),ROUND(_xlfn.xlookup('Bulk Order Details'!O143,Logos[Display],Logos[Pct])*$E133,2))),"")</f>
        <v/>
      </c>
      <c r="M133" s="222" t="str">
        <f aca="false">IFERROR(IF('Bulk Order Details'!P143="","",IF(_xlfn.xlookup('Bulk Order Details'!P143,Chest[Display],Chest[Use])="Flat",_xlfn.xlookup('Bulk Order Details'!P143,Chest[Display],Chest[Flat]),ROUND(_xlfn.xlookup('Bulk Order Details'!P143,Chest[Display],Chest[Pct])*$E133,2))),"")</f>
        <v/>
      </c>
      <c r="N133" s="222" t="str">
        <f aca="false">IFERROR(IF('Bulk Order Details'!Q143="","",IF(_xlfn.xlookup('Bulk Order Details'!Q143,Chest[Display],Chest[Use])="Flat",_xlfn.xlookup('Bulk Order Details'!Q143,Chest[Display],Chest[Flat]),ROUND(_xlfn.xlookup('Bulk Order Details'!Q143,Chest[Display],Chest[Pct])*$E133,2))),"")</f>
        <v/>
      </c>
      <c r="O133" s="222" t="str">
        <f aca="false">IFERROR(IF('Bulk Order Details'!R143="","",IF(_xlfn.xlookup('Bulk Order Details'!R143,LeftSleeve[Display],LeftSleeve[Use])="Flat",_xlfn.xlookup('Bulk Order Details'!R143,LeftSleeve[Display],LeftSleeve[Flat]),ROUND(_xlfn.xlookup('Bulk Order Details'!R143,LeftSleeve[Display],LeftSleeve[Pct])*$E133,2))),"")</f>
        <v/>
      </c>
      <c r="P133" s="222" t="str">
        <f aca="false">IFERROR(IF('Bulk Order Details'!S143="","",IF(_xlfn.xlookup('Bulk Order Details'!S143,RightSleeve[Display],RightSleeve[Use])="Flat",_xlfn.xlookup('Bulk Order Details'!S143,RightSleeve[Display],RightSleeve[Flat]),ROUND(_xlfn.xlookup('Bulk Order Details'!S143,RightSleeve[Display],RightSleeve[Pct])*$E133,2))),"")</f>
        <v/>
      </c>
      <c r="Q133" s="214" t="str">
        <f aca="false">IF('Bulk Order Details'!J143="","",SUM(F133:P133))</f>
        <v/>
      </c>
      <c r="R133" s="213" t="str">
        <f aca="false">IFERROR(E133-D133,"")</f>
        <v/>
      </c>
      <c r="S133" s="215" t="str">
        <f aca="false">IFERROR(MIN(IF(Summary!$D$11="Yes",-J133,0),IF(H133&gt;0,-J133,0)),"")</f>
        <v/>
      </c>
      <c r="T133" s="212" t="str">
        <f aca="false">IFERROR(IF(Summary!$D$10="Yes",-K133,""),"")</f>
        <v/>
      </c>
      <c r="U133" s="213" t="str">
        <f aca="false">IFERROR(IF(Summary!$D$12="Yes",-L133,""),"")</f>
        <v/>
      </c>
      <c r="V133" s="216" t="str">
        <f aca="false">IF('Bulk Order Details'!J143="","",SUM(R133:U133))</f>
        <v/>
      </c>
      <c r="W133" s="217" t="str">
        <f aca="false">IF('Bulk Order Details'!J143="","",D133+Q133)</f>
        <v/>
      </c>
      <c r="X133" s="218" t="str">
        <f aca="false">IF('Bulk Order Details'!J143="","",D133+Q133+V133)</f>
        <v/>
      </c>
      <c r="Y133" s="219" t="str">
        <f aca="false">IFERROR((W133-X133)/W133,"")</f>
        <v/>
      </c>
      <c r="Z133" s="220" t="str">
        <f aca="false">IF('Bulk Order Details'!J143="","",MAX(1,'Bulk Order Details'!D143))</f>
        <v/>
      </c>
      <c r="AA133" s="217" t="str">
        <f aca="false">IF(Pricing_Details[[#This Row],[Quantity]]="","",Pricing_Details[[#This Row],[Retail Price]]*Pricing_Details[[#This Row],[Quantity]])</f>
        <v/>
      </c>
      <c r="AB133" s="217" t="str">
        <f aca="false">IF(Pricing_Details[[#This Row],[Quantity]]="","",Pricing_Details[[#This Row],[Total Discount]]*Pricing_Details[[#This Row],[Quantity]])</f>
        <v/>
      </c>
      <c r="AC133" s="221" t="str">
        <f aca="false">IFERROR(ROUND(Pricing_Details[[#This Row],[Actual Price]]*Pricing_Details[[#This Row],[Quantity]],2),"")</f>
        <v/>
      </c>
      <c r="AE133" s="179" t="str">
        <f aca="false">IF('Bulk Order Details'!J143="","",VLOOKUP('Bulk Order Details'!H143,Collection[],3)&amp;VLOOKUP('Bulk Order Details'!J143,Collar[],4)&amp;VLOOKUP('Bulk Order Details'!I143,Sleeve[],4))</f>
        <v/>
      </c>
      <c r="AF133" s="179" t="str">
        <f aca="false">IF('Bulk Order Details'!J143="","",LOOKUP('Bulk Order Details'!E143,Cut[Display],Cut[Code])&amp;LOOKUP('Bulk Order Details'!F143,#REF!,#REF!)&amp;IF('Bulk Order Details'!G143="","",LOOKUP('Bulk Order Details'!G143,Length[Display],Length[Code])))</f>
        <v/>
      </c>
      <c r="AG133" s="179" t="str">
        <f aca="false">IF('Bulk Order Details'!J143="","",IF('Bulk Order Details'!C143="","",'Bulk Order Details'!C143))</f>
        <v/>
      </c>
      <c r="AH133" s="179" t="str">
        <f aca="false">IF('Bulk Order Details'!O143="","","-"&amp;LOOKUP('Bulk Order Details'!O143,#REF!,#REF!))</f>
        <v/>
      </c>
      <c r="AI133" s="179" t="str">
        <f aca="false">IF('Bulk Order Details'!P143="","","-"&amp;LOOKUP('Bulk Order Details'!P143,#REF!,#REF!))</f>
        <v/>
      </c>
      <c r="AJ133" s="179" t="str">
        <f aca="false">IF('Bulk Order Details'!Q143="","","-"&amp;LOOKUP('Bulk Order Details'!Q143,#REF!,#REF!))</f>
        <v/>
      </c>
      <c r="AK133" s="179" t="str">
        <f aca="false">IF('Bulk Order Details'!R143="","","-"&amp;LOOKUP('Bulk Order Details'!R143,#REF!,#REF!))</f>
        <v/>
      </c>
      <c r="AL133" s="179" t="str">
        <f aca="false">IF('Bulk Order Details'!S143="","","-"&amp;LOOKUP('Bulk Order Details'!S143,#REF!,#REF!))</f>
        <v/>
      </c>
      <c r="AM133" s="179" t="str">
        <f aca="false">IF(_xlfn.CONCAT(AH133:AL133)="","","Lo"&amp;_xlfn.CONCAT(AH133:AL133))</f>
        <v/>
      </c>
      <c r="AN133" s="179" t="str">
        <f aca="false">IF('Bulk Order Details'!K143="","","Na-"&amp;'Bulk Order Details'!K143)</f>
        <v/>
      </c>
      <c r="AO133" s="179" t="str">
        <f aca="false">IF('Bulk Order Details'!N143="","","Fo-"&amp;'Bulk Order Details'!N143)</f>
        <v/>
      </c>
      <c r="AP133" s="179" t="str">
        <f aca="false">IF(AE133="","",AE133&amp;"_"&amp;AF133&amp;"_"&amp;AG133&amp;IF(AM133="","","_"&amp;AM133)&amp;IF(AN133="","","_"&amp;AN133)&amp;IF(AO133="","","_"&amp;AO133))</f>
        <v/>
      </c>
      <c r="AQ133" s="218" t="str">
        <f aca="false">IF(X133="","",X133)</f>
        <v/>
      </c>
    </row>
    <row r="134" customFormat="false" ht="15" hidden="false" customHeight="true" outlineLevel="0" collapsed="false">
      <c r="B134" s="209" t="n">
        <f aca="false">'Bulk Order Details'!B144</f>
        <v>131</v>
      </c>
      <c r="C134" s="209" t="e">
        <f aca="false">IF('bulk order details'!#ref!="","",'bulk order details'!#ref!&amp;" "&amp;'bulk order details'!#ref!)</f>
        <v>#VALUE!</v>
      </c>
      <c r="D134" s="210" t="str">
        <f aca="false">IF('Bulk Order Details'!J144="","",VLOOKUP(1,Price[],3))</f>
        <v/>
      </c>
      <c r="E134" s="211" t="str">
        <f aca="false">IF('Bulk Order Details'!J144="","",Summary!$D$9)</f>
        <v/>
      </c>
      <c r="F134" s="212" t="str">
        <f aca="false">IF('Bulk Order Details'!F144="","",_xlfn.xlookup('Bulk Order Details'!F144,Size[Display],Size[Price]))</f>
        <v/>
      </c>
      <c r="G134" s="212" t="str">
        <f aca="false">IF('Bulk Order Details'!G144="","",_xlfn.xlookup('Bulk Order Details'!G144,Length[Display],Length[Price]))</f>
        <v/>
      </c>
      <c r="H134" s="212" t="str">
        <f aca="false">IF('Bulk Order Details'!H144="","",_xlfn.xlookup('Bulk Order Details'!H144,Collection[Display],Collection[Price]))</f>
        <v/>
      </c>
      <c r="I134" s="212" t="str">
        <f aca="false">IF('Bulk Order Details'!I144="","",_xlfn.xlookup('Bulk Order Details'!I144,Sleeve[Display],Sleeve[Price]))</f>
        <v/>
      </c>
      <c r="J134" s="212" t="str">
        <f aca="false">IF('Bulk Order Details'!J144="","",_xlfn.xlookup('Bulk Order Details'!J144,Collar[Display],Collar[Price]))</f>
        <v/>
      </c>
      <c r="K134" s="212" t="str">
        <f aca="false">IF('Bulk Order Details'!K144="","",_xlfn.xlookup("Name",Name[Name],Name[Price]))</f>
        <v/>
      </c>
      <c r="L134" s="213" t="str">
        <f aca="false">IFERROR(IF('Bulk Order Details'!O144="","",IF(_xlfn.xlookup('Bulk Order Details'!O144,Logos[Display],Logos[Use])="Flat",_xlfn.xlookup('Bulk Order Details'!O144,Logos[Display],Logos[Flat]),ROUND(_xlfn.xlookup('Bulk Order Details'!O144,Logos[Display],Logos[Pct])*$E134,2))),"")</f>
        <v/>
      </c>
      <c r="M134" s="222" t="str">
        <f aca="false">IFERROR(IF('Bulk Order Details'!P144="","",IF(_xlfn.xlookup('Bulk Order Details'!P144,Chest[Display],Chest[Use])="Flat",_xlfn.xlookup('Bulk Order Details'!P144,Chest[Display],Chest[Flat]),ROUND(_xlfn.xlookup('Bulk Order Details'!P144,Chest[Display],Chest[Pct])*$E134,2))),"")</f>
        <v/>
      </c>
      <c r="N134" s="222" t="str">
        <f aca="false">IFERROR(IF('Bulk Order Details'!Q144="","",IF(_xlfn.xlookup('Bulk Order Details'!Q144,Chest[Display],Chest[Use])="Flat",_xlfn.xlookup('Bulk Order Details'!Q144,Chest[Display],Chest[Flat]),ROUND(_xlfn.xlookup('Bulk Order Details'!Q144,Chest[Display],Chest[Pct])*$E134,2))),"")</f>
        <v/>
      </c>
      <c r="O134" s="222" t="str">
        <f aca="false">IFERROR(IF('Bulk Order Details'!R144="","",IF(_xlfn.xlookup('Bulk Order Details'!R144,LeftSleeve[Display],LeftSleeve[Use])="Flat",_xlfn.xlookup('Bulk Order Details'!R144,LeftSleeve[Display],LeftSleeve[Flat]),ROUND(_xlfn.xlookup('Bulk Order Details'!R144,LeftSleeve[Display],LeftSleeve[Pct])*$E134,2))),"")</f>
        <v/>
      </c>
      <c r="P134" s="222" t="str">
        <f aca="false">IFERROR(IF('Bulk Order Details'!S144="","",IF(_xlfn.xlookup('Bulk Order Details'!S144,RightSleeve[Display],RightSleeve[Use])="Flat",_xlfn.xlookup('Bulk Order Details'!S144,RightSleeve[Display],RightSleeve[Flat]),ROUND(_xlfn.xlookup('Bulk Order Details'!S144,RightSleeve[Display],RightSleeve[Pct])*$E134,2))),"")</f>
        <v/>
      </c>
      <c r="Q134" s="214" t="str">
        <f aca="false">IF('Bulk Order Details'!J144="","",SUM(F134:P134))</f>
        <v/>
      </c>
      <c r="R134" s="213" t="str">
        <f aca="false">IFERROR(E134-D134,"")</f>
        <v/>
      </c>
      <c r="S134" s="215" t="str">
        <f aca="false">IFERROR(MIN(IF(Summary!$D$11="Yes",-J134,0),IF(H134&gt;0,-J134,0)),"")</f>
        <v/>
      </c>
      <c r="T134" s="212" t="str">
        <f aca="false">IFERROR(IF(Summary!$D$10="Yes",-K134,""),"")</f>
        <v/>
      </c>
      <c r="U134" s="213" t="str">
        <f aca="false">IFERROR(IF(Summary!$D$12="Yes",-L134,""),"")</f>
        <v/>
      </c>
      <c r="V134" s="216" t="str">
        <f aca="false">IF('Bulk Order Details'!J144="","",SUM(R134:U134))</f>
        <v/>
      </c>
      <c r="W134" s="217" t="str">
        <f aca="false">IF('Bulk Order Details'!J144="","",D134+Q134)</f>
        <v/>
      </c>
      <c r="X134" s="218" t="str">
        <f aca="false">IF('Bulk Order Details'!J144="","",D134+Q134+V134)</f>
        <v/>
      </c>
      <c r="Y134" s="219" t="str">
        <f aca="false">IFERROR((W134-X134)/W134,"")</f>
        <v/>
      </c>
      <c r="Z134" s="220" t="str">
        <f aca="false">IF('Bulk Order Details'!J144="","",MAX(1,'Bulk Order Details'!D144))</f>
        <v/>
      </c>
      <c r="AA134" s="217" t="str">
        <f aca="false">IF(Pricing_Details[[#This Row],[Quantity]]="","",Pricing_Details[[#This Row],[Retail Price]]*Pricing_Details[[#This Row],[Quantity]])</f>
        <v/>
      </c>
      <c r="AB134" s="217" t="str">
        <f aca="false">IF(Pricing_Details[[#This Row],[Quantity]]="","",Pricing_Details[[#This Row],[Total Discount]]*Pricing_Details[[#This Row],[Quantity]])</f>
        <v/>
      </c>
      <c r="AC134" s="221" t="str">
        <f aca="false">IFERROR(ROUND(Pricing_Details[[#This Row],[Actual Price]]*Pricing_Details[[#This Row],[Quantity]],2),"")</f>
        <v/>
      </c>
      <c r="AE134" s="179" t="str">
        <f aca="false">IF('Bulk Order Details'!J144="","",VLOOKUP('Bulk Order Details'!H144,Collection[],3)&amp;VLOOKUP('Bulk Order Details'!J144,Collar[],4)&amp;VLOOKUP('Bulk Order Details'!I144,Sleeve[],4))</f>
        <v/>
      </c>
      <c r="AF134" s="179" t="str">
        <f aca="false">IF('Bulk Order Details'!J144="","",LOOKUP('Bulk Order Details'!E144,Cut[Display],Cut[Code])&amp;LOOKUP('Bulk Order Details'!F144,#REF!,#REF!)&amp;IF('Bulk Order Details'!G144="","",LOOKUP('Bulk Order Details'!G144,Length[Display],Length[Code])))</f>
        <v/>
      </c>
      <c r="AG134" s="179" t="str">
        <f aca="false">IF('Bulk Order Details'!J144="","",IF('Bulk Order Details'!C144="","",'Bulk Order Details'!C144))</f>
        <v/>
      </c>
      <c r="AH134" s="179" t="str">
        <f aca="false">IF('Bulk Order Details'!O144="","","-"&amp;LOOKUP('Bulk Order Details'!O144,#REF!,#REF!))</f>
        <v/>
      </c>
      <c r="AI134" s="179" t="str">
        <f aca="false">IF('Bulk Order Details'!P144="","","-"&amp;LOOKUP('Bulk Order Details'!P144,#REF!,#REF!))</f>
        <v/>
      </c>
      <c r="AJ134" s="179" t="str">
        <f aca="false">IF('Bulk Order Details'!Q144="","","-"&amp;LOOKUP('Bulk Order Details'!Q144,#REF!,#REF!))</f>
        <v/>
      </c>
      <c r="AK134" s="179" t="str">
        <f aca="false">IF('Bulk Order Details'!R144="","","-"&amp;LOOKUP('Bulk Order Details'!R144,#REF!,#REF!))</f>
        <v/>
      </c>
      <c r="AL134" s="179" t="str">
        <f aca="false">IF('Bulk Order Details'!S144="","","-"&amp;LOOKUP('Bulk Order Details'!S144,#REF!,#REF!))</f>
        <v/>
      </c>
      <c r="AM134" s="179" t="str">
        <f aca="false">IF(_xlfn.CONCAT(AH134:AL134)="","","Lo"&amp;_xlfn.CONCAT(AH134:AL134))</f>
        <v/>
      </c>
      <c r="AN134" s="179" t="str">
        <f aca="false">IF('Bulk Order Details'!K144="","","Na-"&amp;'Bulk Order Details'!K144)</f>
        <v/>
      </c>
      <c r="AO134" s="179" t="str">
        <f aca="false">IF('Bulk Order Details'!N144="","","Fo-"&amp;'Bulk Order Details'!N144)</f>
        <v/>
      </c>
      <c r="AP134" s="179" t="str">
        <f aca="false">IF(AE134="","",AE134&amp;"_"&amp;AF134&amp;"_"&amp;AG134&amp;IF(AM134="","","_"&amp;AM134)&amp;IF(AN134="","","_"&amp;AN134)&amp;IF(AO134="","","_"&amp;AO134))</f>
        <v/>
      </c>
      <c r="AQ134" s="218" t="str">
        <f aca="false">IF(X134="","",X134)</f>
        <v/>
      </c>
    </row>
    <row r="135" customFormat="false" ht="15" hidden="false" customHeight="true" outlineLevel="0" collapsed="false">
      <c r="B135" s="209" t="n">
        <f aca="false">'Bulk Order Details'!B145</f>
        <v>132</v>
      </c>
      <c r="C135" s="209" t="e">
        <f aca="false">IF('bulk order details'!#ref!="","",'bulk order details'!#ref!&amp;" "&amp;'bulk order details'!#ref!)</f>
        <v>#VALUE!</v>
      </c>
      <c r="D135" s="210" t="str">
        <f aca="false">IF('Bulk Order Details'!J145="","",VLOOKUP(1,Price[],3))</f>
        <v/>
      </c>
      <c r="E135" s="211" t="str">
        <f aca="false">IF('Bulk Order Details'!J145="","",Summary!$D$9)</f>
        <v/>
      </c>
      <c r="F135" s="212" t="str">
        <f aca="false">IF('Bulk Order Details'!F145="","",_xlfn.xlookup('Bulk Order Details'!F145,Size[Display],Size[Price]))</f>
        <v/>
      </c>
      <c r="G135" s="212" t="str">
        <f aca="false">IF('Bulk Order Details'!G145="","",_xlfn.xlookup('Bulk Order Details'!G145,Length[Display],Length[Price]))</f>
        <v/>
      </c>
      <c r="H135" s="212" t="str">
        <f aca="false">IF('Bulk Order Details'!H145="","",_xlfn.xlookup('Bulk Order Details'!H145,Collection[Display],Collection[Price]))</f>
        <v/>
      </c>
      <c r="I135" s="212" t="str">
        <f aca="false">IF('Bulk Order Details'!I145="","",_xlfn.xlookup('Bulk Order Details'!I145,Sleeve[Display],Sleeve[Price]))</f>
        <v/>
      </c>
      <c r="J135" s="212" t="str">
        <f aca="false">IF('Bulk Order Details'!J145="","",_xlfn.xlookup('Bulk Order Details'!J145,Collar[Display],Collar[Price]))</f>
        <v/>
      </c>
      <c r="K135" s="212" t="str">
        <f aca="false">IF('Bulk Order Details'!K145="","",_xlfn.xlookup("Name",Name[Name],Name[Price]))</f>
        <v/>
      </c>
      <c r="L135" s="213" t="str">
        <f aca="false">IFERROR(IF('Bulk Order Details'!O145="","",IF(_xlfn.xlookup('Bulk Order Details'!O145,Logos[Display],Logos[Use])="Flat",_xlfn.xlookup('Bulk Order Details'!O145,Logos[Display],Logos[Flat]),ROUND(_xlfn.xlookup('Bulk Order Details'!O145,Logos[Display],Logos[Pct])*$E135,2))),"")</f>
        <v/>
      </c>
      <c r="M135" s="222" t="str">
        <f aca="false">IFERROR(IF('Bulk Order Details'!P145="","",IF(_xlfn.xlookup('Bulk Order Details'!P145,Chest[Display],Chest[Use])="Flat",_xlfn.xlookup('Bulk Order Details'!P145,Chest[Display],Chest[Flat]),ROUND(_xlfn.xlookup('Bulk Order Details'!P145,Chest[Display],Chest[Pct])*$E135,2))),"")</f>
        <v/>
      </c>
      <c r="N135" s="222" t="str">
        <f aca="false">IFERROR(IF('Bulk Order Details'!Q145="","",IF(_xlfn.xlookup('Bulk Order Details'!Q145,Chest[Display],Chest[Use])="Flat",_xlfn.xlookup('Bulk Order Details'!Q145,Chest[Display],Chest[Flat]),ROUND(_xlfn.xlookup('Bulk Order Details'!Q145,Chest[Display],Chest[Pct])*$E135,2))),"")</f>
        <v/>
      </c>
      <c r="O135" s="222" t="str">
        <f aca="false">IFERROR(IF('Bulk Order Details'!R145="","",IF(_xlfn.xlookup('Bulk Order Details'!R145,LeftSleeve[Display],LeftSleeve[Use])="Flat",_xlfn.xlookup('Bulk Order Details'!R145,LeftSleeve[Display],LeftSleeve[Flat]),ROUND(_xlfn.xlookup('Bulk Order Details'!R145,LeftSleeve[Display],LeftSleeve[Pct])*$E135,2))),"")</f>
        <v/>
      </c>
      <c r="P135" s="222" t="str">
        <f aca="false">IFERROR(IF('Bulk Order Details'!S145="","",IF(_xlfn.xlookup('Bulk Order Details'!S145,RightSleeve[Display],RightSleeve[Use])="Flat",_xlfn.xlookup('Bulk Order Details'!S145,RightSleeve[Display],RightSleeve[Flat]),ROUND(_xlfn.xlookup('Bulk Order Details'!S145,RightSleeve[Display],RightSleeve[Pct])*$E135,2))),"")</f>
        <v/>
      </c>
      <c r="Q135" s="214" t="str">
        <f aca="false">IF('Bulk Order Details'!J145="","",SUM(F135:P135))</f>
        <v/>
      </c>
      <c r="R135" s="213" t="str">
        <f aca="false">IFERROR(E135-D135,"")</f>
        <v/>
      </c>
      <c r="S135" s="215" t="str">
        <f aca="false">IFERROR(MIN(IF(Summary!$D$11="Yes",-J135,0),IF(H135&gt;0,-J135,0)),"")</f>
        <v/>
      </c>
      <c r="T135" s="212" t="str">
        <f aca="false">IFERROR(IF(Summary!$D$10="Yes",-K135,""),"")</f>
        <v/>
      </c>
      <c r="U135" s="213" t="str">
        <f aca="false">IFERROR(IF(Summary!$D$12="Yes",-L135,""),"")</f>
        <v/>
      </c>
      <c r="V135" s="216" t="str">
        <f aca="false">IF('Bulk Order Details'!J145="","",SUM(R135:U135))</f>
        <v/>
      </c>
      <c r="W135" s="217" t="str">
        <f aca="false">IF('Bulk Order Details'!J145="","",D135+Q135)</f>
        <v/>
      </c>
      <c r="X135" s="218" t="str">
        <f aca="false">IF('Bulk Order Details'!J145="","",D135+Q135+V135)</f>
        <v/>
      </c>
      <c r="Y135" s="219" t="str">
        <f aca="false">IFERROR((W135-X135)/W135,"")</f>
        <v/>
      </c>
      <c r="Z135" s="220" t="str">
        <f aca="false">IF('Bulk Order Details'!J145="","",MAX(1,'Bulk Order Details'!D145))</f>
        <v/>
      </c>
      <c r="AA135" s="217" t="str">
        <f aca="false">IF(Pricing_Details[[#This Row],[Quantity]]="","",Pricing_Details[[#This Row],[Retail Price]]*Pricing_Details[[#This Row],[Quantity]])</f>
        <v/>
      </c>
      <c r="AB135" s="217" t="str">
        <f aca="false">IF(Pricing_Details[[#This Row],[Quantity]]="","",Pricing_Details[[#This Row],[Total Discount]]*Pricing_Details[[#This Row],[Quantity]])</f>
        <v/>
      </c>
      <c r="AC135" s="221" t="str">
        <f aca="false">IFERROR(ROUND(Pricing_Details[[#This Row],[Actual Price]]*Pricing_Details[[#This Row],[Quantity]],2),"")</f>
        <v/>
      </c>
      <c r="AE135" s="179" t="str">
        <f aca="false">IF('Bulk Order Details'!J145="","",VLOOKUP('Bulk Order Details'!H145,Collection[],3)&amp;VLOOKUP('Bulk Order Details'!J145,Collar[],4)&amp;VLOOKUP('Bulk Order Details'!I145,Sleeve[],4))</f>
        <v/>
      </c>
      <c r="AF135" s="179" t="str">
        <f aca="false">IF('Bulk Order Details'!J145="","",LOOKUP('Bulk Order Details'!E145,Cut[Display],Cut[Code])&amp;LOOKUP('Bulk Order Details'!F145,#REF!,#REF!)&amp;IF('Bulk Order Details'!G145="","",LOOKUP('Bulk Order Details'!G145,Length[Display],Length[Code])))</f>
        <v/>
      </c>
      <c r="AG135" s="179" t="str">
        <f aca="false">IF('Bulk Order Details'!J145="","",IF('Bulk Order Details'!C145="","",'Bulk Order Details'!C145))</f>
        <v/>
      </c>
      <c r="AH135" s="179" t="str">
        <f aca="false">IF('Bulk Order Details'!O145="","","-"&amp;LOOKUP('Bulk Order Details'!O145,#REF!,#REF!))</f>
        <v/>
      </c>
      <c r="AI135" s="179" t="str">
        <f aca="false">IF('Bulk Order Details'!P145="","","-"&amp;LOOKUP('Bulk Order Details'!P145,#REF!,#REF!))</f>
        <v/>
      </c>
      <c r="AJ135" s="179" t="str">
        <f aca="false">IF('Bulk Order Details'!Q145="","","-"&amp;LOOKUP('Bulk Order Details'!Q145,#REF!,#REF!))</f>
        <v/>
      </c>
      <c r="AK135" s="179" t="str">
        <f aca="false">IF('Bulk Order Details'!R145="","","-"&amp;LOOKUP('Bulk Order Details'!R145,#REF!,#REF!))</f>
        <v/>
      </c>
      <c r="AL135" s="179" t="str">
        <f aca="false">IF('Bulk Order Details'!S145="","","-"&amp;LOOKUP('Bulk Order Details'!S145,#REF!,#REF!))</f>
        <v/>
      </c>
      <c r="AM135" s="179" t="str">
        <f aca="false">IF(_xlfn.CONCAT(AH135:AL135)="","","Lo"&amp;_xlfn.CONCAT(AH135:AL135))</f>
        <v/>
      </c>
      <c r="AN135" s="179" t="str">
        <f aca="false">IF('Bulk Order Details'!K145="","","Na-"&amp;'Bulk Order Details'!K145)</f>
        <v/>
      </c>
      <c r="AO135" s="179" t="str">
        <f aca="false">IF('Bulk Order Details'!N145="","","Fo-"&amp;'Bulk Order Details'!N145)</f>
        <v/>
      </c>
      <c r="AP135" s="179" t="str">
        <f aca="false">IF(AE135="","",AE135&amp;"_"&amp;AF135&amp;"_"&amp;AG135&amp;IF(AM135="","","_"&amp;AM135)&amp;IF(AN135="","","_"&amp;AN135)&amp;IF(AO135="","","_"&amp;AO135))</f>
        <v/>
      </c>
      <c r="AQ135" s="218" t="str">
        <f aca="false">IF(X135="","",X135)</f>
        <v/>
      </c>
    </row>
    <row r="136" customFormat="false" ht="15" hidden="false" customHeight="true" outlineLevel="0" collapsed="false">
      <c r="B136" s="209" t="n">
        <f aca="false">'Bulk Order Details'!B146</f>
        <v>133</v>
      </c>
      <c r="C136" s="209" t="e">
        <f aca="false">IF('bulk order details'!#ref!="","",'bulk order details'!#ref!&amp;" "&amp;'bulk order details'!#ref!)</f>
        <v>#VALUE!</v>
      </c>
      <c r="D136" s="210" t="str">
        <f aca="false">IF('Bulk Order Details'!J146="","",VLOOKUP(1,Price[],3))</f>
        <v/>
      </c>
      <c r="E136" s="211" t="str">
        <f aca="false">IF('Bulk Order Details'!J146="","",Summary!$D$9)</f>
        <v/>
      </c>
      <c r="F136" s="212" t="str">
        <f aca="false">IF('Bulk Order Details'!F146="","",_xlfn.xlookup('Bulk Order Details'!F146,Size[Display],Size[Price]))</f>
        <v/>
      </c>
      <c r="G136" s="212" t="str">
        <f aca="false">IF('Bulk Order Details'!G146="","",_xlfn.xlookup('Bulk Order Details'!G146,Length[Display],Length[Price]))</f>
        <v/>
      </c>
      <c r="H136" s="212" t="str">
        <f aca="false">IF('Bulk Order Details'!H146="","",_xlfn.xlookup('Bulk Order Details'!H146,Collection[Display],Collection[Price]))</f>
        <v/>
      </c>
      <c r="I136" s="212" t="str">
        <f aca="false">IF('Bulk Order Details'!I146="","",_xlfn.xlookup('Bulk Order Details'!I146,Sleeve[Display],Sleeve[Price]))</f>
        <v/>
      </c>
      <c r="J136" s="212" t="str">
        <f aca="false">IF('Bulk Order Details'!J146="","",_xlfn.xlookup('Bulk Order Details'!J146,Collar[Display],Collar[Price]))</f>
        <v/>
      </c>
      <c r="K136" s="212" t="str">
        <f aca="false">IF('Bulk Order Details'!K146="","",_xlfn.xlookup("Name",Name[Name],Name[Price]))</f>
        <v/>
      </c>
      <c r="L136" s="213" t="str">
        <f aca="false">IFERROR(IF('Bulk Order Details'!O146="","",IF(_xlfn.xlookup('Bulk Order Details'!O146,Logos[Display],Logos[Use])="Flat",_xlfn.xlookup('Bulk Order Details'!O146,Logos[Display],Logos[Flat]),ROUND(_xlfn.xlookup('Bulk Order Details'!O146,Logos[Display],Logos[Pct])*$E136,2))),"")</f>
        <v/>
      </c>
      <c r="M136" s="222" t="str">
        <f aca="false">IFERROR(IF('Bulk Order Details'!P146="","",IF(_xlfn.xlookup('Bulk Order Details'!P146,Chest[Display],Chest[Use])="Flat",_xlfn.xlookup('Bulk Order Details'!P146,Chest[Display],Chest[Flat]),ROUND(_xlfn.xlookup('Bulk Order Details'!P146,Chest[Display],Chest[Pct])*$E136,2))),"")</f>
        <v/>
      </c>
      <c r="N136" s="222" t="str">
        <f aca="false">IFERROR(IF('Bulk Order Details'!Q146="","",IF(_xlfn.xlookup('Bulk Order Details'!Q146,Chest[Display],Chest[Use])="Flat",_xlfn.xlookup('Bulk Order Details'!Q146,Chest[Display],Chest[Flat]),ROUND(_xlfn.xlookup('Bulk Order Details'!Q146,Chest[Display],Chest[Pct])*$E136,2))),"")</f>
        <v/>
      </c>
      <c r="O136" s="222" t="str">
        <f aca="false">IFERROR(IF('Bulk Order Details'!R146="","",IF(_xlfn.xlookup('Bulk Order Details'!R146,LeftSleeve[Display],LeftSleeve[Use])="Flat",_xlfn.xlookup('Bulk Order Details'!R146,LeftSleeve[Display],LeftSleeve[Flat]),ROUND(_xlfn.xlookup('Bulk Order Details'!R146,LeftSleeve[Display],LeftSleeve[Pct])*$E136,2))),"")</f>
        <v/>
      </c>
      <c r="P136" s="222" t="str">
        <f aca="false">IFERROR(IF('Bulk Order Details'!S146="","",IF(_xlfn.xlookup('Bulk Order Details'!S146,RightSleeve[Display],RightSleeve[Use])="Flat",_xlfn.xlookup('Bulk Order Details'!S146,RightSleeve[Display],RightSleeve[Flat]),ROUND(_xlfn.xlookup('Bulk Order Details'!S146,RightSleeve[Display],RightSleeve[Pct])*$E136,2))),"")</f>
        <v/>
      </c>
      <c r="Q136" s="214" t="str">
        <f aca="false">IF('Bulk Order Details'!J146="","",SUM(F136:P136))</f>
        <v/>
      </c>
      <c r="R136" s="213" t="str">
        <f aca="false">IFERROR(E136-D136,"")</f>
        <v/>
      </c>
      <c r="S136" s="215" t="str">
        <f aca="false">IFERROR(MIN(IF(Summary!$D$11="Yes",-J136,0),IF(H136&gt;0,-J136,0)),"")</f>
        <v/>
      </c>
      <c r="T136" s="212" t="str">
        <f aca="false">IFERROR(IF(Summary!$D$10="Yes",-K136,""),"")</f>
        <v/>
      </c>
      <c r="U136" s="213" t="str">
        <f aca="false">IFERROR(IF(Summary!$D$12="Yes",-L136,""),"")</f>
        <v/>
      </c>
      <c r="V136" s="216" t="str">
        <f aca="false">IF('Bulk Order Details'!J146="","",SUM(R136:U136))</f>
        <v/>
      </c>
      <c r="W136" s="217" t="str">
        <f aca="false">IF('Bulk Order Details'!J146="","",D136+Q136)</f>
        <v/>
      </c>
      <c r="X136" s="218" t="str">
        <f aca="false">IF('Bulk Order Details'!J146="","",D136+Q136+V136)</f>
        <v/>
      </c>
      <c r="Y136" s="219" t="str">
        <f aca="false">IFERROR((W136-X136)/W136,"")</f>
        <v/>
      </c>
      <c r="Z136" s="220" t="str">
        <f aca="false">IF('Bulk Order Details'!J146="","",MAX(1,'Bulk Order Details'!D146))</f>
        <v/>
      </c>
      <c r="AA136" s="217" t="str">
        <f aca="false">IF(Pricing_Details[[#This Row],[Quantity]]="","",Pricing_Details[[#This Row],[Retail Price]]*Pricing_Details[[#This Row],[Quantity]])</f>
        <v/>
      </c>
      <c r="AB136" s="217" t="str">
        <f aca="false">IF(Pricing_Details[[#This Row],[Quantity]]="","",Pricing_Details[[#This Row],[Total Discount]]*Pricing_Details[[#This Row],[Quantity]])</f>
        <v/>
      </c>
      <c r="AC136" s="221" t="str">
        <f aca="false">IFERROR(ROUND(Pricing_Details[[#This Row],[Actual Price]]*Pricing_Details[[#This Row],[Quantity]],2),"")</f>
        <v/>
      </c>
      <c r="AE136" s="179" t="str">
        <f aca="false">IF('Bulk Order Details'!J146="","",VLOOKUP('Bulk Order Details'!H146,Collection[],3)&amp;VLOOKUP('Bulk Order Details'!J146,Collar[],4)&amp;VLOOKUP('Bulk Order Details'!I146,Sleeve[],4))</f>
        <v/>
      </c>
      <c r="AF136" s="179" t="str">
        <f aca="false">IF('Bulk Order Details'!J146="","",LOOKUP('Bulk Order Details'!E146,Cut[Display],Cut[Code])&amp;LOOKUP('Bulk Order Details'!F146,#REF!,#REF!)&amp;IF('Bulk Order Details'!G146="","",LOOKUP('Bulk Order Details'!G146,Length[Display],Length[Code])))</f>
        <v/>
      </c>
      <c r="AG136" s="179" t="str">
        <f aca="false">IF('Bulk Order Details'!J146="","",IF('Bulk Order Details'!C146="","",'Bulk Order Details'!C146))</f>
        <v/>
      </c>
      <c r="AH136" s="179" t="str">
        <f aca="false">IF('Bulk Order Details'!O146="","","-"&amp;LOOKUP('Bulk Order Details'!O146,#REF!,#REF!))</f>
        <v/>
      </c>
      <c r="AI136" s="179" t="str">
        <f aca="false">IF('Bulk Order Details'!P146="","","-"&amp;LOOKUP('Bulk Order Details'!P146,#REF!,#REF!))</f>
        <v/>
      </c>
      <c r="AJ136" s="179" t="str">
        <f aca="false">IF('Bulk Order Details'!Q146="","","-"&amp;LOOKUP('Bulk Order Details'!Q146,#REF!,#REF!))</f>
        <v/>
      </c>
      <c r="AK136" s="179" t="str">
        <f aca="false">IF('Bulk Order Details'!R146="","","-"&amp;LOOKUP('Bulk Order Details'!R146,#REF!,#REF!))</f>
        <v/>
      </c>
      <c r="AL136" s="179" t="str">
        <f aca="false">IF('Bulk Order Details'!S146="","","-"&amp;LOOKUP('Bulk Order Details'!S146,#REF!,#REF!))</f>
        <v/>
      </c>
      <c r="AM136" s="179" t="str">
        <f aca="false">IF(_xlfn.CONCAT(AH136:AL136)="","","Lo"&amp;_xlfn.CONCAT(AH136:AL136))</f>
        <v/>
      </c>
      <c r="AN136" s="179" t="str">
        <f aca="false">IF('Bulk Order Details'!K146="","","Na-"&amp;'Bulk Order Details'!K146)</f>
        <v/>
      </c>
      <c r="AO136" s="179" t="str">
        <f aca="false">IF('Bulk Order Details'!N146="","","Fo-"&amp;'Bulk Order Details'!N146)</f>
        <v/>
      </c>
      <c r="AP136" s="179" t="str">
        <f aca="false">IF(AE136="","",AE136&amp;"_"&amp;AF136&amp;"_"&amp;AG136&amp;IF(AM136="","","_"&amp;AM136)&amp;IF(AN136="","","_"&amp;AN136)&amp;IF(AO136="","","_"&amp;AO136))</f>
        <v/>
      </c>
      <c r="AQ136" s="218" t="str">
        <f aca="false">IF(X136="","",X136)</f>
        <v/>
      </c>
    </row>
    <row r="137" customFormat="false" ht="15" hidden="false" customHeight="true" outlineLevel="0" collapsed="false">
      <c r="B137" s="209" t="n">
        <f aca="false">'Bulk Order Details'!B147</f>
        <v>134</v>
      </c>
      <c r="C137" s="209" t="e">
        <f aca="false">IF('bulk order details'!#ref!="","",'bulk order details'!#ref!&amp;" "&amp;'bulk order details'!#ref!)</f>
        <v>#VALUE!</v>
      </c>
      <c r="D137" s="210" t="str">
        <f aca="false">IF('Bulk Order Details'!J147="","",VLOOKUP(1,Price[],3))</f>
        <v/>
      </c>
      <c r="E137" s="211" t="str">
        <f aca="false">IF('Bulk Order Details'!J147="","",Summary!$D$9)</f>
        <v/>
      </c>
      <c r="F137" s="212" t="str">
        <f aca="false">IF('Bulk Order Details'!F147="","",_xlfn.xlookup('Bulk Order Details'!F147,Size[Display],Size[Price]))</f>
        <v/>
      </c>
      <c r="G137" s="212" t="str">
        <f aca="false">IF('Bulk Order Details'!G147="","",_xlfn.xlookup('Bulk Order Details'!G147,Length[Display],Length[Price]))</f>
        <v/>
      </c>
      <c r="H137" s="212" t="str">
        <f aca="false">IF('Bulk Order Details'!H147="","",_xlfn.xlookup('Bulk Order Details'!H147,Collection[Display],Collection[Price]))</f>
        <v/>
      </c>
      <c r="I137" s="212" t="str">
        <f aca="false">IF('Bulk Order Details'!I147="","",_xlfn.xlookup('Bulk Order Details'!I147,Sleeve[Display],Sleeve[Price]))</f>
        <v/>
      </c>
      <c r="J137" s="212" t="str">
        <f aca="false">IF('Bulk Order Details'!J147="","",_xlfn.xlookup('Bulk Order Details'!J147,Collar[Display],Collar[Price]))</f>
        <v/>
      </c>
      <c r="K137" s="212" t="str">
        <f aca="false">IF('Bulk Order Details'!K147="","",_xlfn.xlookup("Name",Name[Name],Name[Price]))</f>
        <v/>
      </c>
      <c r="L137" s="213" t="str">
        <f aca="false">IFERROR(IF('Bulk Order Details'!O147="","",IF(_xlfn.xlookup('Bulk Order Details'!O147,Logos[Display],Logos[Use])="Flat",_xlfn.xlookup('Bulk Order Details'!O147,Logos[Display],Logos[Flat]),ROUND(_xlfn.xlookup('Bulk Order Details'!O147,Logos[Display],Logos[Pct])*$E137,2))),"")</f>
        <v/>
      </c>
      <c r="M137" s="222" t="str">
        <f aca="false">IFERROR(IF('Bulk Order Details'!P147="","",IF(_xlfn.xlookup('Bulk Order Details'!P147,Chest[Display],Chest[Use])="Flat",_xlfn.xlookup('Bulk Order Details'!P147,Chest[Display],Chest[Flat]),ROUND(_xlfn.xlookup('Bulk Order Details'!P147,Chest[Display],Chest[Pct])*$E137,2))),"")</f>
        <v/>
      </c>
      <c r="N137" s="222" t="str">
        <f aca="false">IFERROR(IF('Bulk Order Details'!Q147="","",IF(_xlfn.xlookup('Bulk Order Details'!Q147,Chest[Display],Chest[Use])="Flat",_xlfn.xlookup('Bulk Order Details'!Q147,Chest[Display],Chest[Flat]),ROUND(_xlfn.xlookup('Bulk Order Details'!Q147,Chest[Display],Chest[Pct])*$E137,2))),"")</f>
        <v/>
      </c>
      <c r="O137" s="222" t="str">
        <f aca="false">IFERROR(IF('Bulk Order Details'!R147="","",IF(_xlfn.xlookup('Bulk Order Details'!R147,LeftSleeve[Display],LeftSleeve[Use])="Flat",_xlfn.xlookup('Bulk Order Details'!R147,LeftSleeve[Display],LeftSleeve[Flat]),ROUND(_xlfn.xlookup('Bulk Order Details'!R147,LeftSleeve[Display],LeftSleeve[Pct])*$E137,2))),"")</f>
        <v/>
      </c>
      <c r="P137" s="222" t="str">
        <f aca="false">IFERROR(IF('Bulk Order Details'!S147="","",IF(_xlfn.xlookup('Bulk Order Details'!S147,RightSleeve[Display],RightSleeve[Use])="Flat",_xlfn.xlookup('Bulk Order Details'!S147,RightSleeve[Display],RightSleeve[Flat]),ROUND(_xlfn.xlookup('Bulk Order Details'!S147,RightSleeve[Display],RightSleeve[Pct])*$E137,2))),"")</f>
        <v/>
      </c>
      <c r="Q137" s="214" t="str">
        <f aca="false">IF('Bulk Order Details'!J147="","",SUM(F137:P137))</f>
        <v/>
      </c>
      <c r="R137" s="213" t="str">
        <f aca="false">IFERROR(E137-D137,"")</f>
        <v/>
      </c>
      <c r="S137" s="215" t="str">
        <f aca="false">IFERROR(MIN(IF(Summary!$D$11="Yes",-J137,0),IF(H137&gt;0,-J137,0)),"")</f>
        <v/>
      </c>
      <c r="T137" s="212" t="str">
        <f aca="false">IFERROR(IF(Summary!$D$10="Yes",-K137,""),"")</f>
        <v/>
      </c>
      <c r="U137" s="213" t="str">
        <f aca="false">IFERROR(IF(Summary!$D$12="Yes",-L137,""),"")</f>
        <v/>
      </c>
      <c r="V137" s="216" t="str">
        <f aca="false">IF('Bulk Order Details'!J147="","",SUM(R137:U137))</f>
        <v/>
      </c>
      <c r="W137" s="217" t="str">
        <f aca="false">IF('Bulk Order Details'!J147="","",D137+Q137)</f>
        <v/>
      </c>
      <c r="X137" s="218" t="str">
        <f aca="false">IF('Bulk Order Details'!J147="","",D137+Q137+V137)</f>
        <v/>
      </c>
      <c r="Y137" s="219" t="str">
        <f aca="false">IFERROR((W137-X137)/W137,"")</f>
        <v/>
      </c>
      <c r="Z137" s="220" t="str">
        <f aca="false">IF('Bulk Order Details'!J147="","",MAX(1,'Bulk Order Details'!D147))</f>
        <v/>
      </c>
      <c r="AA137" s="217" t="str">
        <f aca="false">IF(Pricing_Details[[#This Row],[Quantity]]="","",Pricing_Details[[#This Row],[Retail Price]]*Pricing_Details[[#This Row],[Quantity]])</f>
        <v/>
      </c>
      <c r="AB137" s="217" t="str">
        <f aca="false">IF(Pricing_Details[[#This Row],[Quantity]]="","",Pricing_Details[[#This Row],[Total Discount]]*Pricing_Details[[#This Row],[Quantity]])</f>
        <v/>
      </c>
      <c r="AC137" s="221" t="str">
        <f aca="false">IFERROR(ROUND(Pricing_Details[[#This Row],[Actual Price]]*Pricing_Details[[#This Row],[Quantity]],2),"")</f>
        <v/>
      </c>
      <c r="AE137" s="179" t="str">
        <f aca="false">IF('Bulk Order Details'!J147="","",VLOOKUP('Bulk Order Details'!H147,Collection[],3)&amp;VLOOKUP('Bulk Order Details'!J147,Collar[],4)&amp;VLOOKUP('Bulk Order Details'!I147,Sleeve[],4))</f>
        <v/>
      </c>
      <c r="AF137" s="179" t="str">
        <f aca="false">IF('Bulk Order Details'!J147="","",LOOKUP('Bulk Order Details'!E147,Cut[Display],Cut[Code])&amp;LOOKUP('Bulk Order Details'!F147,#REF!,#REF!)&amp;IF('Bulk Order Details'!G147="","",LOOKUP('Bulk Order Details'!G147,Length[Display],Length[Code])))</f>
        <v/>
      </c>
      <c r="AG137" s="179" t="str">
        <f aca="false">IF('Bulk Order Details'!J147="","",IF('Bulk Order Details'!C147="","",'Bulk Order Details'!C147))</f>
        <v/>
      </c>
      <c r="AH137" s="179" t="str">
        <f aca="false">IF('Bulk Order Details'!O147="","","-"&amp;LOOKUP('Bulk Order Details'!O147,#REF!,#REF!))</f>
        <v/>
      </c>
      <c r="AI137" s="179" t="str">
        <f aca="false">IF('Bulk Order Details'!P147="","","-"&amp;LOOKUP('Bulk Order Details'!P147,#REF!,#REF!))</f>
        <v/>
      </c>
      <c r="AJ137" s="179" t="str">
        <f aca="false">IF('Bulk Order Details'!Q147="","","-"&amp;LOOKUP('Bulk Order Details'!Q147,#REF!,#REF!))</f>
        <v/>
      </c>
      <c r="AK137" s="179" t="str">
        <f aca="false">IF('Bulk Order Details'!R147="","","-"&amp;LOOKUP('Bulk Order Details'!R147,#REF!,#REF!))</f>
        <v/>
      </c>
      <c r="AL137" s="179" t="str">
        <f aca="false">IF('Bulk Order Details'!S147="","","-"&amp;LOOKUP('Bulk Order Details'!S147,#REF!,#REF!))</f>
        <v/>
      </c>
      <c r="AM137" s="179" t="str">
        <f aca="false">IF(_xlfn.CONCAT(AH137:AL137)="","","Lo"&amp;_xlfn.CONCAT(AH137:AL137))</f>
        <v/>
      </c>
      <c r="AN137" s="179" t="str">
        <f aca="false">IF('Bulk Order Details'!K147="","","Na-"&amp;'Bulk Order Details'!K147)</f>
        <v/>
      </c>
      <c r="AO137" s="179" t="str">
        <f aca="false">IF('Bulk Order Details'!N147="","","Fo-"&amp;'Bulk Order Details'!N147)</f>
        <v/>
      </c>
      <c r="AP137" s="179" t="str">
        <f aca="false">IF(AE137="","",AE137&amp;"_"&amp;AF137&amp;"_"&amp;AG137&amp;IF(AM137="","","_"&amp;AM137)&amp;IF(AN137="","","_"&amp;AN137)&amp;IF(AO137="","","_"&amp;AO137))</f>
        <v/>
      </c>
      <c r="AQ137" s="218" t="str">
        <f aca="false">IF(X137="","",X137)</f>
        <v/>
      </c>
    </row>
    <row r="138" customFormat="false" ht="15" hidden="false" customHeight="true" outlineLevel="0" collapsed="false">
      <c r="B138" s="209" t="n">
        <f aca="false">'Bulk Order Details'!B148</f>
        <v>135</v>
      </c>
      <c r="C138" s="209" t="e">
        <f aca="false">IF('bulk order details'!#ref!="","",'bulk order details'!#ref!&amp;" "&amp;'bulk order details'!#ref!)</f>
        <v>#VALUE!</v>
      </c>
      <c r="D138" s="210" t="str">
        <f aca="false">IF('Bulk Order Details'!J148="","",VLOOKUP(1,Price[],3))</f>
        <v/>
      </c>
      <c r="E138" s="211" t="str">
        <f aca="false">IF('Bulk Order Details'!J148="","",Summary!$D$9)</f>
        <v/>
      </c>
      <c r="F138" s="212" t="str">
        <f aca="false">IF('Bulk Order Details'!F148="","",_xlfn.xlookup('Bulk Order Details'!F148,Size[Display],Size[Price]))</f>
        <v/>
      </c>
      <c r="G138" s="212" t="str">
        <f aca="false">IF('Bulk Order Details'!G148="","",_xlfn.xlookup('Bulk Order Details'!G148,Length[Display],Length[Price]))</f>
        <v/>
      </c>
      <c r="H138" s="212" t="str">
        <f aca="false">IF('Bulk Order Details'!H148="","",_xlfn.xlookup('Bulk Order Details'!H148,Collection[Display],Collection[Price]))</f>
        <v/>
      </c>
      <c r="I138" s="212" t="str">
        <f aca="false">IF('Bulk Order Details'!I148="","",_xlfn.xlookup('Bulk Order Details'!I148,Sleeve[Display],Sleeve[Price]))</f>
        <v/>
      </c>
      <c r="J138" s="212" t="str">
        <f aca="false">IF('Bulk Order Details'!J148="","",_xlfn.xlookup('Bulk Order Details'!J148,Collar[Display],Collar[Price]))</f>
        <v/>
      </c>
      <c r="K138" s="212" t="str">
        <f aca="false">IF('Bulk Order Details'!K148="","",_xlfn.xlookup("Name",Name[Name],Name[Price]))</f>
        <v/>
      </c>
      <c r="L138" s="213" t="str">
        <f aca="false">IFERROR(IF('Bulk Order Details'!O148="","",IF(_xlfn.xlookup('Bulk Order Details'!O148,Logos[Display],Logos[Use])="Flat",_xlfn.xlookup('Bulk Order Details'!O148,Logos[Display],Logos[Flat]),ROUND(_xlfn.xlookup('Bulk Order Details'!O148,Logos[Display],Logos[Pct])*$E138,2))),"")</f>
        <v/>
      </c>
      <c r="M138" s="222" t="str">
        <f aca="false">IFERROR(IF('Bulk Order Details'!P148="","",IF(_xlfn.xlookup('Bulk Order Details'!P148,Chest[Display],Chest[Use])="Flat",_xlfn.xlookup('Bulk Order Details'!P148,Chest[Display],Chest[Flat]),ROUND(_xlfn.xlookup('Bulk Order Details'!P148,Chest[Display],Chest[Pct])*$E138,2))),"")</f>
        <v/>
      </c>
      <c r="N138" s="222" t="str">
        <f aca="false">IFERROR(IF('Bulk Order Details'!Q148="","",IF(_xlfn.xlookup('Bulk Order Details'!Q148,Chest[Display],Chest[Use])="Flat",_xlfn.xlookup('Bulk Order Details'!Q148,Chest[Display],Chest[Flat]),ROUND(_xlfn.xlookup('Bulk Order Details'!Q148,Chest[Display],Chest[Pct])*$E138,2))),"")</f>
        <v/>
      </c>
      <c r="O138" s="222" t="str">
        <f aca="false">IFERROR(IF('Bulk Order Details'!R148="","",IF(_xlfn.xlookup('Bulk Order Details'!R148,LeftSleeve[Display],LeftSleeve[Use])="Flat",_xlfn.xlookup('Bulk Order Details'!R148,LeftSleeve[Display],LeftSleeve[Flat]),ROUND(_xlfn.xlookup('Bulk Order Details'!R148,LeftSleeve[Display],LeftSleeve[Pct])*$E138,2))),"")</f>
        <v/>
      </c>
      <c r="P138" s="222" t="str">
        <f aca="false">IFERROR(IF('Bulk Order Details'!S148="","",IF(_xlfn.xlookup('Bulk Order Details'!S148,RightSleeve[Display],RightSleeve[Use])="Flat",_xlfn.xlookup('Bulk Order Details'!S148,RightSleeve[Display],RightSleeve[Flat]),ROUND(_xlfn.xlookup('Bulk Order Details'!S148,RightSleeve[Display],RightSleeve[Pct])*$E138,2))),"")</f>
        <v/>
      </c>
      <c r="Q138" s="214" t="str">
        <f aca="false">IF('Bulk Order Details'!J148="","",SUM(F138:P138))</f>
        <v/>
      </c>
      <c r="R138" s="213" t="str">
        <f aca="false">IFERROR(E138-D138,"")</f>
        <v/>
      </c>
      <c r="S138" s="215" t="str">
        <f aca="false">IFERROR(MIN(IF(Summary!$D$11="Yes",-J138,0),IF(H138&gt;0,-J138,0)),"")</f>
        <v/>
      </c>
      <c r="T138" s="212" t="str">
        <f aca="false">IFERROR(IF(Summary!$D$10="Yes",-K138,""),"")</f>
        <v/>
      </c>
      <c r="U138" s="213" t="str">
        <f aca="false">IFERROR(IF(Summary!$D$12="Yes",-L138,""),"")</f>
        <v/>
      </c>
      <c r="V138" s="216" t="str">
        <f aca="false">IF('Bulk Order Details'!J148="","",SUM(R138:U138))</f>
        <v/>
      </c>
      <c r="W138" s="217" t="str">
        <f aca="false">IF('Bulk Order Details'!J148="","",D138+Q138)</f>
        <v/>
      </c>
      <c r="X138" s="218" t="str">
        <f aca="false">IF('Bulk Order Details'!J148="","",D138+Q138+V138)</f>
        <v/>
      </c>
      <c r="Y138" s="219" t="str">
        <f aca="false">IFERROR((W138-X138)/W138,"")</f>
        <v/>
      </c>
      <c r="Z138" s="220" t="str">
        <f aca="false">IF('Bulk Order Details'!J148="","",MAX(1,'Bulk Order Details'!D148))</f>
        <v/>
      </c>
      <c r="AA138" s="217" t="str">
        <f aca="false">IF(Pricing_Details[[#This Row],[Quantity]]="","",Pricing_Details[[#This Row],[Retail Price]]*Pricing_Details[[#This Row],[Quantity]])</f>
        <v/>
      </c>
      <c r="AB138" s="217" t="str">
        <f aca="false">IF(Pricing_Details[[#This Row],[Quantity]]="","",Pricing_Details[[#This Row],[Total Discount]]*Pricing_Details[[#This Row],[Quantity]])</f>
        <v/>
      </c>
      <c r="AC138" s="221" t="str">
        <f aca="false">IFERROR(ROUND(Pricing_Details[[#This Row],[Actual Price]]*Pricing_Details[[#This Row],[Quantity]],2),"")</f>
        <v/>
      </c>
      <c r="AE138" s="179" t="str">
        <f aca="false">IF('Bulk Order Details'!J148="","",VLOOKUP('Bulk Order Details'!H148,Collection[],3)&amp;VLOOKUP('Bulk Order Details'!J148,Collar[],4)&amp;VLOOKUP('Bulk Order Details'!I148,Sleeve[],4))</f>
        <v/>
      </c>
      <c r="AF138" s="179" t="str">
        <f aca="false">IF('Bulk Order Details'!J148="","",LOOKUP('Bulk Order Details'!E148,Cut[Display],Cut[Code])&amp;LOOKUP('Bulk Order Details'!F148,#REF!,#REF!)&amp;IF('Bulk Order Details'!G148="","",LOOKUP('Bulk Order Details'!G148,Length[Display],Length[Code])))</f>
        <v/>
      </c>
      <c r="AG138" s="179" t="str">
        <f aca="false">IF('Bulk Order Details'!J148="","",IF('Bulk Order Details'!C148="","",'Bulk Order Details'!C148))</f>
        <v/>
      </c>
      <c r="AH138" s="179" t="str">
        <f aca="false">IF('Bulk Order Details'!O148="","","-"&amp;LOOKUP('Bulk Order Details'!O148,#REF!,#REF!))</f>
        <v/>
      </c>
      <c r="AI138" s="179" t="str">
        <f aca="false">IF('Bulk Order Details'!P148="","","-"&amp;LOOKUP('Bulk Order Details'!P148,#REF!,#REF!))</f>
        <v/>
      </c>
      <c r="AJ138" s="179" t="str">
        <f aca="false">IF('Bulk Order Details'!Q148="","","-"&amp;LOOKUP('Bulk Order Details'!Q148,#REF!,#REF!))</f>
        <v/>
      </c>
      <c r="AK138" s="179" t="str">
        <f aca="false">IF('Bulk Order Details'!R148="","","-"&amp;LOOKUP('Bulk Order Details'!R148,#REF!,#REF!))</f>
        <v/>
      </c>
      <c r="AL138" s="179" t="str">
        <f aca="false">IF('Bulk Order Details'!S148="","","-"&amp;LOOKUP('Bulk Order Details'!S148,#REF!,#REF!))</f>
        <v/>
      </c>
      <c r="AM138" s="179" t="str">
        <f aca="false">IF(_xlfn.CONCAT(AH138:AL138)="","","Lo"&amp;_xlfn.CONCAT(AH138:AL138))</f>
        <v/>
      </c>
      <c r="AN138" s="179" t="str">
        <f aca="false">IF('Bulk Order Details'!K148="","","Na-"&amp;'Bulk Order Details'!K148)</f>
        <v/>
      </c>
      <c r="AO138" s="179" t="str">
        <f aca="false">IF('Bulk Order Details'!N148="","","Fo-"&amp;'Bulk Order Details'!N148)</f>
        <v/>
      </c>
      <c r="AP138" s="179" t="str">
        <f aca="false">IF(AE138="","",AE138&amp;"_"&amp;AF138&amp;"_"&amp;AG138&amp;IF(AM138="","","_"&amp;AM138)&amp;IF(AN138="","","_"&amp;AN138)&amp;IF(AO138="","","_"&amp;AO138))</f>
        <v/>
      </c>
      <c r="AQ138" s="218" t="str">
        <f aca="false">IF(X138="","",X138)</f>
        <v/>
      </c>
    </row>
    <row r="139" customFormat="false" ht="15" hidden="false" customHeight="true" outlineLevel="0" collapsed="false">
      <c r="B139" s="209" t="n">
        <f aca="false">'Bulk Order Details'!B149</f>
        <v>136</v>
      </c>
      <c r="C139" s="209" t="e">
        <f aca="false">IF('bulk order details'!#ref!="","",'bulk order details'!#ref!&amp;" "&amp;'bulk order details'!#ref!)</f>
        <v>#VALUE!</v>
      </c>
      <c r="D139" s="210" t="str">
        <f aca="false">IF('Bulk Order Details'!J149="","",VLOOKUP(1,Price[],3))</f>
        <v/>
      </c>
      <c r="E139" s="211" t="str">
        <f aca="false">IF('Bulk Order Details'!J149="","",Summary!$D$9)</f>
        <v/>
      </c>
      <c r="F139" s="212" t="str">
        <f aca="false">IF('Bulk Order Details'!F149="","",_xlfn.xlookup('Bulk Order Details'!F149,Size[Display],Size[Price]))</f>
        <v/>
      </c>
      <c r="G139" s="212" t="str">
        <f aca="false">IF('Bulk Order Details'!G149="","",_xlfn.xlookup('Bulk Order Details'!G149,Length[Display],Length[Price]))</f>
        <v/>
      </c>
      <c r="H139" s="212" t="str">
        <f aca="false">IF('Bulk Order Details'!H149="","",_xlfn.xlookup('Bulk Order Details'!H149,Collection[Display],Collection[Price]))</f>
        <v/>
      </c>
      <c r="I139" s="212" t="str">
        <f aca="false">IF('Bulk Order Details'!I149="","",_xlfn.xlookup('Bulk Order Details'!I149,Sleeve[Display],Sleeve[Price]))</f>
        <v/>
      </c>
      <c r="J139" s="212" t="str">
        <f aca="false">IF('Bulk Order Details'!J149="","",_xlfn.xlookup('Bulk Order Details'!J149,Collar[Display],Collar[Price]))</f>
        <v/>
      </c>
      <c r="K139" s="212" t="str">
        <f aca="false">IF('Bulk Order Details'!K149="","",_xlfn.xlookup("Name",Name[Name],Name[Price]))</f>
        <v/>
      </c>
      <c r="L139" s="213" t="str">
        <f aca="false">IFERROR(IF('Bulk Order Details'!O149="","",IF(_xlfn.xlookup('Bulk Order Details'!O149,Logos[Display],Logos[Use])="Flat",_xlfn.xlookup('Bulk Order Details'!O149,Logos[Display],Logos[Flat]),ROUND(_xlfn.xlookup('Bulk Order Details'!O149,Logos[Display],Logos[Pct])*$E139,2))),"")</f>
        <v/>
      </c>
      <c r="M139" s="222" t="str">
        <f aca="false">IFERROR(IF('Bulk Order Details'!P149="","",IF(_xlfn.xlookup('Bulk Order Details'!P149,Chest[Display],Chest[Use])="Flat",_xlfn.xlookup('Bulk Order Details'!P149,Chest[Display],Chest[Flat]),ROUND(_xlfn.xlookup('Bulk Order Details'!P149,Chest[Display],Chest[Pct])*$E139,2))),"")</f>
        <v/>
      </c>
      <c r="N139" s="222" t="str">
        <f aca="false">IFERROR(IF('Bulk Order Details'!Q149="","",IF(_xlfn.xlookup('Bulk Order Details'!Q149,Chest[Display],Chest[Use])="Flat",_xlfn.xlookup('Bulk Order Details'!Q149,Chest[Display],Chest[Flat]),ROUND(_xlfn.xlookup('Bulk Order Details'!Q149,Chest[Display],Chest[Pct])*$E139,2))),"")</f>
        <v/>
      </c>
      <c r="O139" s="222" t="str">
        <f aca="false">IFERROR(IF('Bulk Order Details'!R149="","",IF(_xlfn.xlookup('Bulk Order Details'!R149,LeftSleeve[Display],LeftSleeve[Use])="Flat",_xlfn.xlookup('Bulk Order Details'!R149,LeftSleeve[Display],LeftSleeve[Flat]),ROUND(_xlfn.xlookup('Bulk Order Details'!R149,LeftSleeve[Display],LeftSleeve[Pct])*$E139,2))),"")</f>
        <v/>
      </c>
      <c r="P139" s="222" t="str">
        <f aca="false">IFERROR(IF('Bulk Order Details'!S149="","",IF(_xlfn.xlookup('Bulk Order Details'!S149,RightSleeve[Display],RightSleeve[Use])="Flat",_xlfn.xlookup('Bulk Order Details'!S149,RightSleeve[Display],RightSleeve[Flat]),ROUND(_xlfn.xlookup('Bulk Order Details'!S149,RightSleeve[Display],RightSleeve[Pct])*$E139,2))),"")</f>
        <v/>
      </c>
      <c r="Q139" s="214" t="str">
        <f aca="false">IF('Bulk Order Details'!J149="","",SUM(F139:P139))</f>
        <v/>
      </c>
      <c r="R139" s="213" t="str">
        <f aca="false">IFERROR(E139-D139,"")</f>
        <v/>
      </c>
      <c r="S139" s="215" t="str">
        <f aca="false">IFERROR(MIN(IF(Summary!$D$11="Yes",-J139,0),IF(H139&gt;0,-J139,0)),"")</f>
        <v/>
      </c>
      <c r="T139" s="212" t="str">
        <f aca="false">IFERROR(IF(Summary!$D$10="Yes",-K139,""),"")</f>
        <v/>
      </c>
      <c r="U139" s="213" t="str">
        <f aca="false">IFERROR(IF(Summary!$D$12="Yes",-L139,""),"")</f>
        <v/>
      </c>
      <c r="V139" s="216" t="str">
        <f aca="false">IF('Bulk Order Details'!J149="","",SUM(R139:U139))</f>
        <v/>
      </c>
      <c r="W139" s="217" t="str">
        <f aca="false">IF('Bulk Order Details'!J149="","",D139+Q139)</f>
        <v/>
      </c>
      <c r="X139" s="218" t="str">
        <f aca="false">IF('Bulk Order Details'!J149="","",D139+Q139+V139)</f>
        <v/>
      </c>
      <c r="Y139" s="219" t="str">
        <f aca="false">IFERROR((W139-X139)/W139,"")</f>
        <v/>
      </c>
      <c r="Z139" s="220" t="str">
        <f aca="false">IF('Bulk Order Details'!J149="","",MAX(1,'Bulk Order Details'!D149))</f>
        <v/>
      </c>
      <c r="AA139" s="217" t="str">
        <f aca="false">IF(Pricing_Details[[#This Row],[Quantity]]="","",Pricing_Details[[#This Row],[Retail Price]]*Pricing_Details[[#This Row],[Quantity]])</f>
        <v/>
      </c>
      <c r="AB139" s="217" t="str">
        <f aca="false">IF(Pricing_Details[[#This Row],[Quantity]]="","",Pricing_Details[[#This Row],[Total Discount]]*Pricing_Details[[#This Row],[Quantity]])</f>
        <v/>
      </c>
      <c r="AC139" s="221" t="str">
        <f aca="false">IFERROR(ROUND(Pricing_Details[[#This Row],[Actual Price]]*Pricing_Details[[#This Row],[Quantity]],2),"")</f>
        <v/>
      </c>
      <c r="AE139" s="179" t="str">
        <f aca="false">IF('Bulk Order Details'!J149="","",VLOOKUP('Bulk Order Details'!H149,Collection[],3)&amp;VLOOKUP('Bulk Order Details'!J149,Collar[],4)&amp;VLOOKUP('Bulk Order Details'!I149,Sleeve[],4))</f>
        <v/>
      </c>
      <c r="AF139" s="179" t="str">
        <f aca="false">IF('Bulk Order Details'!J149="","",LOOKUP('Bulk Order Details'!E149,Cut[Display],Cut[Code])&amp;LOOKUP('Bulk Order Details'!F149,#REF!,#REF!)&amp;IF('Bulk Order Details'!G149="","",LOOKUP('Bulk Order Details'!G149,Length[Display],Length[Code])))</f>
        <v/>
      </c>
      <c r="AG139" s="179" t="str">
        <f aca="false">IF('Bulk Order Details'!J149="","",IF('Bulk Order Details'!C149="","",'Bulk Order Details'!C149))</f>
        <v/>
      </c>
      <c r="AH139" s="179" t="str">
        <f aca="false">IF('Bulk Order Details'!O149="","","-"&amp;LOOKUP('Bulk Order Details'!O149,#REF!,#REF!))</f>
        <v/>
      </c>
      <c r="AI139" s="179" t="str">
        <f aca="false">IF('Bulk Order Details'!P149="","","-"&amp;LOOKUP('Bulk Order Details'!P149,#REF!,#REF!))</f>
        <v/>
      </c>
      <c r="AJ139" s="179" t="str">
        <f aca="false">IF('Bulk Order Details'!Q149="","","-"&amp;LOOKUP('Bulk Order Details'!Q149,#REF!,#REF!))</f>
        <v/>
      </c>
      <c r="AK139" s="179" t="str">
        <f aca="false">IF('Bulk Order Details'!R149="","","-"&amp;LOOKUP('Bulk Order Details'!R149,#REF!,#REF!))</f>
        <v/>
      </c>
      <c r="AL139" s="179" t="str">
        <f aca="false">IF('Bulk Order Details'!S149="","","-"&amp;LOOKUP('Bulk Order Details'!S149,#REF!,#REF!))</f>
        <v/>
      </c>
      <c r="AM139" s="179" t="str">
        <f aca="false">IF(_xlfn.CONCAT(AH139:AL139)="","","Lo"&amp;_xlfn.CONCAT(AH139:AL139))</f>
        <v/>
      </c>
      <c r="AN139" s="179" t="str">
        <f aca="false">IF('Bulk Order Details'!K149="","","Na-"&amp;'Bulk Order Details'!K149)</f>
        <v/>
      </c>
      <c r="AO139" s="179" t="str">
        <f aca="false">IF('Bulk Order Details'!N149="","","Fo-"&amp;'Bulk Order Details'!N149)</f>
        <v/>
      </c>
      <c r="AP139" s="179" t="str">
        <f aca="false">IF(AE139="","",AE139&amp;"_"&amp;AF139&amp;"_"&amp;AG139&amp;IF(AM139="","","_"&amp;AM139)&amp;IF(AN139="","","_"&amp;AN139)&amp;IF(AO139="","","_"&amp;AO139))</f>
        <v/>
      </c>
      <c r="AQ139" s="218" t="str">
        <f aca="false">IF(X139="","",X139)</f>
        <v/>
      </c>
    </row>
    <row r="140" customFormat="false" ht="15" hidden="false" customHeight="true" outlineLevel="0" collapsed="false">
      <c r="B140" s="209" t="n">
        <f aca="false">'Bulk Order Details'!B150</f>
        <v>137</v>
      </c>
      <c r="C140" s="209" t="e">
        <f aca="false">IF('bulk order details'!#ref!="","",'bulk order details'!#ref!&amp;" "&amp;'bulk order details'!#ref!)</f>
        <v>#VALUE!</v>
      </c>
      <c r="D140" s="210" t="str">
        <f aca="false">IF('Bulk Order Details'!J150="","",VLOOKUP(1,Price[],3))</f>
        <v/>
      </c>
      <c r="E140" s="211" t="str">
        <f aca="false">IF('Bulk Order Details'!J150="","",Summary!$D$9)</f>
        <v/>
      </c>
      <c r="F140" s="212" t="str">
        <f aca="false">IF('Bulk Order Details'!F150="","",_xlfn.xlookup('Bulk Order Details'!F150,Size[Display],Size[Price]))</f>
        <v/>
      </c>
      <c r="G140" s="212" t="str">
        <f aca="false">IF('Bulk Order Details'!G150="","",_xlfn.xlookup('Bulk Order Details'!G150,Length[Display],Length[Price]))</f>
        <v/>
      </c>
      <c r="H140" s="212" t="str">
        <f aca="false">IF('Bulk Order Details'!H150="","",_xlfn.xlookup('Bulk Order Details'!H150,Collection[Display],Collection[Price]))</f>
        <v/>
      </c>
      <c r="I140" s="212" t="str">
        <f aca="false">IF('Bulk Order Details'!I150="","",_xlfn.xlookup('Bulk Order Details'!I150,Sleeve[Display],Sleeve[Price]))</f>
        <v/>
      </c>
      <c r="J140" s="212" t="str">
        <f aca="false">IF('Bulk Order Details'!J150="","",_xlfn.xlookup('Bulk Order Details'!J150,Collar[Display],Collar[Price]))</f>
        <v/>
      </c>
      <c r="K140" s="212" t="str">
        <f aca="false">IF('Bulk Order Details'!K150="","",_xlfn.xlookup("Name",Name[Name],Name[Price]))</f>
        <v/>
      </c>
      <c r="L140" s="213" t="str">
        <f aca="false">IFERROR(IF('Bulk Order Details'!O150="","",IF(_xlfn.xlookup('Bulk Order Details'!O150,Logos[Display],Logos[Use])="Flat",_xlfn.xlookup('Bulk Order Details'!O150,Logos[Display],Logos[Flat]),ROUND(_xlfn.xlookup('Bulk Order Details'!O150,Logos[Display],Logos[Pct])*$E140,2))),"")</f>
        <v/>
      </c>
      <c r="M140" s="222" t="str">
        <f aca="false">IFERROR(IF('Bulk Order Details'!P150="","",IF(_xlfn.xlookup('Bulk Order Details'!P150,Chest[Display],Chest[Use])="Flat",_xlfn.xlookup('Bulk Order Details'!P150,Chest[Display],Chest[Flat]),ROUND(_xlfn.xlookup('Bulk Order Details'!P150,Chest[Display],Chest[Pct])*$E140,2))),"")</f>
        <v/>
      </c>
      <c r="N140" s="222" t="str">
        <f aca="false">IFERROR(IF('Bulk Order Details'!Q150="","",IF(_xlfn.xlookup('Bulk Order Details'!Q150,Chest[Display],Chest[Use])="Flat",_xlfn.xlookup('Bulk Order Details'!Q150,Chest[Display],Chest[Flat]),ROUND(_xlfn.xlookup('Bulk Order Details'!Q150,Chest[Display],Chest[Pct])*$E140,2))),"")</f>
        <v/>
      </c>
      <c r="O140" s="222" t="str">
        <f aca="false">IFERROR(IF('Bulk Order Details'!R150="","",IF(_xlfn.xlookup('Bulk Order Details'!R150,LeftSleeve[Display],LeftSleeve[Use])="Flat",_xlfn.xlookup('Bulk Order Details'!R150,LeftSleeve[Display],LeftSleeve[Flat]),ROUND(_xlfn.xlookup('Bulk Order Details'!R150,LeftSleeve[Display],LeftSleeve[Pct])*$E140,2))),"")</f>
        <v/>
      </c>
      <c r="P140" s="222" t="str">
        <f aca="false">IFERROR(IF('Bulk Order Details'!S150="","",IF(_xlfn.xlookup('Bulk Order Details'!S150,RightSleeve[Display],RightSleeve[Use])="Flat",_xlfn.xlookup('Bulk Order Details'!S150,RightSleeve[Display],RightSleeve[Flat]),ROUND(_xlfn.xlookup('Bulk Order Details'!S150,RightSleeve[Display],RightSleeve[Pct])*$E140,2))),"")</f>
        <v/>
      </c>
      <c r="Q140" s="214" t="str">
        <f aca="false">IF('Bulk Order Details'!J150="","",SUM(F140:P140))</f>
        <v/>
      </c>
      <c r="R140" s="213" t="str">
        <f aca="false">IFERROR(E140-D140,"")</f>
        <v/>
      </c>
      <c r="S140" s="215" t="str">
        <f aca="false">IFERROR(MIN(IF(Summary!$D$11="Yes",-J140,0),IF(H140&gt;0,-J140,0)),"")</f>
        <v/>
      </c>
      <c r="T140" s="212" t="str">
        <f aca="false">IFERROR(IF(Summary!$D$10="Yes",-K140,""),"")</f>
        <v/>
      </c>
      <c r="U140" s="213" t="str">
        <f aca="false">IFERROR(IF(Summary!$D$12="Yes",-L140,""),"")</f>
        <v/>
      </c>
      <c r="V140" s="216" t="str">
        <f aca="false">IF('Bulk Order Details'!J150="","",SUM(R140:U140))</f>
        <v/>
      </c>
      <c r="W140" s="217" t="str">
        <f aca="false">IF('Bulk Order Details'!J150="","",D140+Q140)</f>
        <v/>
      </c>
      <c r="X140" s="218" t="str">
        <f aca="false">IF('Bulk Order Details'!J150="","",D140+Q140+V140)</f>
        <v/>
      </c>
      <c r="Y140" s="219" t="str">
        <f aca="false">IFERROR((W140-X140)/W140,"")</f>
        <v/>
      </c>
      <c r="Z140" s="220" t="str">
        <f aca="false">IF('Bulk Order Details'!J150="","",MAX(1,'Bulk Order Details'!D150))</f>
        <v/>
      </c>
      <c r="AA140" s="217" t="str">
        <f aca="false">IF(Pricing_Details[[#This Row],[Quantity]]="","",Pricing_Details[[#This Row],[Retail Price]]*Pricing_Details[[#This Row],[Quantity]])</f>
        <v/>
      </c>
      <c r="AB140" s="217" t="str">
        <f aca="false">IF(Pricing_Details[[#This Row],[Quantity]]="","",Pricing_Details[[#This Row],[Total Discount]]*Pricing_Details[[#This Row],[Quantity]])</f>
        <v/>
      </c>
      <c r="AC140" s="221" t="str">
        <f aca="false">IFERROR(ROUND(Pricing_Details[[#This Row],[Actual Price]]*Pricing_Details[[#This Row],[Quantity]],2),"")</f>
        <v/>
      </c>
      <c r="AE140" s="179" t="str">
        <f aca="false">IF('Bulk Order Details'!J150="","",VLOOKUP('Bulk Order Details'!H150,Collection[],3)&amp;VLOOKUP('Bulk Order Details'!J150,Collar[],4)&amp;VLOOKUP('Bulk Order Details'!I150,Sleeve[],4))</f>
        <v/>
      </c>
      <c r="AF140" s="179" t="str">
        <f aca="false">IF('Bulk Order Details'!J150="","",LOOKUP('Bulk Order Details'!E150,Cut[Display],Cut[Code])&amp;LOOKUP('Bulk Order Details'!F150,#REF!,#REF!)&amp;IF('Bulk Order Details'!G150="","",LOOKUP('Bulk Order Details'!G150,Length[Display],Length[Code])))</f>
        <v/>
      </c>
      <c r="AG140" s="179" t="str">
        <f aca="false">IF('Bulk Order Details'!J150="","",IF('Bulk Order Details'!C150="","",'Bulk Order Details'!C150))</f>
        <v/>
      </c>
      <c r="AH140" s="179" t="str">
        <f aca="false">IF('Bulk Order Details'!O150="","","-"&amp;LOOKUP('Bulk Order Details'!O150,#REF!,#REF!))</f>
        <v/>
      </c>
      <c r="AI140" s="179" t="str">
        <f aca="false">IF('Bulk Order Details'!P150="","","-"&amp;LOOKUP('Bulk Order Details'!P150,#REF!,#REF!))</f>
        <v/>
      </c>
      <c r="AJ140" s="179" t="str">
        <f aca="false">IF('Bulk Order Details'!Q150="","","-"&amp;LOOKUP('Bulk Order Details'!Q150,#REF!,#REF!))</f>
        <v/>
      </c>
      <c r="AK140" s="179" t="str">
        <f aca="false">IF('Bulk Order Details'!R150="","","-"&amp;LOOKUP('Bulk Order Details'!R150,#REF!,#REF!))</f>
        <v/>
      </c>
      <c r="AL140" s="179" t="str">
        <f aca="false">IF('Bulk Order Details'!S150="","","-"&amp;LOOKUP('Bulk Order Details'!S150,#REF!,#REF!))</f>
        <v/>
      </c>
      <c r="AM140" s="179" t="str">
        <f aca="false">IF(_xlfn.CONCAT(AH140:AL140)="","","Lo"&amp;_xlfn.CONCAT(AH140:AL140))</f>
        <v/>
      </c>
      <c r="AN140" s="179" t="str">
        <f aca="false">IF('Bulk Order Details'!K150="","","Na-"&amp;'Bulk Order Details'!K150)</f>
        <v/>
      </c>
      <c r="AO140" s="179" t="str">
        <f aca="false">IF('Bulk Order Details'!N150="","","Fo-"&amp;'Bulk Order Details'!N150)</f>
        <v/>
      </c>
      <c r="AP140" s="179" t="str">
        <f aca="false">IF(AE140="","",AE140&amp;"_"&amp;AF140&amp;"_"&amp;AG140&amp;IF(AM140="","","_"&amp;AM140)&amp;IF(AN140="","","_"&amp;AN140)&amp;IF(AO140="","","_"&amp;AO140))</f>
        <v/>
      </c>
      <c r="AQ140" s="218" t="str">
        <f aca="false">IF(X140="","",X140)</f>
        <v/>
      </c>
    </row>
    <row r="141" customFormat="false" ht="15" hidden="false" customHeight="true" outlineLevel="0" collapsed="false">
      <c r="B141" s="209" t="n">
        <f aca="false">'Bulk Order Details'!B151</f>
        <v>138</v>
      </c>
      <c r="C141" s="209" t="e">
        <f aca="false">IF('bulk order details'!#ref!="","",'bulk order details'!#ref!&amp;" "&amp;'bulk order details'!#ref!)</f>
        <v>#VALUE!</v>
      </c>
      <c r="D141" s="210" t="str">
        <f aca="false">IF('Bulk Order Details'!J151="","",VLOOKUP(1,Price[],3))</f>
        <v/>
      </c>
      <c r="E141" s="211" t="str">
        <f aca="false">IF('Bulk Order Details'!J151="","",Summary!$D$9)</f>
        <v/>
      </c>
      <c r="F141" s="212" t="str">
        <f aca="false">IF('Bulk Order Details'!F151="","",_xlfn.xlookup('Bulk Order Details'!F151,Size[Display],Size[Price]))</f>
        <v/>
      </c>
      <c r="G141" s="212" t="str">
        <f aca="false">IF('Bulk Order Details'!G151="","",_xlfn.xlookup('Bulk Order Details'!G151,Length[Display],Length[Price]))</f>
        <v/>
      </c>
      <c r="H141" s="212" t="str">
        <f aca="false">IF('Bulk Order Details'!H151="","",_xlfn.xlookup('Bulk Order Details'!H151,Collection[Display],Collection[Price]))</f>
        <v/>
      </c>
      <c r="I141" s="212" t="str">
        <f aca="false">IF('Bulk Order Details'!I151="","",_xlfn.xlookup('Bulk Order Details'!I151,Sleeve[Display],Sleeve[Price]))</f>
        <v/>
      </c>
      <c r="J141" s="212" t="str">
        <f aca="false">IF('Bulk Order Details'!J151="","",_xlfn.xlookup('Bulk Order Details'!J151,Collar[Display],Collar[Price]))</f>
        <v/>
      </c>
      <c r="K141" s="212" t="str">
        <f aca="false">IF('Bulk Order Details'!K151="","",_xlfn.xlookup("Name",Name[Name],Name[Price]))</f>
        <v/>
      </c>
      <c r="L141" s="213" t="str">
        <f aca="false">IFERROR(IF('Bulk Order Details'!O151="","",IF(_xlfn.xlookup('Bulk Order Details'!O151,Logos[Display],Logos[Use])="Flat",_xlfn.xlookup('Bulk Order Details'!O151,Logos[Display],Logos[Flat]),ROUND(_xlfn.xlookup('Bulk Order Details'!O151,Logos[Display],Logos[Pct])*$E141,2))),"")</f>
        <v/>
      </c>
      <c r="M141" s="222" t="str">
        <f aca="false">IFERROR(IF('Bulk Order Details'!P151="","",IF(_xlfn.xlookup('Bulk Order Details'!P151,Chest[Display],Chest[Use])="Flat",_xlfn.xlookup('Bulk Order Details'!P151,Chest[Display],Chest[Flat]),ROUND(_xlfn.xlookup('Bulk Order Details'!P151,Chest[Display],Chest[Pct])*$E141,2))),"")</f>
        <v/>
      </c>
      <c r="N141" s="222" t="str">
        <f aca="false">IFERROR(IF('Bulk Order Details'!Q151="","",IF(_xlfn.xlookup('Bulk Order Details'!Q151,Chest[Display],Chest[Use])="Flat",_xlfn.xlookup('Bulk Order Details'!Q151,Chest[Display],Chest[Flat]),ROUND(_xlfn.xlookup('Bulk Order Details'!Q151,Chest[Display],Chest[Pct])*$E141,2))),"")</f>
        <v/>
      </c>
      <c r="O141" s="222" t="str">
        <f aca="false">IFERROR(IF('Bulk Order Details'!R151="","",IF(_xlfn.xlookup('Bulk Order Details'!R151,LeftSleeve[Display],LeftSleeve[Use])="Flat",_xlfn.xlookup('Bulk Order Details'!R151,LeftSleeve[Display],LeftSleeve[Flat]),ROUND(_xlfn.xlookup('Bulk Order Details'!R151,LeftSleeve[Display],LeftSleeve[Pct])*$E141,2))),"")</f>
        <v/>
      </c>
      <c r="P141" s="222" t="str">
        <f aca="false">IFERROR(IF('Bulk Order Details'!S151="","",IF(_xlfn.xlookup('Bulk Order Details'!S151,RightSleeve[Display],RightSleeve[Use])="Flat",_xlfn.xlookup('Bulk Order Details'!S151,RightSleeve[Display],RightSleeve[Flat]),ROUND(_xlfn.xlookup('Bulk Order Details'!S151,RightSleeve[Display],RightSleeve[Pct])*$E141,2))),"")</f>
        <v/>
      </c>
      <c r="Q141" s="214" t="str">
        <f aca="false">IF('Bulk Order Details'!J151="","",SUM(F141:P141))</f>
        <v/>
      </c>
      <c r="R141" s="213" t="str">
        <f aca="false">IFERROR(E141-D141,"")</f>
        <v/>
      </c>
      <c r="S141" s="215" t="str">
        <f aca="false">IFERROR(MIN(IF(Summary!$D$11="Yes",-J141,0),IF(H141&gt;0,-J141,0)),"")</f>
        <v/>
      </c>
      <c r="T141" s="212" t="str">
        <f aca="false">IFERROR(IF(Summary!$D$10="Yes",-K141,""),"")</f>
        <v/>
      </c>
      <c r="U141" s="213" t="str">
        <f aca="false">IFERROR(IF(Summary!$D$12="Yes",-L141,""),"")</f>
        <v/>
      </c>
      <c r="V141" s="216" t="str">
        <f aca="false">IF('Bulk Order Details'!J151="","",SUM(R141:U141))</f>
        <v/>
      </c>
      <c r="W141" s="217" t="str">
        <f aca="false">IF('Bulk Order Details'!J151="","",D141+Q141)</f>
        <v/>
      </c>
      <c r="X141" s="218" t="str">
        <f aca="false">IF('Bulk Order Details'!J151="","",D141+Q141+V141)</f>
        <v/>
      </c>
      <c r="Y141" s="219" t="str">
        <f aca="false">IFERROR((W141-X141)/W141,"")</f>
        <v/>
      </c>
      <c r="Z141" s="220" t="str">
        <f aca="false">IF('Bulk Order Details'!J151="","",MAX(1,'Bulk Order Details'!D151))</f>
        <v/>
      </c>
      <c r="AA141" s="217" t="str">
        <f aca="false">IF(Pricing_Details[[#This Row],[Quantity]]="","",Pricing_Details[[#This Row],[Retail Price]]*Pricing_Details[[#This Row],[Quantity]])</f>
        <v/>
      </c>
      <c r="AB141" s="217" t="str">
        <f aca="false">IF(Pricing_Details[[#This Row],[Quantity]]="","",Pricing_Details[[#This Row],[Total Discount]]*Pricing_Details[[#This Row],[Quantity]])</f>
        <v/>
      </c>
      <c r="AC141" s="221" t="str">
        <f aca="false">IFERROR(ROUND(Pricing_Details[[#This Row],[Actual Price]]*Pricing_Details[[#This Row],[Quantity]],2),"")</f>
        <v/>
      </c>
      <c r="AE141" s="179" t="str">
        <f aca="false">IF('Bulk Order Details'!J151="","",VLOOKUP('Bulk Order Details'!H151,Collection[],3)&amp;VLOOKUP('Bulk Order Details'!J151,Collar[],4)&amp;VLOOKUP('Bulk Order Details'!I151,Sleeve[],4))</f>
        <v/>
      </c>
      <c r="AF141" s="179" t="str">
        <f aca="false">IF('Bulk Order Details'!J151="","",LOOKUP('Bulk Order Details'!E151,Cut[Display],Cut[Code])&amp;LOOKUP('Bulk Order Details'!F151,#REF!,#REF!)&amp;IF('Bulk Order Details'!G151="","",LOOKUP('Bulk Order Details'!G151,Length[Display],Length[Code])))</f>
        <v/>
      </c>
      <c r="AG141" s="179" t="str">
        <f aca="false">IF('Bulk Order Details'!J151="","",IF('Bulk Order Details'!C151="","",'Bulk Order Details'!C151))</f>
        <v/>
      </c>
      <c r="AH141" s="179" t="str">
        <f aca="false">IF('Bulk Order Details'!O151="","","-"&amp;LOOKUP('Bulk Order Details'!O151,#REF!,#REF!))</f>
        <v/>
      </c>
      <c r="AI141" s="179" t="str">
        <f aca="false">IF('Bulk Order Details'!P151="","","-"&amp;LOOKUP('Bulk Order Details'!P151,#REF!,#REF!))</f>
        <v/>
      </c>
      <c r="AJ141" s="179" t="str">
        <f aca="false">IF('Bulk Order Details'!Q151="","","-"&amp;LOOKUP('Bulk Order Details'!Q151,#REF!,#REF!))</f>
        <v/>
      </c>
      <c r="AK141" s="179" t="str">
        <f aca="false">IF('Bulk Order Details'!R151="","","-"&amp;LOOKUP('Bulk Order Details'!R151,#REF!,#REF!))</f>
        <v/>
      </c>
      <c r="AL141" s="179" t="str">
        <f aca="false">IF('Bulk Order Details'!S151="","","-"&amp;LOOKUP('Bulk Order Details'!S151,#REF!,#REF!))</f>
        <v/>
      </c>
      <c r="AM141" s="179" t="str">
        <f aca="false">IF(_xlfn.CONCAT(AH141:AL141)="","","Lo"&amp;_xlfn.CONCAT(AH141:AL141))</f>
        <v/>
      </c>
      <c r="AN141" s="179" t="str">
        <f aca="false">IF('Bulk Order Details'!K151="","","Na-"&amp;'Bulk Order Details'!K151)</f>
        <v/>
      </c>
      <c r="AO141" s="179" t="str">
        <f aca="false">IF('Bulk Order Details'!N151="","","Fo-"&amp;'Bulk Order Details'!N151)</f>
        <v/>
      </c>
      <c r="AP141" s="179" t="str">
        <f aca="false">IF(AE141="","",AE141&amp;"_"&amp;AF141&amp;"_"&amp;AG141&amp;IF(AM141="","","_"&amp;AM141)&amp;IF(AN141="","","_"&amp;AN141)&amp;IF(AO141="","","_"&amp;AO141))</f>
        <v/>
      </c>
      <c r="AQ141" s="218" t="str">
        <f aca="false">IF(X141="","",X141)</f>
        <v/>
      </c>
    </row>
    <row r="142" customFormat="false" ht="15" hidden="false" customHeight="true" outlineLevel="0" collapsed="false">
      <c r="B142" s="209" t="n">
        <f aca="false">'Bulk Order Details'!B152</f>
        <v>139</v>
      </c>
      <c r="C142" s="209" t="e">
        <f aca="false">IF('bulk order details'!#ref!="","",'bulk order details'!#ref!&amp;" "&amp;'bulk order details'!#ref!)</f>
        <v>#VALUE!</v>
      </c>
      <c r="D142" s="210" t="str">
        <f aca="false">IF('Bulk Order Details'!J152="","",VLOOKUP(1,Price[],3))</f>
        <v/>
      </c>
      <c r="E142" s="211" t="str">
        <f aca="false">IF('Bulk Order Details'!J152="","",Summary!$D$9)</f>
        <v/>
      </c>
      <c r="F142" s="212" t="str">
        <f aca="false">IF('Bulk Order Details'!F152="","",_xlfn.xlookup('Bulk Order Details'!F152,Size[Display],Size[Price]))</f>
        <v/>
      </c>
      <c r="G142" s="212" t="str">
        <f aca="false">IF('Bulk Order Details'!G152="","",_xlfn.xlookup('Bulk Order Details'!G152,Length[Display],Length[Price]))</f>
        <v/>
      </c>
      <c r="H142" s="212" t="str">
        <f aca="false">IF('Bulk Order Details'!H152="","",_xlfn.xlookup('Bulk Order Details'!H152,Collection[Display],Collection[Price]))</f>
        <v/>
      </c>
      <c r="I142" s="212" t="str">
        <f aca="false">IF('Bulk Order Details'!I152="","",_xlfn.xlookup('Bulk Order Details'!I152,Sleeve[Display],Sleeve[Price]))</f>
        <v/>
      </c>
      <c r="J142" s="212" t="str">
        <f aca="false">IF('Bulk Order Details'!J152="","",_xlfn.xlookup('Bulk Order Details'!J152,Collar[Display],Collar[Price]))</f>
        <v/>
      </c>
      <c r="K142" s="212" t="str">
        <f aca="false">IF('Bulk Order Details'!K152="","",_xlfn.xlookup("Name",Name[Name],Name[Price]))</f>
        <v/>
      </c>
      <c r="L142" s="213" t="str">
        <f aca="false">IFERROR(IF('Bulk Order Details'!O152="","",IF(_xlfn.xlookup('Bulk Order Details'!O152,Logos[Display],Logos[Use])="Flat",_xlfn.xlookup('Bulk Order Details'!O152,Logos[Display],Logos[Flat]),ROUND(_xlfn.xlookup('Bulk Order Details'!O152,Logos[Display],Logos[Pct])*$E142,2))),"")</f>
        <v/>
      </c>
      <c r="M142" s="222" t="str">
        <f aca="false">IFERROR(IF('Bulk Order Details'!P152="","",IF(_xlfn.xlookup('Bulk Order Details'!P152,Chest[Display],Chest[Use])="Flat",_xlfn.xlookup('Bulk Order Details'!P152,Chest[Display],Chest[Flat]),ROUND(_xlfn.xlookup('Bulk Order Details'!P152,Chest[Display],Chest[Pct])*$E142,2))),"")</f>
        <v/>
      </c>
      <c r="N142" s="222" t="str">
        <f aca="false">IFERROR(IF('Bulk Order Details'!Q152="","",IF(_xlfn.xlookup('Bulk Order Details'!Q152,Chest[Display],Chest[Use])="Flat",_xlfn.xlookup('Bulk Order Details'!Q152,Chest[Display],Chest[Flat]),ROUND(_xlfn.xlookup('Bulk Order Details'!Q152,Chest[Display],Chest[Pct])*$E142,2))),"")</f>
        <v/>
      </c>
      <c r="O142" s="222" t="str">
        <f aca="false">IFERROR(IF('Bulk Order Details'!R152="","",IF(_xlfn.xlookup('Bulk Order Details'!R152,LeftSleeve[Display],LeftSleeve[Use])="Flat",_xlfn.xlookup('Bulk Order Details'!R152,LeftSleeve[Display],LeftSleeve[Flat]),ROUND(_xlfn.xlookup('Bulk Order Details'!R152,LeftSleeve[Display],LeftSleeve[Pct])*$E142,2))),"")</f>
        <v/>
      </c>
      <c r="P142" s="222" t="str">
        <f aca="false">IFERROR(IF('Bulk Order Details'!S152="","",IF(_xlfn.xlookup('Bulk Order Details'!S152,RightSleeve[Display],RightSleeve[Use])="Flat",_xlfn.xlookup('Bulk Order Details'!S152,RightSleeve[Display],RightSleeve[Flat]),ROUND(_xlfn.xlookup('Bulk Order Details'!S152,RightSleeve[Display],RightSleeve[Pct])*$E142,2))),"")</f>
        <v/>
      </c>
      <c r="Q142" s="214" t="str">
        <f aca="false">IF('Bulk Order Details'!J152="","",SUM(F142:P142))</f>
        <v/>
      </c>
      <c r="R142" s="213" t="str">
        <f aca="false">IFERROR(E142-D142,"")</f>
        <v/>
      </c>
      <c r="S142" s="215" t="str">
        <f aca="false">IFERROR(MIN(IF(Summary!$D$11="Yes",-J142,0),IF(H142&gt;0,-J142,0)),"")</f>
        <v/>
      </c>
      <c r="T142" s="212" t="str">
        <f aca="false">IFERROR(IF(Summary!$D$10="Yes",-K142,""),"")</f>
        <v/>
      </c>
      <c r="U142" s="213" t="str">
        <f aca="false">IFERROR(IF(Summary!$D$12="Yes",-L142,""),"")</f>
        <v/>
      </c>
      <c r="V142" s="216" t="str">
        <f aca="false">IF('Bulk Order Details'!J152="","",SUM(R142:U142))</f>
        <v/>
      </c>
      <c r="W142" s="217" t="str">
        <f aca="false">IF('Bulk Order Details'!J152="","",D142+Q142)</f>
        <v/>
      </c>
      <c r="X142" s="218" t="str">
        <f aca="false">IF('Bulk Order Details'!J152="","",D142+Q142+V142)</f>
        <v/>
      </c>
      <c r="Y142" s="219" t="str">
        <f aca="false">IFERROR((W142-X142)/W142,"")</f>
        <v/>
      </c>
      <c r="Z142" s="220" t="str">
        <f aca="false">IF('Bulk Order Details'!J152="","",MAX(1,'Bulk Order Details'!D152))</f>
        <v/>
      </c>
      <c r="AA142" s="217" t="str">
        <f aca="false">IF(Pricing_Details[[#This Row],[Quantity]]="","",Pricing_Details[[#This Row],[Retail Price]]*Pricing_Details[[#This Row],[Quantity]])</f>
        <v/>
      </c>
      <c r="AB142" s="217" t="str">
        <f aca="false">IF(Pricing_Details[[#This Row],[Quantity]]="","",Pricing_Details[[#This Row],[Total Discount]]*Pricing_Details[[#This Row],[Quantity]])</f>
        <v/>
      </c>
      <c r="AC142" s="221" t="str">
        <f aca="false">IFERROR(ROUND(Pricing_Details[[#This Row],[Actual Price]]*Pricing_Details[[#This Row],[Quantity]],2),"")</f>
        <v/>
      </c>
      <c r="AE142" s="179" t="str">
        <f aca="false">IF('Bulk Order Details'!J152="","",VLOOKUP('Bulk Order Details'!H152,Collection[],3)&amp;VLOOKUP('Bulk Order Details'!J152,Collar[],4)&amp;VLOOKUP('Bulk Order Details'!I152,Sleeve[],4))</f>
        <v/>
      </c>
      <c r="AF142" s="179" t="str">
        <f aca="false">IF('Bulk Order Details'!J152="","",LOOKUP('Bulk Order Details'!E152,Cut[Display],Cut[Code])&amp;LOOKUP('Bulk Order Details'!F152,#REF!,#REF!)&amp;IF('Bulk Order Details'!G152="","",LOOKUP('Bulk Order Details'!G152,Length[Display],Length[Code])))</f>
        <v/>
      </c>
      <c r="AG142" s="179" t="str">
        <f aca="false">IF('Bulk Order Details'!J152="","",IF('Bulk Order Details'!C152="","",'Bulk Order Details'!C152))</f>
        <v/>
      </c>
      <c r="AH142" s="179" t="str">
        <f aca="false">IF('Bulk Order Details'!O152="","","-"&amp;LOOKUP('Bulk Order Details'!O152,#REF!,#REF!))</f>
        <v/>
      </c>
      <c r="AI142" s="179" t="str">
        <f aca="false">IF('Bulk Order Details'!P152="","","-"&amp;LOOKUP('Bulk Order Details'!P152,#REF!,#REF!))</f>
        <v/>
      </c>
      <c r="AJ142" s="179" t="str">
        <f aca="false">IF('Bulk Order Details'!Q152="","","-"&amp;LOOKUP('Bulk Order Details'!Q152,#REF!,#REF!))</f>
        <v/>
      </c>
      <c r="AK142" s="179" t="str">
        <f aca="false">IF('Bulk Order Details'!R152="","","-"&amp;LOOKUP('Bulk Order Details'!R152,#REF!,#REF!))</f>
        <v/>
      </c>
      <c r="AL142" s="179" t="str">
        <f aca="false">IF('Bulk Order Details'!S152="","","-"&amp;LOOKUP('Bulk Order Details'!S152,#REF!,#REF!))</f>
        <v/>
      </c>
      <c r="AM142" s="179" t="str">
        <f aca="false">IF(_xlfn.CONCAT(AH142:AL142)="","","Lo"&amp;_xlfn.CONCAT(AH142:AL142))</f>
        <v/>
      </c>
      <c r="AN142" s="179" t="str">
        <f aca="false">IF('Bulk Order Details'!K152="","","Na-"&amp;'Bulk Order Details'!K152)</f>
        <v/>
      </c>
      <c r="AO142" s="179" t="str">
        <f aca="false">IF('Bulk Order Details'!N152="","","Fo-"&amp;'Bulk Order Details'!N152)</f>
        <v/>
      </c>
      <c r="AP142" s="179" t="str">
        <f aca="false">IF(AE142="","",AE142&amp;"_"&amp;AF142&amp;"_"&amp;AG142&amp;IF(AM142="","","_"&amp;AM142)&amp;IF(AN142="","","_"&amp;AN142)&amp;IF(AO142="","","_"&amp;AO142))</f>
        <v/>
      </c>
      <c r="AQ142" s="218" t="str">
        <f aca="false">IF(X142="","",X142)</f>
        <v/>
      </c>
    </row>
    <row r="143" customFormat="false" ht="15" hidden="false" customHeight="true" outlineLevel="0" collapsed="false">
      <c r="B143" s="209" t="n">
        <f aca="false">'Bulk Order Details'!B153</f>
        <v>140</v>
      </c>
      <c r="C143" s="209" t="e">
        <f aca="false">IF('bulk order details'!#ref!="","",'bulk order details'!#ref!&amp;" "&amp;'bulk order details'!#ref!)</f>
        <v>#VALUE!</v>
      </c>
      <c r="D143" s="210" t="str">
        <f aca="false">IF('Bulk Order Details'!J153="","",VLOOKUP(1,Price[],3))</f>
        <v/>
      </c>
      <c r="E143" s="211" t="str">
        <f aca="false">IF('Bulk Order Details'!J153="","",Summary!$D$9)</f>
        <v/>
      </c>
      <c r="F143" s="212" t="str">
        <f aca="false">IF('Bulk Order Details'!F153="","",_xlfn.xlookup('Bulk Order Details'!F153,Size[Display],Size[Price]))</f>
        <v/>
      </c>
      <c r="G143" s="212" t="str">
        <f aca="false">IF('Bulk Order Details'!G153="","",_xlfn.xlookup('Bulk Order Details'!G153,Length[Display],Length[Price]))</f>
        <v/>
      </c>
      <c r="H143" s="212" t="str">
        <f aca="false">IF('Bulk Order Details'!H153="","",_xlfn.xlookup('Bulk Order Details'!H153,Collection[Display],Collection[Price]))</f>
        <v/>
      </c>
      <c r="I143" s="212" t="str">
        <f aca="false">IF('Bulk Order Details'!I153="","",_xlfn.xlookup('Bulk Order Details'!I153,Sleeve[Display],Sleeve[Price]))</f>
        <v/>
      </c>
      <c r="J143" s="212" t="str">
        <f aca="false">IF('Bulk Order Details'!J153="","",_xlfn.xlookup('Bulk Order Details'!J153,Collar[Display],Collar[Price]))</f>
        <v/>
      </c>
      <c r="K143" s="212" t="str">
        <f aca="false">IF('Bulk Order Details'!K153="","",_xlfn.xlookup("Name",Name[Name],Name[Price]))</f>
        <v/>
      </c>
      <c r="L143" s="213" t="str">
        <f aca="false">IFERROR(IF('Bulk Order Details'!O153="","",IF(_xlfn.xlookup('Bulk Order Details'!O153,Logos[Display],Logos[Use])="Flat",_xlfn.xlookup('Bulk Order Details'!O153,Logos[Display],Logos[Flat]),ROUND(_xlfn.xlookup('Bulk Order Details'!O153,Logos[Display],Logos[Pct])*$E143,2))),"")</f>
        <v/>
      </c>
      <c r="M143" s="222" t="str">
        <f aca="false">IFERROR(IF('Bulk Order Details'!P153="","",IF(_xlfn.xlookup('Bulk Order Details'!P153,Chest[Display],Chest[Use])="Flat",_xlfn.xlookup('Bulk Order Details'!P153,Chest[Display],Chest[Flat]),ROUND(_xlfn.xlookup('Bulk Order Details'!P153,Chest[Display],Chest[Pct])*$E143,2))),"")</f>
        <v/>
      </c>
      <c r="N143" s="222" t="str">
        <f aca="false">IFERROR(IF('Bulk Order Details'!Q153="","",IF(_xlfn.xlookup('Bulk Order Details'!Q153,Chest[Display],Chest[Use])="Flat",_xlfn.xlookup('Bulk Order Details'!Q153,Chest[Display],Chest[Flat]),ROUND(_xlfn.xlookup('Bulk Order Details'!Q153,Chest[Display],Chest[Pct])*$E143,2))),"")</f>
        <v/>
      </c>
      <c r="O143" s="222" t="str">
        <f aca="false">IFERROR(IF('Bulk Order Details'!R153="","",IF(_xlfn.xlookup('Bulk Order Details'!R153,LeftSleeve[Display],LeftSleeve[Use])="Flat",_xlfn.xlookup('Bulk Order Details'!R153,LeftSleeve[Display],LeftSleeve[Flat]),ROUND(_xlfn.xlookup('Bulk Order Details'!R153,LeftSleeve[Display],LeftSleeve[Pct])*$E143,2))),"")</f>
        <v/>
      </c>
      <c r="P143" s="222" t="str">
        <f aca="false">IFERROR(IF('Bulk Order Details'!S153="","",IF(_xlfn.xlookup('Bulk Order Details'!S153,RightSleeve[Display],RightSleeve[Use])="Flat",_xlfn.xlookup('Bulk Order Details'!S153,RightSleeve[Display],RightSleeve[Flat]),ROUND(_xlfn.xlookup('Bulk Order Details'!S153,RightSleeve[Display],RightSleeve[Pct])*$E143,2))),"")</f>
        <v/>
      </c>
      <c r="Q143" s="214" t="str">
        <f aca="false">IF('Bulk Order Details'!J153="","",SUM(F143:P143))</f>
        <v/>
      </c>
      <c r="R143" s="213" t="str">
        <f aca="false">IFERROR(E143-D143,"")</f>
        <v/>
      </c>
      <c r="S143" s="215" t="str">
        <f aca="false">IFERROR(MIN(IF(Summary!$D$11="Yes",-J143,0),IF(H143&gt;0,-J143,0)),"")</f>
        <v/>
      </c>
      <c r="T143" s="212" t="str">
        <f aca="false">IFERROR(IF(Summary!$D$10="Yes",-K143,""),"")</f>
        <v/>
      </c>
      <c r="U143" s="213" t="str">
        <f aca="false">IFERROR(IF(Summary!$D$12="Yes",-L143,""),"")</f>
        <v/>
      </c>
      <c r="V143" s="216" t="str">
        <f aca="false">IF('Bulk Order Details'!J153="","",SUM(R143:U143))</f>
        <v/>
      </c>
      <c r="W143" s="217" t="str">
        <f aca="false">IF('Bulk Order Details'!J153="","",D143+Q143)</f>
        <v/>
      </c>
      <c r="X143" s="218" t="str">
        <f aca="false">IF('Bulk Order Details'!J153="","",D143+Q143+V143)</f>
        <v/>
      </c>
      <c r="Y143" s="219" t="str">
        <f aca="false">IFERROR((W143-X143)/W143,"")</f>
        <v/>
      </c>
      <c r="Z143" s="220" t="str">
        <f aca="false">IF('Bulk Order Details'!J153="","",MAX(1,'Bulk Order Details'!D153))</f>
        <v/>
      </c>
      <c r="AA143" s="217" t="str">
        <f aca="false">IF(Pricing_Details[[#This Row],[Quantity]]="","",Pricing_Details[[#This Row],[Retail Price]]*Pricing_Details[[#This Row],[Quantity]])</f>
        <v/>
      </c>
      <c r="AB143" s="217" t="str">
        <f aca="false">IF(Pricing_Details[[#This Row],[Quantity]]="","",Pricing_Details[[#This Row],[Total Discount]]*Pricing_Details[[#This Row],[Quantity]])</f>
        <v/>
      </c>
      <c r="AC143" s="221" t="str">
        <f aca="false">IFERROR(ROUND(Pricing_Details[[#This Row],[Actual Price]]*Pricing_Details[[#This Row],[Quantity]],2),"")</f>
        <v/>
      </c>
      <c r="AE143" s="179" t="str">
        <f aca="false">IF('Bulk Order Details'!J153="","",VLOOKUP('Bulk Order Details'!H153,Collection[],3)&amp;VLOOKUP('Bulk Order Details'!J153,Collar[],4)&amp;VLOOKUP('Bulk Order Details'!I153,Sleeve[],4))</f>
        <v/>
      </c>
      <c r="AF143" s="179" t="str">
        <f aca="false">IF('Bulk Order Details'!J153="","",LOOKUP('Bulk Order Details'!E153,Cut[Display],Cut[Code])&amp;LOOKUP('Bulk Order Details'!F153,#REF!,#REF!)&amp;IF('Bulk Order Details'!G153="","",LOOKUP('Bulk Order Details'!G153,Length[Display],Length[Code])))</f>
        <v/>
      </c>
      <c r="AG143" s="179" t="str">
        <f aca="false">IF('Bulk Order Details'!J153="","",IF('Bulk Order Details'!C153="","",'Bulk Order Details'!C153))</f>
        <v/>
      </c>
      <c r="AH143" s="179" t="str">
        <f aca="false">IF('Bulk Order Details'!O153="","","-"&amp;LOOKUP('Bulk Order Details'!O153,#REF!,#REF!))</f>
        <v/>
      </c>
      <c r="AI143" s="179" t="str">
        <f aca="false">IF('Bulk Order Details'!P153="","","-"&amp;LOOKUP('Bulk Order Details'!P153,#REF!,#REF!))</f>
        <v/>
      </c>
      <c r="AJ143" s="179" t="str">
        <f aca="false">IF('Bulk Order Details'!Q153="","","-"&amp;LOOKUP('Bulk Order Details'!Q153,#REF!,#REF!))</f>
        <v/>
      </c>
      <c r="AK143" s="179" t="str">
        <f aca="false">IF('Bulk Order Details'!R153="","","-"&amp;LOOKUP('Bulk Order Details'!R153,#REF!,#REF!))</f>
        <v/>
      </c>
      <c r="AL143" s="179" t="str">
        <f aca="false">IF('Bulk Order Details'!S153="","","-"&amp;LOOKUP('Bulk Order Details'!S153,#REF!,#REF!))</f>
        <v/>
      </c>
      <c r="AM143" s="179" t="str">
        <f aca="false">IF(_xlfn.CONCAT(AH143:AL143)="","","Lo"&amp;_xlfn.CONCAT(AH143:AL143))</f>
        <v/>
      </c>
      <c r="AN143" s="179" t="str">
        <f aca="false">IF('Bulk Order Details'!K153="","","Na-"&amp;'Bulk Order Details'!K153)</f>
        <v/>
      </c>
      <c r="AO143" s="179" t="str">
        <f aca="false">IF('Bulk Order Details'!N153="","","Fo-"&amp;'Bulk Order Details'!N153)</f>
        <v/>
      </c>
      <c r="AP143" s="179" t="str">
        <f aca="false">IF(AE143="","",AE143&amp;"_"&amp;AF143&amp;"_"&amp;AG143&amp;IF(AM143="","","_"&amp;AM143)&amp;IF(AN143="","","_"&amp;AN143)&amp;IF(AO143="","","_"&amp;AO143))</f>
        <v/>
      </c>
      <c r="AQ143" s="218" t="str">
        <f aca="false">IF(X143="","",X143)</f>
        <v/>
      </c>
    </row>
    <row r="144" customFormat="false" ht="15" hidden="false" customHeight="true" outlineLevel="0" collapsed="false">
      <c r="B144" s="209" t="n">
        <f aca="false">'Bulk Order Details'!B154</f>
        <v>141</v>
      </c>
      <c r="C144" s="209" t="e">
        <f aca="false">IF('bulk order details'!#ref!="","",'bulk order details'!#ref!&amp;" "&amp;'bulk order details'!#ref!)</f>
        <v>#VALUE!</v>
      </c>
      <c r="D144" s="210" t="str">
        <f aca="false">IF('Bulk Order Details'!J154="","",VLOOKUP(1,Price[],3))</f>
        <v/>
      </c>
      <c r="E144" s="211" t="str">
        <f aca="false">IF('Bulk Order Details'!J154="","",Summary!$D$9)</f>
        <v/>
      </c>
      <c r="F144" s="212" t="str">
        <f aca="false">IF('Bulk Order Details'!F154="","",_xlfn.xlookup('Bulk Order Details'!F154,Size[Display],Size[Price]))</f>
        <v/>
      </c>
      <c r="G144" s="212" t="str">
        <f aca="false">IF('Bulk Order Details'!G154="","",_xlfn.xlookup('Bulk Order Details'!G154,Length[Display],Length[Price]))</f>
        <v/>
      </c>
      <c r="H144" s="212" t="str">
        <f aca="false">IF('Bulk Order Details'!H154="","",_xlfn.xlookup('Bulk Order Details'!H154,Collection[Display],Collection[Price]))</f>
        <v/>
      </c>
      <c r="I144" s="212" t="str">
        <f aca="false">IF('Bulk Order Details'!I154="","",_xlfn.xlookup('Bulk Order Details'!I154,Sleeve[Display],Sleeve[Price]))</f>
        <v/>
      </c>
      <c r="J144" s="212" t="str">
        <f aca="false">IF('Bulk Order Details'!J154="","",_xlfn.xlookup('Bulk Order Details'!J154,Collar[Display],Collar[Price]))</f>
        <v/>
      </c>
      <c r="K144" s="212" t="str">
        <f aca="false">IF('Bulk Order Details'!K154="","",_xlfn.xlookup("Name",Name[Name],Name[Price]))</f>
        <v/>
      </c>
      <c r="L144" s="213" t="str">
        <f aca="false">IFERROR(IF('Bulk Order Details'!O154="","",IF(_xlfn.xlookup('Bulk Order Details'!O154,Logos[Display],Logos[Use])="Flat",_xlfn.xlookup('Bulk Order Details'!O154,Logos[Display],Logos[Flat]),ROUND(_xlfn.xlookup('Bulk Order Details'!O154,Logos[Display],Logos[Pct])*$E144,2))),"")</f>
        <v/>
      </c>
      <c r="M144" s="222" t="str">
        <f aca="false">IFERROR(IF('Bulk Order Details'!P154="","",IF(_xlfn.xlookup('Bulk Order Details'!P154,Chest[Display],Chest[Use])="Flat",_xlfn.xlookup('Bulk Order Details'!P154,Chest[Display],Chest[Flat]),ROUND(_xlfn.xlookup('Bulk Order Details'!P154,Chest[Display],Chest[Pct])*$E144,2))),"")</f>
        <v/>
      </c>
      <c r="N144" s="222" t="str">
        <f aca="false">IFERROR(IF('Bulk Order Details'!Q154="","",IF(_xlfn.xlookup('Bulk Order Details'!Q154,Chest[Display],Chest[Use])="Flat",_xlfn.xlookup('Bulk Order Details'!Q154,Chest[Display],Chest[Flat]),ROUND(_xlfn.xlookup('Bulk Order Details'!Q154,Chest[Display],Chest[Pct])*$E144,2))),"")</f>
        <v/>
      </c>
      <c r="O144" s="222" t="str">
        <f aca="false">IFERROR(IF('Bulk Order Details'!R154="","",IF(_xlfn.xlookup('Bulk Order Details'!R154,LeftSleeve[Display],LeftSleeve[Use])="Flat",_xlfn.xlookup('Bulk Order Details'!R154,LeftSleeve[Display],LeftSleeve[Flat]),ROUND(_xlfn.xlookup('Bulk Order Details'!R154,LeftSleeve[Display],LeftSleeve[Pct])*$E144,2))),"")</f>
        <v/>
      </c>
      <c r="P144" s="222" t="str">
        <f aca="false">IFERROR(IF('Bulk Order Details'!S154="","",IF(_xlfn.xlookup('Bulk Order Details'!S154,RightSleeve[Display],RightSleeve[Use])="Flat",_xlfn.xlookup('Bulk Order Details'!S154,RightSleeve[Display],RightSleeve[Flat]),ROUND(_xlfn.xlookup('Bulk Order Details'!S154,RightSleeve[Display],RightSleeve[Pct])*$E144,2))),"")</f>
        <v/>
      </c>
      <c r="Q144" s="214" t="str">
        <f aca="false">IF('Bulk Order Details'!J154="","",SUM(F144:P144))</f>
        <v/>
      </c>
      <c r="R144" s="213" t="str">
        <f aca="false">IFERROR(E144-D144,"")</f>
        <v/>
      </c>
      <c r="S144" s="215" t="str">
        <f aca="false">IFERROR(MIN(IF(Summary!$D$11="Yes",-J144,0),IF(H144&gt;0,-J144,0)),"")</f>
        <v/>
      </c>
      <c r="T144" s="212" t="str">
        <f aca="false">IFERROR(IF(Summary!$D$10="Yes",-K144,""),"")</f>
        <v/>
      </c>
      <c r="U144" s="213" t="str">
        <f aca="false">IFERROR(IF(Summary!$D$12="Yes",-L144,""),"")</f>
        <v/>
      </c>
      <c r="V144" s="216" t="str">
        <f aca="false">IF('Bulk Order Details'!J154="","",SUM(R144:U144))</f>
        <v/>
      </c>
      <c r="W144" s="217" t="str">
        <f aca="false">IF('Bulk Order Details'!J154="","",D144+Q144)</f>
        <v/>
      </c>
      <c r="X144" s="218" t="str">
        <f aca="false">IF('Bulk Order Details'!J154="","",D144+Q144+V144)</f>
        <v/>
      </c>
      <c r="Y144" s="219" t="str">
        <f aca="false">IFERROR((W144-X144)/W144,"")</f>
        <v/>
      </c>
      <c r="Z144" s="220" t="str">
        <f aca="false">IF('Bulk Order Details'!J154="","",MAX(1,'Bulk Order Details'!D154))</f>
        <v/>
      </c>
      <c r="AA144" s="217" t="str">
        <f aca="false">IF(Pricing_Details[[#This Row],[Quantity]]="","",Pricing_Details[[#This Row],[Retail Price]]*Pricing_Details[[#This Row],[Quantity]])</f>
        <v/>
      </c>
      <c r="AB144" s="217" t="str">
        <f aca="false">IF(Pricing_Details[[#This Row],[Quantity]]="","",Pricing_Details[[#This Row],[Total Discount]]*Pricing_Details[[#This Row],[Quantity]])</f>
        <v/>
      </c>
      <c r="AC144" s="221" t="str">
        <f aca="false">IFERROR(ROUND(Pricing_Details[[#This Row],[Actual Price]]*Pricing_Details[[#This Row],[Quantity]],2),"")</f>
        <v/>
      </c>
      <c r="AE144" s="179" t="str">
        <f aca="false">IF('Bulk Order Details'!J154="","",VLOOKUP('Bulk Order Details'!H154,Collection[],3)&amp;VLOOKUP('Bulk Order Details'!J154,Collar[],4)&amp;VLOOKUP('Bulk Order Details'!I154,Sleeve[],4))</f>
        <v/>
      </c>
      <c r="AF144" s="179" t="str">
        <f aca="false">IF('Bulk Order Details'!J154="","",LOOKUP('Bulk Order Details'!E154,Cut[Display],Cut[Code])&amp;LOOKUP('Bulk Order Details'!F154,#REF!,#REF!)&amp;IF('Bulk Order Details'!G154="","",LOOKUP('Bulk Order Details'!G154,Length[Display],Length[Code])))</f>
        <v/>
      </c>
      <c r="AG144" s="179" t="str">
        <f aca="false">IF('Bulk Order Details'!J154="","",IF('Bulk Order Details'!C154="","",'Bulk Order Details'!C154))</f>
        <v/>
      </c>
      <c r="AH144" s="179" t="str">
        <f aca="false">IF('Bulk Order Details'!O154="","","-"&amp;LOOKUP('Bulk Order Details'!O154,#REF!,#REF!))</f>
        <v/>
      </c>
      <c r="AI144" s="179" t="str">
        <f aca="false">IF('Bulk Order Details'!P154="","","-"&amp;LOOKUP('Bulk Order Details'!P154,#REF!,#REF!))</f>
        <v/>
      </c>
      <c r="AJ144" s="179" t="str">
        <f aca="false">IF('Bulk Order Details'!Q154="","","-"&amp;LOOKUP('Bulk Order Details'!Q154,#REF!,#REF!))</f>
        <v/>
      </c>
      <c r="AK144" s="179" t="str">
        <f aca="false">IF('Bulk Order Details'!R154="","","-"&amp;LOOKUP('Bulk Order Details'!R154,#REF!,#REF!))</f>
        <v/>
      </c>
      <c r="AL144" s="179" t="str">
        <f aca="false">IF('Bulk Order Details'!S154="","","-"&amp;LOOKUP('Bulk Order Details'!S154,#REF!,#REF!))</f>
        <v/>
      </c>
      <c r="AM144" s="179" t="str">
        <f aca="false">IF(_xlfn.CONCAT(AH144:AL144)="","","Lo"&amp;_xlfn.CONCAT(AH144:AL144))</f>
        <v/>
      </c>
      <c r="AN144" s="179" t="str">
        <f aca="false">IF('Bulk Order Details'!K154="","","Na-"&amp;'Bulk Order Details'!K154)</f>
        <v/>
      </c>
      <c r="AO144" s="179" t="str">
        <f aca="false">IF('Bulk Order Details'!N154="","","Fo-"&amp;'Bulk Order Details'!N154)</f>
        <v/>
      </c>
      <c r="AP144" s="179" t="str">
        <f aca="false">IF(AE144="","",AE144&amp;"_"&amp;AF144&amp;"_"&amp;AG144&amp;IF(AM144="","","_"&amp;AM144)&amp;IF(AN144="","","_"&amp;AN144)&amp;IF(AO144="","","_"&amp;AO144))</f>
        <v/>
      </c>
      <c r="AQ144" s="218" t="str">
        <f aca="false">IF(X144="","",X144)</f>
        <v/>
      </c>
    </row>
    <row r="145" customFormat="false" ht="15" hidden="false" customHeight="true" outlineLevel="0" collapsed="false">
      <c r="B145" s="209" t="n">
        <f aca="false">'Bulk Order Details'!B155</f>
        <v>142</v>
      </c>
      <c r="C145" s="209" t="e">
        <f aca="false">IF('bulk order details'!#ref!="","",'bulk order details'!#ref!&amp;" "&amp;'bulk order details'!#ref!)</f>
        <v>#VALUE!</v>
      </c>
      <c r="D145" s="210" t="str">
        <f aca="false">IF('Bulk Order Details'!J155="","",VLOOKUP(1,Price[],3))</f>
        <v/>
      </c>
      <c r="E145" s="211" t="str">
        <f aca="false">IF('Bulk Order Details'!J155="","",Summary!$D$9)</f>
        <v/>
      </c>
      <c r="F145" s="212" t="str">
        <f aca="false">IF('Bulk Order Details'!F155="","",_xlfn.xlookup('Bulk Order Details'!F155,Size[Display],Size[Price]))</f>
        <v/>
      </c>
      <c r="G145" s="212" t="str">
        <f aca="false">IF('Bulk Order Details'!G155="","",_xlfn.xlookup('Bulk Order Details'!G155,Length[Display],Length[Price]))</f>
        <v/>
      </c>
      <c r="H145" s="212" t="str">
        <f aca="false">IF('Bulk Order Details'!H155="","",_xlfn.xlookup('Bulk Order Details'!H155,Collection[Display],Collection[Price]))</f>
        <v/>
      </c>
      <c r="I145" s="212" t="str">
        <f aca="false">IF('Bulk Order Details'!I155="","",_xlfn.xlookup('Bulk Order Details'!I155,Sleeve[Display],Sleeve[Price]))</f>
        <v/>
      </c>
      <c r="J145" s="212" t="str">
        <f aca="false">IF('Bulk Order Details'!J155="","",_xlfn.xlookup('Bulk Order Details'!J155,Collar[Display],Collar[Price]))</f>
        <v/>
      </c>
      <c r="K145" s="212" t="str">
        <f aca="false">IF('Bulk Order Details'!K155="","",_xlfn.xlookup("Name",Name[Name],Name[Price]))</f>
        <v/>
      </c>
      <c r="L145" s="213" t="str">
        <f aca="false">IFERROR(IF('Bulk Order Details'!O155="","",IF(_xlfn.xlookup('Bulk Order Details'!O155,Logos[Display],Logos[Use])="Flat",_xlfn.xlookup('Bulk Order Details'!O155,Logos[Display],Logos[Flat]),ROUND(_xlfn.xlookup('Bulk Order Details'!O155,Logos[Display],Logos[Pct])*$E145,2))),"")</f>
        <v/>
      </c>
      <c r="M145" s="222" t="str">
        <f aca="false">IFERROR(IF('Bulk Order Details'!P155="","",IF(_xlfn.xlookup('Bulk Order Details'!P155,Chest[Display],Chest[Use])="Flat",_xlfn.xlookup('Bulk Order Details'!P155,Chest[Display],Chest[Flat]),ROUND(_xlfn.xlookup('Bulk Order Details'!P155,Chest[Display],Chest[Pct])*$E145,2))),"")</f>
        <v/>
      </c>
      <c r="N145" s="222" t="str">
        <f aca="false">IFERROR(IF('Bulk Order Details'!Q155="","",IF(_xlfn.xlookup('Bulk Order Details'!Q155,Chest[Display],Chest[Use])="Flat",_xlfn.xlookup('Bulk Order Details'!Q155,Chest[Display],Chest[Flat]),ROUND(_xlfn.xlookup('Bulk Order Details'!Q155,Chest[Display],Chest[Pct])*$E145,2))),"")</f>
        <v/>
      </c>
      <c r="O145" s="222" t="str">
        <f aca="false">IFERROR(IF('Bulk Order Details'!R155="","",IF(_xlfn.xlookup('Bulk Order Details'!R155,LeftSleeve[Display],LeftSleeve[Use])="Flat",_xlfn.xlookup('Bulk Order Details'!R155,LeftSleeve[Display],LeftSleeve[Flat]),ROUND(_xlfn.xlookup('Bulk Order Details'!R155,LeftSleeve[Display],LeftSleeve[Pct])*$E145,2))),"")</f>
        <v/>
      </c>
      <c r="P145" s="222" t="str">
        <f aca="false">IFERROR(IF('Bulk Order Details'!S155="","",IF(_xlfn.xlookup('Bulk Order Details'!S155,RightSleeve[Display],RightSleeve[Use])="Flat",_xlfn.xlookup('Bulk Order Details'!S155,RightSleeve[Display],RightSleeve[Flat]),ROUND(_xlfn.xlookup('Bulk Order Details'!S155,RightSleeve[Display],RightSleeve[Pct])*$E145,2))),"")</f>
        <v/>
      </c>
      <c r="Q145" s="214" t="str">
        <f aca="false">IF('Bulk Order Details'!J155="","",SUM(F145:P145))</f>
        <v/>
      </c>
      <c r="R145" s="213" t="str">
        <f aca="false">IFERROR(E145-D145,"")</f>
        <v/>
      </c>
      <c r="S145" s="215" t="str">
        <f aca="false">IFERROR(MIN(IF(Summary!$D$11="Yes",-J145,0),IF(H145&gt;0,-J145,0)),"")</f>
        <v/>
      </c>
      <c r="T145" s="212" t="str">
        <f aca="false">IFERROR(IF(Summary!$D$10="Yes",-K145,""),"")</f>
        <v/>
      </c>
      <c r="U145" s="213" t="str">
        <f aca="false">IFERROR(IF(Summary!$D$12="Yes",-L145,""),"")</f>
        <v/>
      </c>
      <c r="V145" s="216" t="str">
        <f aca="false">IF('Bulk Order Details'!J155="","",SUM(R145:U145))</f>
        <v/>
      </c>
      <c r="W145" s="217" t="str">
        <f aca="false">IF('Bulk Order Details'!J155="","",D145+Q145)</f>
        <v/>
      </c>
      <c r="X145" s="218" t="str">
        <f aca="false">IF('Bulk Order Details'!J155="","",D145+Q145+V145)</f>
        <v/>
      </c>
      <c r="Y145" s="219" t="str">
        <f aca="false">IFERROR((W145-X145)/W145,"")</f>
        <v/>
      </c>
      <c r="Z145" s="220" t="str">
        <f aca="false">IF('Bulk Order Details'!J155="","",MAX(1,'Bulk Order Details'!D155))</f>
        <v/>
      </c>
      <c r="AA145" s="217" t="str">
        <f aca="false">IF(Pricing_Details[[#This Row],[Quantity]]="","",Pricing_Details[[#This Row],[Retail Price]]*Pricing_Details[[#This Row],[Quantity]])</f>
        <v/>
      </c>
      <c r="AB145" s="217" t="str">
        <f aca="false">IF(Pricing_Details[[#This Row],[Quantity]]="","",Pricing_Details[[#This Row],[Total Discount]]*Pricing_Details[[#This Row],[Quantity]])</f>
        <v/>
      </c>
      <c r="AC145" s="221" t="str">
        <f aca="false">IFERROR(ROUND(Pricing_Details[[#This Row],[Actual Price]]*Pricing_Details[[#This Row],[Quantity]],2),"")</f>
        <v/>
      </c>
      <c r="AE145" s="179" t="str">
        <f aca="false">IF('Bulk Order Details'!J155="","",VLOOKUP('Bulk Order Details'!H155,Collection[],3)&amp;VLOOKUP('Bulk Order Details'!J155,Collar[],4)&amp;VLOOKUP('Bulk Order Details'!I155,Sleeve[],4))</f>
        <v/>
      </c>
      <c r="AF145" s="179" t="str">
        <f aca="false">IF('Bulk Order Details'!J155="","",LOOKUP('Bulk Order Details'!E155,Cut[Display],Cut[Code])&amp;LOOKUP('Bulk Order Details'!F155,#REF!,#REF!)&amp;IF('Bulk Order Details'!G155="","",LOOKUP('Bulk Order Details'!G155,Length[Display],Length[Code])))</f>
        <v/>
      </c>
      <c r="AG145" s="179" t="str">
        <f aca="false">IF('Bulk Order Details'!J155="","",IF('Bulk Order Details'!C155="","",'Bulk Order Details'!C155))</f>
        <v/>
      </c>
      <c r="AH145" s="179" t="str">
        <f aca="false">IF('Bulk Order Details'!O155="","","-"&amp;LOOKUP('Bulk Order Details'!O155,#REF!,#REF!))</f>
        <v/>
      </c>
      <c r="AI145" s="179" t="str">
        <f aca="false">IF('Bulk Order Details'!P155="","","-"&amp;LOOKUP('Bulk Order Details'!P155,#REF!,#REF!))</f>
        <v/>
      </c>
      <c r="AJ145" s="179" t="str">
        <f aca="false">IF('Bulk Order Details'!Q155="","","-"&amp;LOOKUP('Bulk Order Details'!Q155,#REF!,#REF!))</f>
        <v/>
      </c>
      <c r="AK145" s="179" t="str">
        <f aca="false">IF('Bulk Order Details'!R155="","","-"&amp;LOOKUP('Bulk Order Details'!R155,#REF!,#REF!))</f>
        <v/>
      </c>
      <c r="AL145" s="179" t="str">
        <f aca="false">IF('Bulk Order Details'!S155="","","-"&amp;LOOKUP('Bulk Order Details'!S155,#REF!,#REF!))</f>
        <v/>
      </c>
      <c r="AM145" s="179" t="str">
        <f aca="false">IF(_xlfn.CONCAT(AH145:AL145)="","","Lo"&amp;_xlfn.CONCAT(AH145:AL145))</f>
        <v/>
      </c>
      <c r="AN145" s="179" t="str">
        <f aca="false">IF('Bulk Order Details'!K155="","","Na-"&amp;'Bulk Order Details'!K155)</f>
        <v/>
      </c>
      <c r="AO145" s="179" t="str">
        <f aca="false">IF('Bulk Order Details'!N155="","","Fo-"&amp;'Bulk Order Details'!N155)</f>
        <v/>
      </c>
      <c r="AP145" s="179" t="str">
        <f aca="false">IF(AE145="","",AE145&amp;"_"&amp;AF145&amp;"_"&amp;AG145&amp;IF(AM145="","","_"&amp;AM145)&amp;IF(AN145="","","_"&amp;AN145)&amp;IF(AO145="","","_"&amp;AO145))</f>
        <v/>
      </c>
      <c r="AQ145" s="218" t="str">
        <f aca="false">IF(X145="","",X145)</f>
        <v/>
      </c>
    </row>
    <row r="146" customFormat="false" ht="15" hidden="false" customHeight="true" outlineLevel="0" collapsed="false">
      <c r="B146" s="209" t="n">
        <f aca="false">'Bulk Order Details'!B156</f>
        <v>143</v>
      </c>
      <c r="C146" s="209" t="e">
        <f aca="false">IF('bulk order details'!#ref!="","",'bulk order details'!#ref!&amp;" "&amp;'bulk order details'!#ref!)</f>
        <v>#VALUE!</v>
      </c>
      <c r="D146" s="210" t="str">
        <f aca="false">IF('Bulk Order Details'!J156="","",VLOOKUP(1,Price[],3))</f>
        <v/>
      </c>
      <c r="E146" s="211" t="str">
        <f aca="false">IF('Bulk Order Details'!J156="","",Summary!$D$9)</f>
        <v/>
      </c>
      <c r="F146" s="212" t="str">
        <f aca="false">IF('Bulk Order Details'!F156="","",_xlfn.xlookup('Bulk Order Details'!F156,Size[Display],Size[Price]))</f>
        <v/>
      </c>
      <c r="G146" s="212" t="str">
        <f aca="false">IF('Bulk Order Details'!G156="","",_xlfn.xlookup('Bulk Order Details'!G156,Length[Display],Length[Price]))</f>
        <v/>
      </c>
      <c r="H146" s="212" t="str">
        <f aca="false">IF('Bulk Order Details'!H156="","",_xlfn.xlookup('Bulk Order Details'!H156,Collection[Display],Collection[Price]))</f>
        <v/>
      </c>
      <c r="I146" s="212" t="str">
        <f aca="false">IF('Bulk Order Details'!I156="","",_xlfn.xlookup('Bulk Order Details'!I156,Sleeve[Display],Sleeve[Price]))</f>
        <v/>
      </c>
      <c r="J146" s="212" t="str">
        <f aca="false">IF('Bulk Order Details'!J156="","",_xlfn.xlookup('Bulk Order Details'!J156,Collar[Display],Collar[Price]))</f>
        <v/>
      </c>
      <c r="K146" s="212" t="str">
        <f aca="false">IF('Bulk Order Details'!K156="","",_xlfn.xlookup("Name",Name[Name],Name[Price]))</f>
        <v/>
      </c>
      <c r="L146" s="213" t="str">
        <f aca="false">IFERROR(IF('Bulk Order Details'!O156="","",IF(_xlfn.xlookup('Bulk Order Details'!O156,Logos[Display],Logos[Use])="Flat",_xlfn.xlookup('Bulk Order Details'!O156,Logos[Display],Logos[Flat]),ROUND(_xlfn.xlookup('Bulk Order Details'!O156,Logos[Display],Logos[Pct])*$E146,2))),"")</f>
        <v/>
      </c>
      <c r="M146" s="222" t="str">
        <f aca="false">IFERROR(IF('Bulk Order Details'!P156="","",IF(_xlfn.xlookup('Bulk Order Details'!P156,Chest[Display],Chest[Use])="Flat",_xlfn.xlookup('Bulk Order Details'!P156,Chest[Display],Chest[Flat]),ROUND(_xlfn.xlookup('Bulk Order Details'!P156,Chest[Display],Chest[Pct])*$E146,2))),"")</f>
        <v/>
      </c>
      <c r="N146" s="222" t="str">
        <f aca="false">IFERROR(IF('Bulk Order Details'!Q156="","",IF(_xlfn.xlookup('Bulk Order Details'!Q156,Chest[Display],Chest[Use])="Flat",_xlfn.xlookup('Bulk Order Details'!Q156,Chest[Display],Chest[Flat]),ROUND(_xlfn.xlookup('Bulk Order Details'!Q156,Chest[Display],Chest[Pct])*$E146,2))),"")</f>
        <v/>
      </c>
      <c r="O146" s="222" t="str">
        <f aca="false">IFERROR(IF('Bulk Order Details'!R156="","",IF(_xlfn.xlookup('Bulk Order Details'!R156,LeftSleeve[Display],LeftSleeve[Use])="Flat",_xlfn.xlookup('Bulk Order Details'!R156,LeftSleeve[Display],LeftSleeve[Flat]),ROUND(_xlfn.xlookup('Bulk Order Details'!R156,LeftSleeve[Display],LeftSleeve[Pct])*$E146,2))),"")</f>
        <v/>
      </c>
      <c r="P146" s="222" t="str">
        <f aca="false">IFERROR(IF('Bulk Order Details'!S156="","",IF(_xlfn.xlookup('Bulk Order Details'!S156,RightSleeve[Display],RightSleeve[Use])="Flat",_xlfn.xlookup('Bulk Order Details'!S156,RightSleeve[Display],RightSleeve[Flat]),ROUND(_xlfn.xlookup('Bulk Order Details'!S156,RightSleeve[Display],RightSleeve[Pct])*$E146,2))),"")</f>
        <v/>
      </c>
      <c r="Q146" s="214" t="str">
        <f aca="false">IF('Bulk Order Details'!J156="","",SUM(F146:P146))</f>
        <v/>
      </c>
      <c r="R146" s="213" t="str">
        <f aca="false">IFERROR(E146-D146,"")</f>
        <v/>
      </c>
      <c r="S146" s="215" t="str">
        <f aca="false">IFERROR(MIN(IF(Summary!$D$11="Yes",-J146,0),IF(H146&gt;0,-J146,0)),"")</f>
        <v/>
      </c>
      <c r="T146" s="212" t="str">
        <f aca="false">IFERROR(IF(Summary!$D$10="Yes",-K146,""),"")</f>
        <v/>
      </c>
      <c r="U146" s="213" t="str">
        <f aca="false">IFERROR(IF(Summary!$D$12="Yes",-L146,""),"")</f>
        <v/>
      </c>
      <c r="V146" s="216" t="str">
        <f aca="false">IF('Bulk Order Details'!J156="","",SUM(R146:U146))</f>
        <v/>
      </c>
      <c r="W146" s="217" t="str">
        <f aca="false">IF('Bulk Order Details'!J156="","",D146+Q146)</f>
        <v/>
      </c>
      <c r="X146" s="218" t="str">
        <f aca="false">IF('Bulk Order Details'!J156="","",D146+Q146+V146)</f>
        <v/>
      </c>
      <c r="Y146" s="219" t="str">
        <f aca="false">IFERROR((W146-X146)/W146,"")</f>
        <v/>
      </c>
      <c r="Z146" s="220" t="str">
        <f aca="false">IF('Bulk Order Details'!J156="","",MAX(1,'Bulk Order Details'!D156))</f>
        <v/>
      </c>
      <c r="AA146" s="217" t="str">
        <f aca="false">IF(Pricing_Details[[#This Row],[Quantity]]="","",Pricing_Details[[#This Row],[Retail Price]]*Pricing_Details[[#This Row],[Quantity]])</f>
        <v/>
      </c>
      <c r="AB146" s="217" t="str">
        <f aca="false">IF(Pricing_Details[[#This Row],[Quantity]]="","",Pricing_Details[[#This Row],[Total Discount]]*Pricing_Details[[#This Row],[Quantity]])</f>
        <v/>
      </c>
      <c r="AC146" s="221" t="str">
        <f aca="false">IFERROR(ROUND(Pricing_Details[[#This Row],[Actual Price]]*Pricing_Details[[#This Row],[Quantity]],2),"")</f>
        <v/>
      </c>
      <c r="AE146" s="179" t="str">
        <f aca="false">IF('Bulk Order Details'!J156="","",VLOOKUP('Bulk Order Details'!H156,Collection[],3)&amp;VLOOKUP('Bulk Order Details'!J156,Collar[],4)&amp;VLOOKUP('Bulk Order Details'!I156,Sleeve[],4))</f>
        <v/>
      </c>
      <c r="AF146" s="179" t="str">
        <f aca="false">IF('Bulk Order Details'!J156="","",LOOKUP('Bulk Order Details'!E156,Cut[Display],Cut[Code])&amp;LOOKUP('Bulk Order Details'!F156,#REF!,#REF!)&amp;IF('Bulk Order Details'!G156="","",LOOKUP('Bulk Order Details'!G156,Length[Display],Length[Code])))</f>
        <v/>
      </c>
      <c r="AG146" s="179" t="str">
        <f aca="false">IF('Bulk Order Details'!J156="","",IF('Bulk Order Details'!C156="","",'Bulk Order Details'!C156))</f>
        <v/>
      </c>
      <c r="AH146" s="179" t="str">
        <f aca="false">IF('Bulk Order Details'!O156="","","-"&amp;LOOKUP('Bulk Order Details'!O156,#REF!,#REF!))</f>
        <v/>
      </c>
      <c r="AI146" s="179" t="str">
        <f aca="false">IF('Bulk Order Details'!P156="","","-"&amp;LOOKUP('Bulk Order Details'!P156,#REF!,#REF!))</f>
        <v/>
      </c>
      <c r="AJ146" s="179" t="str">
        <f aca="false">IF('Bulk Order Details'!Q156="","","-"&amp;LOOKUP('Bulk Order Details'!Q156,#REF!,#REF!))</f>
        <v/>
      </c>
      <c r="AK146" s="179" t="str">
        <f aca="false">IF('Bulk Order Details'!R156="","","-"&amp;LOOKUP('Bulk Order Details'!R156,#REF!,#REF!))</f>
        <v/>
      </c>
      <c r="AL146" s="179" t="str">
        <f aca="false">IF('Bulk Order Details'!S156="","","-"&amp;LOOKUP('Bulk Order Details'!S156,#REF!,#REF!))</f>
        <v/>
      </c>
      <c r="AM146" s="179" t="str">
        <f aca="false">IF(_xlfn.CONCAT(AH146:AL146)="","","Lo"&amp;_xlfn.CONCAT(AH146:AL146))</f>
        <v/>
      </c>
      <c r="AN146" s="179" t="str">
        <f aca="false">IF('Bulk Order Details'!K156="","","Na-"&amp;'Bulk Order Details'!K156)</f>
        <v/>
      </c>
      <c r="AO146" s="179" t="str">
        <f aca="false">IF('Bulk Order Details'!N156="","","Fo-"&amp;'Bulk Order Details'!N156)</f>
        <v/>
      </c>
      <c r="AP146" s="179" t="str">
        <f aca="false">IF(AE146="","",AE146&amp;"_"&amp;AF146&amp;"_"&amp;AG146&amp;IF(AM146="","","_"&amp;AM146)&amp;IF(AN146="","","_"&amp;AN146)&amp;IF(AO146="","","_"&amp;AO146))</f>
        <v/>
      </c>
      <c r="AQ146" s="218" t="str">
        <f aca="false">IF(X146="","",X146)</f>
        <v/>
      </c>
    </row>
    <row r="147" customFormat="false" ht="15" hidden="false" customHeight="true" outlineLevel="0" collapsed="false">
      <c r="B147" s="209" t="n">
        <f aca="false">'Bulk Order Details'!B157</f>
        <v>144</v>
      </c>
      <c r="C147" s="209" t="e">
        <f aca="false">IF('bulk order details'!#ref!="","",'bulk order details'!#ref!&amp;" "&amp;'bulk order details'!#ref!)</f>
        <v>#VALUE!</v>
      </c>
      <c r="D147" s="210" t="str">
        <f aca="false">IF('Bulk Order Details'!J157="","",VLOOKUP(1,Price[],3))</f>
        <v/>
      </c>
      <c r="E147" s="211" t="str">
        <f aca="false">IF('Bulk Order Details'!J157="","",Summary!$D$9)</f>
        <v/>
      </c>
      <c r="F147" s="212" t="str">
        <f aca="false">IF('Bulk Order Details'!F157="","",_xlfn.xlookup('Bulk Order Details'!F157,Size[Display],Size[Price]))</f>
        <v/>
      </c>
      <c r="G147" s="212" t="str">
        <f aca="false">IF('Bulk Order Details'!G157="","",_xlfn.xlookup('Bulk Order Details'!G157,Length[Display],Length[Price]))</f>
        <v/>
      </c>
      <c r="H147" s="212" t="str">
        <f aca="false">IF('Bulk Order Details'!H157="","",_xlfn.xlookup('Bulk Order Details'!H157,Collection[Display],Collection[Price]))</f>
        <v/>
      </c>
      <c r="I147" s="212" t="str">
        <f aca="false">IF('Bulk Order Details'!I157="","",_xlfn.xlookup('Bulk Order Details'!I157,Sleeve[Display],Sleeve[Price]))</f>
        <v/>
      </c>
      <c r="J147" s="212" t="str">
        <f aca="false">IF('Bulk Order Details'!J157="","",_xlfn.xlookup('Bulk Order Details'!J157,Collar[Display],Collar[Price]))</f>
        <v/>
      </c>
      <c r="K147" s="212" t="str">
        <f aca="false">IF('Bulk Order Details'!K157="","",_xlfn.xlookup("Name",Name[Name],Name[Price]))</f>
        <v/>
      </c>
      <c r="L147" s="213" t="str">
        <f aca="false">IFERROR(IF('Bulk Order Details'!O157="","",IF(_xlfn.xlookup('Bulk Order Details'!O157,Logos[Display],Logos[Use])="Flat",_xlfn.xlookup('Bulk Order Details'!O157,Logos[Display],Logos[Flat]),ROUND(_xlfn.xlookup('Bulk Order Details'!O157,Logos[Display],Logos[Pct])*$E147,2))),"")</f>
        <v/>
      </c>
      <c r="M147" s="222" t="str">
        <f aca="false">IFERROR(IF('Bulk Order Details'!P157="","",IF(_xlfn.xlookup('Bulk Order Details'!P157,Chest[Display],Chest[Use])="Flat",_xlfn.xlookup('Bulk Order Details'!P157,Chest[Display],Chest[Flat]),ROUND(_xlfn.xlookup('Bulk Order Details'!P157,Chest[Display],Chest[Pct])*$E147,2))),"")</f>
        <v/>
      </c>
      <c r="N147" s="222" t="str">
        <f aca="false">IFERROR(IF('Bulk Order Details'!Q157="","",IF(_xlfn.xlookup('Bulk Order Details'!Q157,Chest[Display],Chest[Use])="Flat",_xlfn.xlookup('Bulk Order Details'!Q157,Chest[Display],Chest[Flat]),ROUND(_xlfn.xlookup('Bulk Order Details'!Q157,Chest[Display],Chest[Pct])*$E147,2))),"")</f>
        <v/>
      </c>
      <c r="O147" s="222" t="str">
        <f aca="false">IFERROR(IF('Bulk Order Details'!R157="","",IF(_xlfn.xlookup('Bulk Order Details'!R157,LeftSleeve[Display],LeftSleeve[Use])="Flat",_xlfn.xlookup('Bulk Order Details'!R157,LeftSleeve[Display],LeftSleeve[Flat]),ROUND(_xlfn.xlookup('Bulk Order Details'!R157,LeftSleeve[Display],LeftSleeve[Pct])*$E147,2))),"")</f>
        <v/>
      </c>
      <c r="P147" s="222" t="str">
        <f aca="false">IFERROR(IF('Bulk Order Details'!S157="","",IF(_xlfn.xlookup('Bulk Order Details'!S157,RightSleeve[Display],RightSleeve[Use])="Flat",_xlfn.xlookup('Bulk Order Details'!S157,RightSleeve[Display],RightSleeve[Flat]),ROUND(_xlfn.xlookup('Bulk Order Details'!S157,RightSleeve[Display],RightSleeve[Pct])*$E147,2))),"")</f>
        <v/>
      </c>
      <c r="Q147" s="214" t="str">
        <f aca="false">IF('Bulk Order Details'!J157="","",SUM(F147:P147))</f>
        <v/>
      </c>
      <c r="R147" s="213" t="str">
        <f aca="false">IFERROR(E147-D147,"")</f>
        <v/>
      </c>
      <c r="S147" s="215" t="str">
        <f aca="false">IFERROR(MIN(IF(Summary!$D$11="Yes",-J147,0),IF(H147&gt;0,-J147,0)),"")</f>
        <v/>
      </c>
      <c r="T147" s="212" t="str">
        <f aca="false">IFERROR(IF(Summary!$D$10="Yes",-K147,""),"")</f>
        <v/>
      </c>
      <c r="U147" s="213" t="str">
        <f aca="false">IFERROR(IF(Summary!$D$12="Yes",-L147,""),"")</f>
        <v/>
      </c>
      <c r="V147" s="216" t="str">
        <f aca="false">IF('Bulk Order Details'!J157="","",SUM(R147:U147))</f>
        <v/>
      </c>
      <c r="W147" s="217" t="str">
        <f aca="false">IF('Bulk Order Details'!J157="","",D147+Q147)</f>
        <v/>
      </c>
      <c r="X147" s="218" t="str">
        <f aca="false">IF('Bulk Order Details'!J157="","",D147+Q147+V147)</f>
        <v/>
      </c>
      <c r="Y147" s="219" t="str">
        <f aca="false">IFERROR((W147-X147)/W147,"")</f>
        <v/>
      </c>
      <c r="Z147" s="220" t="str">
        <f aca="false">IF('Bulk Order Details'!J157="","",MAX(1,'Bulk Order Details'!D157))</f>
        <v/>
      </c>
      <c r="AA147" s="217" t="str">
        <f aca="false">IF(Pricing_Details[[#This Row],[Quantity]]="","",Pricing_Details[[#This Row],[Retail Price]]*Pricing_Details[[#This Row],[Quantity]])</f>
        <v/>
      </c>
      <c r="AB147" s="217" t="str">
        <f aca="false">IF(Pricing_Details[[#This Row],[Quantity]]="","",Pricing_Details[[#This Row],[Total Discount]]*Pricing_Details[[#This Row],[Quantity]])</f>
        <v/>
      </c>
      <c r="AC147" s="221" t="str">
        <f aca="false">IFERROR(ROUND(Pricing_Details[[#This Row],[Actual Price]]*Pricing_Details[[#This Row],[Quantity]],2),"")</f>
        <v/>
      </c>
      <c r="AE147" s="179" t="str">
        <f aca="false">IF('Bulk Order Details'!J157="","",VLOOKUP('Bulk Order Details'!H157,Collection[],3)&amp;VLOOKUP('Bulk Order Details'!J157,Collar[],4)&amp;VLOOKUP('Bulk Order Details'!I157,Sleeve[],4))</f>
        <v/>
      </c>
      <c r="AF147" s="179" t="str">
        <f aca="false">IF('Bulk Order Details'!J157="","",LOOKUP('Bulk Order Details'!E157,Cut[Display],Cut[Code])&amp;LOOKUP('Bulk Order Details'!F157,#REF!,#REF!)&amp;IF('Bulk Order Details'!G157="","",LOOKUP('Bulk Order Details'!G157,Length[Display],Length[Code])))</f>
        <v/>
      </c>
      <c r="AG147" s="179" t="str">
        <f aca="false">IF('Bulk Order Details'!J157="","",IF('Bulk Order Details'!C157="","",'Bulk Order Details'!C157))</f>
        <v/>
      </c>
      <c r="AH147" s="179" t="str">
        <f aca="false">IF('Bulk Order Details'!O157="","","-"&amp;LOOKUP('Bulk Order Details'!O157,#REF!,#REF!))</f>
        <v/>
      </c>
      <c r="AI147" s="179" t="str">
        <f aca="false">IF('Bulk Order Details'!P157="","","-"&amp;LOOKUP('Bulk Order Details'!P157,#REF!,#REF!))</f>
        <v/>
      </c>
      <c r="AJ147" s="179" t="str">
        <f aca="false">IF('Bulk Order Details'!Q157="","","-"&amp;LOOKUP('Bulk Order Details'!Q157,#REF!,#REF!))</f>
        <v/>
      </c>
      <c r="AK147" s="179" t="str">
        <f aca="false">IF('Bulk Order Details'!R157="","","-"&amp;LOOKUP('Bulk Order Details'!R157,#REF!,#REF!))</f>
        <v/>
      </c>
      <c r="AL147" s="179" t="str">
        <f aca="false">IF('Bulk Order Details'!S157="","","-"&amp;LOOKUP('Bulk Order Details'!S157,#REF!,#REF!))</f>
        <v/>
      </c>
      <c r="AM147" s="179" t="str">
        <f aca="false">IF(_xlfn.CONCAT(AH147:AL147)="","","Lo"&amp;_xlfn.CONCAT(AH147:AL147))</f>
        <v/>
      </c>
      <c r="AN147" s="179" t="str">
        <f aca="false">IF('Bulk Order Details'!K157="","","Na-"&amp;'Bulk Order Details'!K157)</f>
        <v/>
      </c>
      <c r="AO147" s="179" t="str">
        <f aca="false">IF('Bulk Order Details'!N157="","","Fo-"&amp;'Bulk Order Details'!N157)</f>
        <v/>
      </c>
      <c r="AP147" s="179" t="str">
        <f aca="false">IF(AE147="","",AE147&amp;"_"&amp;AF147&amp;"_"&amp;AG147&amp;IF(AM147="","","_"&amp;AM147)&amp;IF(AN147="","","_"&amp;AN147)&amp;IF(AO147="","","_"&amp;AO147))</f>
        <v/>
      </c>
      <c r="AQ147" s="218" t="str">
        <f aca="false">IF(X147="","",X147)</f>
        <v/>
      </c>
    </row>
    <row r="148" customFormat="false" ht="15" hidden="false" customHeight="true" outlineLevel="0" collapsed="false">
      <c r="B148" s="209" t="n">
        <f aca="false">'Bulk Order Details'!B158</f>
        <v>145</v>
      </c>
      <c r="C148" s="209" t="e">
        <f aca="false">IF('bulk order details'!#ref!="","",'bulk order details'!#ref!&amp;" "&amp;'bulk order details'!#ref!)</f>
        <v>#VALUE!</v>
      </c>
      <c r="D148" s="210" t="str">
        <f aca="false">IF('Bulk Order Details'!J158="","",VLOOKUP(1,Price[],3))</f>
        <v/>
      </c>
      <c r="E148" s="211" t="str">
        <f aca="false">IF('Bulk Order Details'!J158="","",Summary!$D$9)</f>
        <v/>
      </c>
      <c r="F148" s="212" t="str">
        <f aca="false">IF('Bulk Order Details'!F158="","",_xlfn.xlookup('Bulk Order Details'!F158,Size[Display],Size[Price]))</f>
        <v/>
      </c>
      <c r="G148" s="212" t="str">
        <f aca="false">IF('Bulk Order Details'!G158="","",_xlfn.xlookup('Bulk Order Details'!G158,Length[Display],Length[Price]))</f>
        <v/>
      </c>
      <c r="H148" s="212" t="str">
        <f aca="false">IF('Bulk Order Details'!H158="","",_xlfn.xlookup('Bulk Order Details'!H158,Collection[Display],Collection[Price]))</f>
        <v/>
      </c>
      <c r="I148" s="212" t="str">
        <f aca="false">IF('Bulk Order Details'!I158="","",_xlfn.xlookup('Bulk Order Details'!I158,Sleeve[Display],Sleeve[Price]))</f>
        <v/>
      </c>
      <c r="J148" s="212" t="str">
        <f aca="false">IF('Bulk Order Details'!J158="","",_xlfn.xlookup('Bulk Order Details'!J158,Collar[Display],Collar[Price]))</f>
        <v/>
      </c>
      <c r="K148" s="212" t="str">
        <f aca="false">IF('Bulk Order Details'!K158="","",_xlfn.xlookup("Name",Name[Name],Name[Price]))</f>
        <v/>
      </c>
      <c r="L148" s="213" t="str">
        <f aca="false">IFERROR(IF('Bulk Order Details'!O158="","",IF(_xlfn.xlookup('Bulk Order Details'!O158,Logos[Display],Logos[Use])="Flat",_xlfn.xlookup('Bulk Order Details'!O158,Logos[Display],Logos[Flat]),ROUND(_xlfn.xlookup('Bulk Order Details'!O158,Logos[Display],Logos[Pct])*$E148,2))),"")</f>
        <v/>
      </c>
      <c r="M148" s="222" t="str">
        <f aca="false">IFERROR(IF('Bulk Order Details'!P158="","",IF(_xlfn.xlookup('Bulk Order Details'!P158,Chest[Display],Chest[Use])="Flat",_xlfn.xlookup('Bulk Order Details'!P158,Chest[Display],Chest[Flat]),ROUND(_xlfn.xlookup('Bulk Order Details'!P158,Chest[Display],Chest[Pct])*$E148,2))),"")</f>
        <v/>
      </c>
      <c r="N148" s="222" t="str">
        <f aca="false">IFERROR(IF('Bulk Order Details'!Q158="","",IF(_xlfn.xlookup('Bulk Order Details'!Q158,Chest[Display],Chest[Use])="Flat",_xlfn.xlookup('Bulk Order Details'!Q158,Chest[Display],Chest[Flat]),ROUND(_xlfn.xlookup('Bulk Order Details'!Q158,Chest[Display],Chest[Pct])*$E148,2))),"")</f>
        <v/>
      </c>
      <c r="O148" s="222" t="str">
        <f aca="false">IFERROR(IF('Bulk Order Details'!R158="","",IF(_xlfn.xlookup('Bulk Order Details'!R158,LeftSleeve[Display],LeftSleeve[Use])="Flat",_xlfn.xlookup('Bulk Order Details'!R158,LeftSleeve[Display],LeftSleeve[Flat]),ROUND(_xlfn.xlookup('Bulk Order Details'!R158,LeftSleeve[Display],LeftSleeve[Pct])*$E148,2))),"")</f>
        <v/>
      </c>
      <c r="P148" s="222" t="str">
        <f aca="false">IFERROR(IF('Bulk Order Details'!S158="","",IF(_xlfn.xlookup('Bulk Order Details'!S158,RightSleeve[Display],RightSleeve[Use])="Flat",_xlfn.xlookup('Bulk Order Details'!S158,RightSleeve[Display],RightSleeve[Flat]),ROUND(_xlfn.xlookup('Bulk Order Details'!S158,RightSleeve[Display],RightSleeve[Pct])*$E148,2))),"")</f>
        <v/>
      </c>
      <c r="Q148" s="214" t="str">
        <f aca="false">IF('Bulk Order Details'!J158="","",SUM(F148:P148))</f>
        <v/>
      </c>
      <c r="R148" s="213" t="str">
        <f aca="false">IFERROR(E148-D148,"")</f>
        <v/>
      </c>
      <c r="S148" s="215" t="str">
        <f aca="false">IFERROR(MIN(IF(Summary!$D$11="Yes",-J148,0),IF(H148&gt;0,-J148,0)),"")</f>
        <v/>
      </c>
      <c r="T148" s="212" t="str">
        <f aca="false">IFERROR(IF(Summary!$D$10="Yes",-K148,""),"")</f>
        <v/>
      </c>
      <c r="U148" s="213" t="str">
        <f aca="false">IFERROR(IF(Summary!$D$12="Yes",-L148,""),"")</f>
        <v/>
      </c>
      <c r="V148" s="216" t="str">
        <f aca="false">IF('Bulk Order Details'!J158="","",SUM(R148:U148))</f>
        <v/>
      </c>
      <c r="W148" s="217" t="str">
        <f aca="false">IF('Bulk Order Details'!J158="","",D148+Q148)</f>
        <v/>
      </c>
      <c r="X148" s="218" t="str">
        <f aca="false">IF('Bulk Order Details'!J158="","",D148+Q148+V148)</f>
        <v/>
      </c>
      <c r="Y148" s="219" t="str">
        <f aca="false">IFERROR((W148-X148)/W148,"")</f>
        <v/>
      </c>
      <c r="Z148" s="220" t="str">
        <f aca="false">IF('Bulk Order Details'!J158="","",MAX(1,'Bulk Order Details'!D158))</f>
        <v/>
      </c>
      <c r="AA148" s="217" t="str">
        <f aca="false">IF(Pricing_Details[[#This Row],[Quantity]]="","",Pricing_Details[[#This Row],[Retail Price]]*Pricing_Details[[#This Row],[Quantity]])</f>
        <v/>
      </c>
      <c r="AB148" s="217" t="str">
        <f aca="false">IF(Pricing_Details[[#This Row],[Quantity]]="","",Pricing_Details[[#This Row],[Total Discount]]*Pricing_Details[[#This Row],[Quantity]])</f>
        <v/>
      </c>
      <c r="AC148" s="221" t="str">
        <f aca="false">IFERROR(ROUND(Pricing_Details[[#This Row],[Actual Price]]*Pricing_Details[[#This Row],[Quantity]],2),"")</f>
        <v/>
      </c>
      <c r="AE148" s="179" t="str">
        <f aca="false">IF('Bulk Order Details'!J158="","",VLOOKUP('Bulk Order Details'!H158,Collection[],3)&amp;VLOOKUP('Bulk Order Details'!J158,Collar[],4)&amp;VLOOKUP('Bulk Order Details'!I158,Sleeve[],4))</f>
        <v/>
      </c>
      <c r="AF148" s="179" t="str">
        <f aca="false">IF('Bulk Order Details'!J158="","",LOOKUP('Bulk Order Details'!E158,Cut[Display],Cut[Code])&amp;LOOKUP('Bulk Order Details'!F158,#REF!,#REF!)&amp;IF('Bulk Order Details'!G158="","",LOOKUP('Bulk Order Details'!G158,Length[Display],Length[Code])))</f>
        <v/>
      </c>
      <c r="AG148" s="179" t="str">
        <f aca="false">IF('Bulk Order Details'!J158="","",IF('Bulk Order Details'!C158="","",'Bulk Order Details'!C158))</f>
        <v/>
      </c>
      <c r="AH148" s="179" t="str">
        <f aca="false">IF('Bulk Order Details'!O158="","","-"&amp;LOOKUP('Bulk Order Details'!O158,#REF!,#REF!))</f>
        <v/>
      </c>
      <c r="AI148" s="179" t="str">
        <f aca="false">IF('Bulk Order Details'!P158="","","-"&amp;LOOKUP('Bulk Order Details'!P158,#REF!,#REF!))</f>
        <v/>
      </c>
      <c r="AJ148" s="179" t="str">
        <f aca="false">IF('Bulk Order Details'!Q158="","","-"&amp;LOOKUP('Bulk Order Details'!Q158,#REF!,#REF!))</f>
        <v/>
      </c>
      <c r="AK148" s="179" t="str">
        <f aca="false">IF('Bulk Order Details'!R158="","","-"&amp;LOOKUP('Bulk Order Details'!R158,#REF!,#REF!))</f>
        <v/>
      </c>
      <c r="AL148" s="179" t="str">
        <f aca="false">IF('Bulk Order Details'!S158="","","-"&amp;LOOKUP('Bulk Order Details'!S158,#REF!,#REF!))</f>
        <v/>
      </c>
      <c r="AM148" s="179" t="str">
        <f aca="false">IF(_xlfn.CONCAT(AH148:AL148)="","","Lo"&amp;_xlfn.CONCAT(AH148:AL148))</f>
        <v/>
      </c>
      <c r="AN148" s="179" t="str">
        <f aca="false">IF('Bulk Order Details'!K158="","","Na-"&amp;'Bulk Order Details'!K158)</f>
        <v/>
      </c>
      <c r="AO148" s="179" t="str">
        <f aca="false">IF('Bulk Order Details'!N158="","","Fo-"&amp;'Bulk Order Details'!N158)</f>
        <v/>
      </c>
      <c r="AP148" s="179" t="str">
        <f aca="false">IF(AE148="","",AE148&amp;"_"&amp;AF148&amp;"_"&amp;AG148&amp;IF(AM148="","","_"&amp;AM148)&amp;IF(AN148="","","_"&amp;AN148)&amp;IF(AO148="","","_"&amp;AO148))</f>
        <v/>
      </c>
      <c r="AQ148" s="218" t="str">
        <f aca="false">IF(X148="","",X148)</f>
        <v/>
      </c>
    </row>
    <row r="149" customFormat="false" ht="15" hidden="false" customHeight="true" outlineLevel="0" collapsed="false">
      <c r="B149" s="209" t="n">
        <f aca="false">'Bulk Order Details'!B159</f>
        <v>146</v>
      </c>
      <c r="C149" s="209" t="e">
        <f aca="false">IF('bulk order details'!#ref!="","",'bulk order details'!#ref!&amp;" "&amp;'bulk order details'!#ref!)</f>
        <v>#VALUE!</v>
      </c>
      <c r="D149" s="210" t="str">
        <f aca="false">IF('Bulk Order Details'!J159="","",VLOOKUP(1,Price[],3))</f>
        <v/>
      </c>
      <c r="E149" s="211" t="str">
        <f aca="false">IF('Bulk Order Details'!J159="","",Summary!$D$9)</f>
        <v/>
      </c>
      <c r="F149" s="212" t="str">
        <f aca="false">IF('Bulk Order Details'!F159="","",_xlfn.xlookup('Bulk Order Details'!F159,Size[Display],Size[Price]))</f>
        <v/>
      </c>
      <c r="G149" s="212" t="str">
        <f aca="false">IF('Bulk Order Details'!G159="","",_xlfn.xlookup('Bulk Order Details'!G159,Length[Display],Length[Price]))</f>
        <v/>
      </c>
      <c r="H149" s="212" t="str">
        <f aca="false">IF('Bulk Order Details'!H159="","",_xlfn.xlookup('Bulk Order Details'!H159,Collection[Display],Collection[Price]))</f>
        <v/>
      </c>
      <c r="I149" s="212" t="str">
        <f aca="false">IF('Bulk Order Details'!I159="","",_xlfn.xlookup('Bulk Order Details'!I159,Sleeve[Display],Sleeve[Price]))</f>
        <v/>
      </c>
      <c r="J149" s="212" t="str">
        <f aca="false">IF('Bulk Order Details'!J159="","",_xlfn.xlookup('Bulk Order Details'!J159,Collar[Display],Collar[Price]))</f>
        <v/>
      </c>
      <c r="K149" s="212" t="str">
        <f aca="false">IF('Bulk Order Details'!K159="","",_xlfn.xlookup("Name",Name[Name],Name[Price]))</f>
        <v/>
      </c>
      <c r="L149" s="213" t="str">
        <f aca="false">IFERROR(IF('Bulk Order Details'!O159="","",IF(_xlfn.xlookup('Bulk Order Details'!O159,Logos[Display],Logos[Use])="Flat",_xlfn.xlookup('Bulk Order Details'!O159,Logos[Display],Logos[Flat]),ROUND(_xlfn.xlookup('Bulk Order Details'!O159,Logos[Display],Logos[Pct])*$E149,2))),"")</f>
        <v/>
      </c>
      <c r="M149" s="222" t="str">
        <f aca="false">IFERROR(IF('Bulk Order Details'!P159="","",IF(_xlfn.xlookup('Bulk Order Details'!P159,Chest[Display],Chest[Use])="Flat",_xlfn.xlookup('Bulk Order Details'!P159,Chest[Display],Chest[Flat]),ROUND(_xlfn.xlookup('Bulk Order Details'!P159,Chest[Display],Chest[Pct])*$E149,2))),"")</f>
        <v/>
      </c>
      <c r="N149" s="222" t="str">
        <f aca="false">IFERROR(IF('Bulk Order Details'!Q159="","",IF(_xlfn.xlookup('Bulk Order Details'!Q159,Chest[Display],Chest[Use])="Flat",_xlfn.xlookup('Bulk Order Details'!Q159,Chest[Display],Chest[Flat]),ROUND(_xlfn.xlookup('Bulk Order Details'!Q159,Chest[Display],Chest[Pct])*$E149,2))),"")</f>
        <v/>
      </c>
      <c r="O149" s="222" t="str">
        <f aca="false">IFERROR(IF('Bulk Order Details'!R159="","",IF(_xlfn.xlookup('Bulk Order Details'!R159,LeftSleeve[Display],LeftSleeve[Use])="Flat",_xlfn.xlookup('Bulk Order Details'!R159,LeftSleeve[Display],LeftSleeve[Flat]),ROUND(_xlfn.xlookup('Bulk Order Details'!R159,LeftSleeve[Display],LeftSleeve[Pct])*$E149,2))),"")</f>
        <v/>
      </c>
      <c r="P149" s="222" t="str">
        <f aca="false">IFERROR(IF('Bulk Order Details'!S159="","",IF(_xlfn.xlookup('Bulk Order Details'!S159,RightSleeve[Display],RightSleeve[Use])="Flat",_xlfn.xlookup('Bulk Order Details'!S159,RightSleeve[Display],RightSleeve[Flat]),ROUND(_xlfn.xlookup('Bulk Order Details'!S159,RightSleeve[Display],RightSleeve[Pct])*$E149,2))),"")</f>
        <v/>
      </c>
      <c r="Q149" s="214" t="str">
        <f aca="false">IF('Bulk Order Details'!J159="","",SUM(F149:P149))</f>
        <v/>
      </c>
      <c r="R149" s="213" t="str">
        <f aca="false">IFERROR(E149-D149,"")</f>
        <v/>
      </c>
      <c r="S149" s="215" t="str">
        <f aca="false">IFERROR(MIN(IF(Summary!$D$11="Yes",-J149,0),IF(H149&gt;0,-J149,0)),"")</f>
        <v/>
      </c>
      <c r="T149" s="212" t="str">
        <f aca="false">IFERROR(IF(Summary!$D$10="Yes",-K149,""),"")</f>
        <v/>
      </c>
      <c r="U149" s="213" t="str">
        <f aca="false">IFERROR(IF(Summary!$D$12="Yes",-L149,""),"")</f>
        <v/>
      </c>
      <c r="V149" s="216" t="str">
        <f aca="false">IF('Bulk Order Details'!J159="","",SUM(R149:U149))</f>
        <v/>
      </c>
      <c r="W149" s="217" t="str">
        <f aca="false">IF('Bulk Order Details'!J159="","",D149+Q149)</f>
        <v/>
      </c>
      <c r="X149" s="218" t="str">
        <f aca="false">IF('Bulk Order Details'!J159="","",D149+Q149+V149)</f>
        <v/>
      </c>
      <c r="Y149" s="219" t="str">
        <f aca="false">IFERROR((W149-X149)/W149,"")</f>
        <v/>
      </c>
      <c r="Z149" s="220" t="str">
        <f aca="false">IF('Bulk Order Details'!J159="","",MAX(1,'Bulk Order Details'!D159))</f>
        <v/>
      </c>
      <c r="AA149" s="217" t="str">
        <f aca="false">IF(Pricing_Details[[#This Row],[Quantity]]="","",Pricing_Details[[#This Row],[Retail Price]]*Pricing_Details[[#This Row],[Quantity]])</f>
        <v/>
      </c>
      <c r="AB149" s="217" t="str">
        <f aca="false">IF(Pricing_Details[[#This Row],[Quantity]]="","",Pricing_Details[[#This Row],[Total Discount]]*Pricing_Details[[#This Row],[Quantity]])</f>
        <v/>
      </c>
      <c r="AC149" s="221" t="str">
        <f aca="false">IFERROR(ROUND(Pricing_Details[[#This Row],[Actual Price]]*Pricing_Details[[#This Row],[Quantity]],2),"")</f>
        <v/>
      </c>
      <c r="AE149" s="179" t="str">
        <f aca="false">IF('Bulk Order Details'!J159="","",VLOOKUP('Bulk Order Details'!H159,Collection[],3)&amp;VLOOKUP('Bulk Order Details'!J159,Collar[],4)&amp;VLOOKUP('Bulk Order Details'!I159,Sleeve[],4))</f>
        <v/>
      </c>
      <c r="AF149" s="179" t="str">
        <f aca="false">IF('Bulk Order Details'!J159="","",LOOKUP('Bulk Order Details'!E159,Cut[Display],Cut[Code])&amp;LOOKUP('Bulk Order Details'!F159,#REF!,#REF!)&amp;IF('Bulk Order Details'!G159="","",LOOKUP('Bulk Order Details'!G159,Length[Display],Length[Code])))</f>
        <v/>
      </c>
      <c r="AG149" s="179" t="str">
        <f aca="false">IF('Bulk Order Details'!J159="","",IF('Bulk Order Details'!C159="","",'Bulk Order Details'!C159))</f>
        <v/>
      </c>
      <c r="AH149" s="179" t="str">
        <f aca="false">IF('Bulk Order Details'!O159="","","-"&amp;LOOKUP('Bulk Order Details'!O159,#REF!,#REF!))</f>
        <v/>
      </c>
      <c r="AI149" s="179" t="str">
        <f aca="false">IF('Bulk Order Details'!P159="","","-"&amp;LOOKUP('Bulk Order Details'!P159,#REF!,#REF!))</f>
        <v/>
      </c>
      <c r="AJ149" s="179" t="str">
        <f aca="false">IF('Bulk Order Details'!Q159="","","-"&amp;LOOKUP('Bulk Order Details'!Q159,#REF!,#REF!))</f>
        <v/>
      </c>
      <c r="AK149" s="179" t="str">
        <f aca="false">IF('Bulk Order Details'!R159="","","-"&amp;LOOKUP('Bulk Order Details'!R159,#REF!,#REF!))</f>
        <v/>
      </c>
      <c r="AL149" s="179" t="str">
        <f aca="false">IF('Bulk Order Details'!S159="","","-"&amp;LOOKUP('Bulk Order Details'!S159,#REF!,#REF!))</f>
        <v/>
      </c>
      <c r="AM149" s="179" t="str">
        <f aca="false">IF(_xlfn.CONCAT(AH149:AL149)="","","Lo"&amp;_xlfn.CONCAT(AH149:AL149))</f>
        <v/>
      </c>
      <c r="AN149" s="179" t="str">
        <f aca="false">IF('Bulk Order Details'!K159="","","Na-"&amp;'Bulk Order Details'!K159)</f>
        <v/>
      </c>
      <c r="AO149" s="179" t="str">
        <f aca="false">IF('Bulk Order Details'!N159="","","Fo-"&amp;'Bulk Order Details'!N159)</f>
        <v/>
      </c>
      <c r="AP149" s="179" t="str">
        <f aca="false">IF(AE149="","",AE149&amp;"_"&amp;AF149&amp;"_"&amp;AG149&amp;IF(AM149="","","_"&amp;AM149)&amp;IF(AN149="","","_"&amp;AN149)&amp;IF(AO149="","","_"&amp;AO149))</f>
        <v/>
      </c>
      <c r="AQ149" s="218" t="str">
        <f aca="false">IF(X149="","",X149)</f>
        <v/>
      </c>
    </row>
    <row r="150" customFormat="false" ht="15" hidden="false" customHeight="true" outlineLevel="0" collapsed="false">
      <c r="B150" s="209" t="n">
        <f aca="false">'Bulk Order Details'!B160</f>
        <v>147</v>
      </c>
      <c r="C150" s="209" t="e">
        <f aca="false">IF('bulk order details'!#ref!="","",'bulk order details'!#ref!&amp;" "&amp;'bulk order details'!#ref!)</f>
        <v>#VALUE!</v>
      </c>
      <c r="D150" s="210" t="str">
        <f aca="false">IF('Bulk Order Details'!J160="","",VLOOKUP(1,Price[],3))</f>
        <v/>
      </c>
      <c r="E150" s="211" t="str">
        <f aca="false">IF('Bulk Order Details'!J160="","",Summary!$D$9)</f>
        <v/>
      </c>
      <c r="F150" s="212" t="str">
        <f aca="false">IF('Bulk Order Details'!F160="","",_xlfn.xlookup('Bulk Order Details'!F160,Size[Display],Size[Price]))</f>
        <v/>
      </c>
      <c r="G150" s="212" t="str">
        <f aca="false">IF('Bulk Order Details'!G160="","",_xlfn.xlookup('Bulk Order Details'!G160,Length[Display],Length[Price]))</f>
        <v/>
      </c>
      <c r="H150" s="212" t="str">
        <f aca="false">IF('Bulk Order Details'!H160="","",_xlfn.xlookup('Bulk Order Details'!H160,Collection[Display],Collection[Price]))</f>
        <v/>
      </c>
      <c r="I150" s="212" t="str">
        <f aca="false">IF('Bulk Order Details'!I160="","",_xlfn.xlookup('Bulk Order Details'!I160,Sleeve[Display],Sleeve[Price]))</f>
        <v/>
      </c>
      <c r="J150" s="212" t="str">
        <f aca="false">IF('Bulk Order Details'!J160="","",_xlfn.xlookup('Bulk Order Details'!J160,Collar[Display],Collar[Price]))</f>
        <v/>
      </c>
      <c r="K150" s="212" t="str">
        <f aca="false">IF('Bulk Order Details'!K160="","",_xlfn.xlookup("Name",Name[Name],Name[Price]))</f>
        <v/>
      </c>
      <c r="L150" s="213" t="str">
        <f aca="false">IFERROR(IF('Bulk Order Details'!O160="","",IF(_xlfn.xlookup('Bulk Order Details'!O160,Logos[Display],Logos[Use])="Flat",_xlfn.xlookup('Bulk Order Details'!O160,Logos[Display],Logos[Flat]),ROUND(_xlfn.xlookup('Bulk Order Details'!O160,Logos[Display],Logos[Pct])*$E150,2))),"")</f>
        <v/>
      </c>
      <c r="M150" s="222" t="str">
        <f aca="false">IFERROR(IF('Bulk Order Details'!P160="","",IF(_xlfn.xlookup('Bulk Order Details'!P160,Chest[Display],Chest[Use])="Flat",_xlfn.xlookup('Bulk Order Details'!P160,Chest[Display],Chest[Flat]),ROUND(_xlfn.xlookup('Bulk Order Details'!P160,Chest[Display],Chest[Pct])*$E150,2))),"")</f>
        <v/>
      </c>
      <c r="N150" s="222" t="str">
        <f aca="false">IFERROR(IF('Bulk Order Details'!Q160="","",IF(_xlfn.xlookup('Bulk Order Details'!Q160,Chest[Display],Chest[Use])="Flat",_xlfn.xlookup('Bulk Order Details'!Q160,Chest[Display],Chest[Flat]),ROUND(_xlfn.xlookup('Bulk Order Details'!Q160,Chest[Display],Chest[Pct])*$E150,2))),"")</f>
        <v/>
      </c>
      <c r="O150" s="222" t="str">
        <f aca="false">IFERROR(IF('Bulk Order Details'!R160="","",IF(_xlfn.xlookup('Bulk Order Details'!R160,LeftSleeve[Display],LeftSleeve[Use])="Flat",_xlfn.xlookup('Bulk Order Details'!R160,LeftSleeve[Display],LeftSleeve[Flat]),ROUND(_xlfn.xlookup('Bulk Order Details'!R160,LeftSleeve[Display],LeftSleeve[Pct])*$E150,2))),"")</f>
        <v/>
      </c>
      <c r="P150" s="222" t="str">
        <f aca="false">IFERROR(IF('Bulk Order Details'!S160="","",IF(_xlfn.xlookup('Bulk Order Details'!S160,RightSleeve[Display],RightSleeve[Use])="Flat",_xlfn.xlookup('Bulk Order Details'!S160,RightSleeve[Display],RightSleeve[Flat]),ROUND(_xlfn.xlookup('Bulk Order Details'!S160,RightSleeve[Display],RightSleeve[Pct])*$E150,2))),"")</f>
        <v/>
      </c>
      <c r="Q150" s="214" t="str">
        <f aca="false">IF('Bulk Order Details'!J160="","",SUM(F150:P150))</f>
        <v/>
      </c>
      <c r="R150" s="213" t="str">
        <f aca="false">IFERROR(E150-D150,"")</f>
        <v/>
      </c>
      <c r="S150" s="215" t="str">
        <f aca="false">IFERROR(MIN(IF(Summary!$D$11="Yes",-J150,0),IF(H150&gt;0,-J150,0)),"")</f>
        <v/>
      </c>
      <c r="T150" s="212" t="str">
        <f aca="false">IFERROR(IF(Summary!$D$10="Yes",-K150,""),"")</f>
        <v/>
      </c>
      <c r="U150" s="213" t="str">
        <f aca="false">IFERROR(IF(Summary!$D$12="Yes",-L150,""),"")</f>
        <v/>
      </c>
      <c r="V150" s="216" t="str">
        <f aca="false">IF('Bulk Order Details'!J160="","",SUM(R150:U150))</f>
        <v/>
      </c>
      <c r="W150" s="217" t="str">
        <f aca="false">IF('Bulk Order Details'!J160="","",D150+Q150)</f>
        <v/>
      </c>
      <c r="X150" s="218" t="str">
        <f aca="false">IF('Bulk Order Details'!J160="","",D150+Q150+V150)</f>
        <v/>
      </c>
      <c r="Y150" s="219" t="str">
        <f aca="false">IFERROR((W150-X150)/W150,"")</f>
        <v/>
      </c>
      <c r="Z150" s="220" t="str">
        <f aca="false">IF('Bulk Order Details'!J160="","",MAX(1,'Bulk Order Details'!D160))</f>
        <v/>
      </c>
      <c r="AA150" s="217" t="str">
        <f aca="false">IF(Pricing_Details[[#This Row],[Quantity]]="","",Pricing_Details[[#This Row],[Retail Price]]*Pricing_Details[[#This Row],[Quantity]])</f>
        <v/>
      </c>
      <c r="AB150" s="217" t="str">
        <f aca="false">IF(Pricing_Details[[#This Row],[Quantity]]="","",Pricing_Details[[#This Row],[Total Discount]]*Pricing_Details[[#This Row],[Quantity]])</f>
        <v/>
      </c>
      <c r="AC150" s="221" t="str">
        <f aca="false">IFERROR(ROUND(Pricing_Details[[#This Row],[Actual Price]]*Pricing_Details[[#This Row],[Quantity]],2),"")</f>
        <v/>
      </c>
      <c r="AE150" s="179" t="str">
        <f aca="false">IF('Bulk Order Details'!J160="","",VLOOKUP('Bulk Order Details'!H160,Collection[],3)&amp;VLOOKUP('Bulk Order Details'!J160,Collar[],4)&amp;VLOOKUP('Bulk Order Details'!I160,Sleeve[],4))</f>
        <v/>
      </c>
      <c r="AF150" s="179" t="str">
        <f aca="false">IF('Bulk Order Details'!J160="","",LOOKUP('Bulk Order Details'!E160,Cut[Display],Cut[Code])&amp;LOOKUP('Bulk Order Details'!F160,#REF!,#REF!)&amp;IF('Bulk Order Details'!G160="","",LOOKUP('Bulk Order Details'!G160,Length[Display],Length[Code])))</f>
        <v/>
      </c>
      <c r="AG150" s="179" t="str">
        <f aca="false">IF('Bulk Order Details'!J160="","",IF('Bulk Order Details'!C160="","",'Bulk Order Details'!C160))</f>
        <v/>
      </c>
      <c r="AH150" s="179" t="str">
        <f aca="false">IF('Bulk Order Details'!O160="","","-"&amp;LOOKUP('Bulk Order Details'!O160,#REF!,#REF!))</f>
        <v/>
      </c>
      <c r="AI150" s="179" t="str">
        <f aca="false">IF('Bulk Order Details'!P160="","","-"&amp;LOOKUP('Bulk Order Details'!P160,#REF!,#REF!))</f>
        <v/>
      </c>
      <c r="AJ150" s="179" t="str">
        <f aca="false">IF('Bulk Order Details'!Q160="","","-"&amp;LOOKUP('Bulk Order Details'!Q160,#REF!,#REF!))</f>
        <v/>
      </c>
      <c r="AK150" s="179" t="str">
        <f aca="false">IF('Bulk Order Details'!R160="","","-"&amp;LOOKUP('Bulk Order Details'!R160,#REF!,#REF!))</f>
        <v/>
      </c>
      <c r="AL150" s="179" t="str">
        <f aca="false">IF('Bulk Order Details'!S160="","","-"&amp;LOOKUP('Bulk Order Details'!S160,#REF!,#REF!))</f>
        <v/>
      </c>
      <c r="AM150" s="179" t="str">
        <f aca="false">IF(_xlfn.CONCAT(AH150:AL150)="","","Lo"&amp;_xlfn.CONCAT(AH150:AL150))</f>
        <v/>
      </c>
      <c r="AN150" s="179" t="str">
        <f aca="false">IF('Bulk Order Details'!K160="","","Na-"&amp;'Bulk Order Details'!K160)</f>
        <v/>
      </c>
      <c r="AO150" s="179" t="str">
        <f aca="false">IF('Bulk Order Details'!N160="","","Fo-"&amp;'Bulk Order Details'!N160)</f>
        <v/>
      </c>
      <c r="AP150" s="179" t="str">
        <f aca="false">IF(AE150="","",AE150&amp;"_"&amp;AF150&amp;"_"&amp;AG150&amp;IF(AM150="","","_"&amp;AM150)&amp;IF(AN150="","","_"&amp;AN150)&amp;IF(AO150="","","_"&amp;AO150))</f>
        <v/>
      </c>
      <c r="AQ150" s="218" t="str">
        <f aca="false">IF(X150="","",X150)</f>
        <v/>
      </c>
    </row>
    <row r="151" customFormat="false" ht="15" hidden="false" customHeight="true" outlineLevel="0" collapsed="false">
      <c r="B151" s="209" t="n">
        <f aca="false">'Bulk Order Details'!B161</f>
        <v>148</v>
      </c>
      <c r="C151" s="209" t="e">
        <f aca="false">IF('bulk order details'!#ref!="","",'bulk order details'!#ref!&amp;" "&amp;'bulk order details'!#ref!)</f>
        <v>#VALUE!</v>
      </c>
      <c r="D151" s="210" t="str">
        <f aca="false">IF('Bulk Order Details'!J161="","",VLOOKUP(1,Price[],3))</f>
        <v/>
      </c>
      <c r="E151" s="211" t="str">
        <f aca="false">IF('Bulk Order Details'!J161="","",Summary!$D$9)</f>
        <v/>
      </c>
      <c r="F151" s="212" t="str">
        <f aca="false">IF('Bulk Order Details'!F161="","",_xlfn.xlookup('Bulk Order Details'!F161,Size[Display],Size[Price]))</f>
        <v/>
      </c>
      <c r="G151" s="212" t="str">
        <f aca="false">IF('Bulk Order Details'!G161="","",_xlfn.xlookup('Bulk Order Details'!G161,Length[Display],Length[Price]))</f>
        <v/>
      </c>
      <c r="H151" s="212" t="str">
        <f aca="false">IF('Bulk Order Details'!H161="","",_xlfn.xlookup('Bulk Order Details'!H161,Collection[Display],Collection[Price]))</f>
        <v/>
      </c>
      <c r="I151" s="212" t="str">
        <f aca="false">IF('Bulk Order Details'!I161="","",_xlfn.xlookup('Bulk Order Details'!I161,Sleeve[Display],Sleeve[Price]))</f>
        <v/>
      </c>
      <c r="J151" s="212" t="str">
        <f aca="false">IF('Bulk Order Details'!J161="","",_xlfn.xlookup('Bulk Order Details'!J161,Collar[Display],Collar[Price]))</f>
        <v/>
      </c>
      <c r="K151" s="212" t="str">
        <f aca="false">IF('Bulk Order Details'!K161="","",_xlfn.xlookup("Name",Name[Name],Name[Price]))</f>
        <v/>
      </c>
      <c r="L151" s="213" t="str">
        <f aca="false">IFERROR(IF('Bulk Order Details'!O161="","",IF(_xlfn.xlookup('Bulk Order Details'!O161,Logos[Display],Logos[Use])="Flat",_xlfn.xlookup('Bulk Order Details'!O161,Logos[Display],Logos[Flat]),ROUND(_xlfn.xlookup('Bulk Order Details'!O161,Logos[Display],Logos[Pct])*$E151,2))),"")</f>
        <v/>
      </c>
      <c r="M151" s="222" t="str">
        <f aca="false">IFERROR(IF('Bulk Order Details'!P161="","",IF(_xlfn.xlookup('Bulk Order Details'!P161,Chest[Display],Chest[Use])="Flat",_xlfn.xlookup('Bulk Order Details'!P161,Chest[Display],Chest[Flat]),ROUND(_xlfn.xlookup('Bulk Order Details'!P161,Chest[Display],Chest[Pct])*$E151,2))),"")</f>
        <v/>
      </c>
      <c r="N151" s="222" t="str">
        <f aca="false">IFERROR(IF('Bulk Order Details'!Q161="","",IF(_xlfn.xlookup('Bulk Order Details'!Q161,Chest[Display],Chest[Use])="Flat",_xlfn.xlookup('Bulk Order Details'!Q161,Chest[Display],Chest[Flat]),ROUND(_xlfn.xlookup('Bulk Order Details'!Q161,Chest[Display],Chest[Pct])*$E151,2))),"")</f>
        <v/>
      </c>
      <c r="O151" s="222" t="str">
        <f aca="false">IFERROR(IF('Bulk Order Details'!R161="","",IF(_xlfn.xlookup('Bulk Order Details'!R161,LeftSleeve[Display],LeftSleeve[Use])="Flat",_xlfn.xlookup('Bulk Order Details'!R161,LeftSleeve[Display],LeftSleeve[Flat]),ROUND(_xlfn.xlookup('Bulk Order Details'!R161,LeftSleeve[Display],LeftSleeve[Pct])*$E151,2))),"")</f>
        <v/>
      </c>
      <c r="P151" s="222" t="str">
        <f aca="false">IFERROR(IF('Bulk Order Details'!S161="","",IF(_xlfn.xlookup('Bulk Order Details'!S161,RightSleeve[Display],RightSleeve[Use])="Flat",_xlfn.xlookup('Bulk Order Details'!S161,RightSleeve[Display],RightSleeve[Flat]),ROUND(_xlfn.xlookup('Bulk Order Details'!S161,RightSleeve[Display],RightSleeve[Pct])*$E151,2))),"")</f>
        <v/>
      </c>
      <c r="Q151" s="214" t="str">
        <f aca="false">IF('Bulk Order Details'!J161="","",SUM(F151:P151))</f>
        <v/>
      </c>
      <c r="R151" s="213" t="str">
        <f aca="false">IFERROR(E151-D151,"")</f>
        <v/>
      </c>
      <c r="S151" s="215" t="str">
        <f aca="false">IFERROR(MIN(IF(Summary!$D$11="Yes",-J151,0),IF(H151&gt;0,-J151,0)),"")</f>
        <v/>
      </c>
      <c r="T151" s="212" t="str">
        <f aca="false">IFERROR(IF(Summary!$D$10="Yes",-K151,""),"")</f>
        <v/>
      </c>
      <c r="U151" s="213" t="str">
        <f aca="false">IFERROR(IF(Summary!$D$12="Yes",-L151,""),"")</f>
        <v/>
      </c>
      <c r="V151" s="216" t="str">
        <f aca="false">IF('Bulk Order Details'!J161="","",SUM(R151:U151))</f>
        <v/>
      </c>
      <c r="W151" s="217" t="str">
        <f aca="false">IF('Bulk Order Details'!J161="","",D151+Q151)</f>
        <v/>
      </c>
      <c r="X151" s="218" t="str">
        <f aca="false">IF('Bulk Order Details'!J161="","",D151+Q151+V151)</f>
        <v/>
      </c>
      <c r="Y151" s="219" t="str">
        <f aca="false">IFERROR((W151-X151)/W151,"")</f>
        <v/>
      </c>
      <c r="Z151" s="220" t="str">
        <f aca="false">IF('Bulk Order Details'!J161="","",MAX(1,'Bulk Order Details'!D161))</f>
        <v/>
      </c>
      <c r="AA151" s="217" t="str">
        <f aca="false">IF(Pricing_Details[[#This Row],[Quantity]]="","",Pricing_Details[[#This Row],[Retail Price]]*Pricing_Details[[#This Row],[Quantity]])</f>
        <v/>
      </c>
      <c r="AB151" s="217" t="str">
        <f aca="false">IF(Pricing_Details[[#This Row],[Quantity]]="","",Pricing_Details[[#This Row],[Total Discount]]*Pricing_Details[[#This Row],[Quantity]])</f>
        <v/>
      </c>
      <c r="AC151" s="221" t="str">
        <f aca="false">IFERROR(ROUND(Pricing_Details[[#This Row],[Actual Price]]*Pricing_Details[[#This Row],[Quantity]],2),"")</f>
        <v/>
      </c>
      <c r="AE151" s="179" t="str">
        <f aca="false">IF('Bulk Order Details'!J161="","",VLOOKUP('Bulk Order Details'!H161,Collection[],3)&amp;VLOOKUP('Bulk Order Details'!J161,Collar[],4)&amp;VLOOKUP('Bulk Order Details'!I161,Sleeve[],4))</f>
        <v/>
      </c>
      <c r="AF151" s="179" t="str">
        <f aca="false">IF('Bulk Order Details'!J161="","",LOOKUP('Bulk Order Details'!E161,Cut[Display],Cut[Code])&amp;LOOKUP('Bulk Order Details'!F161,#REF!,#REF!)&amp;IF('Bulk Order Details'!G161="","",LOOKUP('Bulk Order Details'!G161,Length[Display],Length[Code])))</f>
        <v/>
      </c>
      <c r="AG151" s="179" t="str">
        <f aca="false">IF('Bulk Order Details'!J161="","",IF('Bulk Order Details'!C161="","",'Bulk Order Details'!C161))</f>
        <v/>
      </c>
      <c r="AH151" s="179" t="str">
        <f aca="false">IF('Bulk Order Details'!O161="","","-"&amp;LOOKUP('Bulk Order Details'!O161,#REF!,#REF!))</f>
        <v/>
      </c>
      <c r="AI151" s="179" t="str">
        <f aca="false">IF('Bulk Order Details'!P161="","","-"&amp;LOOKUP('Bulk Order Details'!P161,#REF!,#REF!))</f>
        <v/>
      </c>
      <c r="AJ151" s="179" t="str">
        <f aca="false">IF('Bulk Order Details'!Q161="","","-"&amp;LOOKUP('Bulk Order Details'!Q161,#REF!,#REF!))</f>
        <v/>
      </c>
      <c r="AK151" s="179" t="str">
        <f aca="false">IF('Bulk Order Details'!R161="","","-"&amp;LOOKUP('Bulk Order Details'!R161,#REF!,#REF!))</f>
        <v/>
      </c>
      <c r="AL151" s="179" t="str">
        <f aca="false">IF('Bulk Order Details'!S161="","","-"&amp;LOOKUP('Bulk Order Details'!S161,#REF!,#REF!))</f>
        <v/>
      </c>
      <c r="AM151" s="179" t="str">
        <f aca="false">IF(_xlfn.CONCAT(AH151:AL151)="","","Lo"&amp;_xlfn.CONCAT(AH151:AL151))</f>
        <v/>
      </c>
      <c r="AN151" s="179" t="str">
        <f aca="false">IF('Bulk Order Details'!K161="","","Na-"&amp;'Bulk Order Details'!K161)</f>
        <v/>
      </c>
      <c r="AO151" s="179" t="str">
        <f aca="false">IF('Bulk Order Details'!N161="","","Fo-"&amp;'Bulk Order Details'!N161)</f>
        <v/>
      </c>
      <c r="AP151" s="179" t="str">
        <f aca="false">IF(AE151="","",AE151&amp;"_"&amp;AF151&amp;"_"&amp;AG151&amp;IF(AM151="","","_"&amp;AM151)&amp;IF(AN151="","","_"&amp;AN151)&amp;IF(AO151="","","_"&amp;AO151))</f>
        <v/>
      </c>
      <c r="AQ151" s="218" t="str">
        <f aca="false">IF(X151="","",X151)</f>
        <v/>
      </c>
    </row>
    <row r="152" customFormat="false" ht="15" hidden="false" customHeight="true" outlineLevel="0" collapsed="false">
      <c r="B152" s="209" t="n">
        <f aca="false">'Bulk Order Details'!B162</f>
        <v>149</v>
      </c>
      <c r="C152" s="209" t="e">
        <f aca="false">IF('bulk order details'!#ref!="","",'bulk order details'!#ref!&amp;" "&amp;'bulk order details'!#ref!)</f>
        <v>#VALUE!</v>
      </c>
      <c r="D152" s="210" t="str">
        <f aca="false">IF('Bulk Order Details'!J162="","",VLOOKUP(1,Price[],3))</f>
        <v/>
      </c>
      <c r="E152" s="211" t="str">
        <f aca="false">IF('Bulk Order Details'!J162="","",Summary!$D$9)</f>
        <v/>
      </c>
      <c r="F152" s="212" t="str">
        <f aca="false">IF('Bulk Order Details'!F162="","",_xlfn.xlookup('Bulk Order Details'!F162,Size[Display],Size[Price]))</f>
        <v/>
      </c>
      <c r="G152" s="212" t="str">
        <f aca="false">IF('Bulk Order Details'!G162="","",_xlfn.xlookup('Bulk Order Details'!G162,Length[Display],Length[Price]))</f>
        <v/>
      </c>
      <c r="H152" s="212" t="str">
        <f aca="false">IF('Bulk Order Details'!H162="","",_xlfn.xlookup('Bulk Order Details'!H162,Collection[Display],Collection[Price]))</f>
        <v/>
      </c>
      <c r="I152" s="212" t="str">
        <f aca="false">IF('Bulk Order Details'!I162="","",_xlfn.xlookup('Bulk Order Details'!I162,Sleeve[Display],Sleeve[Price]))</f>
        <v/>
      </c>
      <c r="J152" s="212" t="str">
        <f aca="false">IF('Bulk Order Details'!J162="","",_xlfn.xlookup('Bulk Order Details'!J162,Collar[Display],Collar[Price]))</f>
        <v/>
      </c>
      <c r="K152" s="212" t="str">
        <f aca="false">IF('Bulk Order Details'!K162="","",_xlfn.xlookup("Name",Name[Name],Name[Price]))</f>
        <v/>
      </c>
      <c r="L152" s="213" t="str">
        <f aca="false">IFERROR(IF('Bulk Order Details'!O162="","",IF(_xlfn.xlookup('Bulk Order Details'!O162,Logos[Display],Logos[Use])="Flat",_xlfn.xlookup('Bulk Order Details'!O162,Logos[Display],Logos[Flat]),ROUND(_xlfn.xlookup('Bulk Order Details'!O162,Logos[Display],Logos[Pct])*$E152,2))),"")</f>
        <v/>
      </c>
      <c r="M152" s="222" t="str">
        <f aca="false">IFERROR(IF('Bulk Order Details'!P162="","",IF(_xlfn.xlookup('Bulk Order Details'!P162,Chest[Display],Chest[Use])="Flat",_xlfn.xlookup('Bulk Order Details'!P162,Chest[Display],Chest[Flat]),ROUND(_xlfn.xlookup('Bulk Order Details'!P162,Chest[Display],Chest[Pct])*$E152,2))),"")</f>
        <v/>
      </c>
      <c r="N152" s="222" t="str">
        <f aca="false">IFERROR(IF('Bulk Order Details'!Q162="","",IF(_xlfn.xlookup('Bulk Order Details'!Q162,Chest[Display],Chest[Use])="Flat",_xlfn.xlookup('Bulk Order Details'!Q162,Chest[Display],Chest[Flat]),ROUND(_xlfn.xlookup('Bulk Order Details'!Q162,Chest[Display],Chest[Pct])*$E152,2))),"")</f>
        <v/>
      </c>
      <c r="O152" s="222" t="str">
        <f aca="false">IFERROR(IF('Bulk Order Details'!R162="","",IF(_xlfn.xlookup('Bulk Order Details'!R162,LeftSleeve[Display],LeftSleeve[Use])="Flat",_xlfn.xlookup('Bulk Order Details'!R162,LeftSleeve[Display],LeftSleeve[Flat]),ROUND(_xlfn.xlookup('Bulk Order Details'!R162,LeftSleeve[Display],LeftSleeve[Pct])*$E152,2))),"")</f>
        <v/>
      </c>
      <c r="P152" s="222" t="str">
        <f aca="false">IFERROR(IF('Bulk Order Details'!S162="","",IF(_xlfn.xlookup('Bulk Order Details'!S162,RightSleeve[Display],RightSleeve[Use])="Flat",_xlfn.xlookup('Bulk Order Details'!S162,RightSleeve[Display],RightSleeve[Flat]),ROUND(_xlfn.xlookup('Bulk Order Details'!S162,RightSleeve[Display],RightSleeve[Pct])*$E152,2))),"")</f>
        <v/>
      </c>
      <c r="Q152" s="214" t="str">
        <f aca="false">IF('Bulk Order Details'!J162="","",SUM(F152:P152))</f>
        <v/>
      </c>
      <c r="R152" s="213" t="str">
        <f aca="false">IFERROR(E152-D152,"")</f>
        <v/>
      </c>
      <c r="S152" s="215" t="str">
        <f aca="false">IFERROR(MIN(IF(Summary!$D$11="Yes",-J152,0),IF(H152&gt;0,-J152,0)),"")</f>
        <v/>
      </c>
      <c r="T152" s="212" t="str">
        <f aca="false">IFERROR(IF(Summary!$D$10="Yes",-K152,""),"")</f>
        <v/>
      </c>
      <c r="U152" s="213" t="str">
        <f aca="false">IFERROR(IF(Summary!$D$12="Yes",-L152,""),"")</f>
        <v/>
      </c>
      <c r="V152" s="216" t="str">
        <f aca="false">IF('Bulk Order Details'!J162="","",SUM(R152:U152))</f>
        <v/>
      </c>
      <c r="W152" s="217" t="str">
        <f aca="false">IF('Bulk Order Details'!J162="","",D152+Q152)</f>
        <v/>
      </c>
      <c r="X152" s="218" t="str">
        <f aca="false">IF('Bulk Order Details'!J162="","",D152+Q152+V152)</f>
        <v/>
      </c>
      <c r="Y152" s="219" t="str">
        <f aca="false">IFERROR((W152-X152)/W152,"")</f>
        <v/>
      </c>
      <c r="Z152" s="220" t="str">
        <f aca="false">IF('Bulk Order Details'!J162="","",MAX(1,'Bulk Order Details'!D162))</f>
        <v/>
      </c>
      <c r="AA152" s="217" t="str">
        <f aca="false">IF(Pricing_Details[[#This Row],[Quantity]]="","",Pricing_Details[[#This Row],[Retail Price]]*Pricing_Details[[#This Row],[Quantity]])</f>
        <v/>
      </c>
      <c r="AB152" s="217" t="str">
        <f aca="false">IF(Pricing_Details[[#This Row],[Quantity]]="","",Pricing_Details[[#This Row],[Total Discount]]*Pricing_Details[[#This Row],[Quantity]])</f>
        <v/>
      </c>
      <c r="AC152" s="221" t="str">
        <f aca="false">IFERROR(ROUND(Pricing_Details[[#This Row],[Actual Price]]*Pricing_Details[[#This Row],[Quantity]],2),"")</f>
        <v/>
      </c>
      <c r="AE152" s="179" t="str">
        <f aca="false">IF('Bulk Order Details'!J162="","",VLOOKUP('Bulk Order Details'!H162,Collection[],3)&amp;VLOOKUP('Bulk Order Details'!J162,Collar[],4)&amp;VLOOKUP('Bulk Order Details'!I162,Sleeve[],4))</f>
        <v/>
      </c>
      <c r="AF152" s="179" t="str">
        <f aca="false">IF('Bulk Order Details'!J162="","",LOOKUP('Bulk Order Details'!E162,Cut[Display],Cut[Code])&amp;LOOKUP('Bulk Order Details'!F162,#REF!,#REF!)&amp;IF('Bulk Order Details'!G162="","",LOOKUP('Bulk Order Details'!G162,Length[Display],Length[Code])))</f>
        <v/>
      </c>
      <c r="AG152" s="179" t="str">
        <f aca="false">IF('Bulk Order Details'!J162="","",IF('Bulk Order Details'!C162="","",'Bulk Order Details'!C162))</f>
        <v/>
      </c>
      <c r="AH152" s="179" t="str">
        <f aca="false">IF('Bulk Order Details'!O162="","","-"&amp;LOOKUP('Bulk Order Details'!O162,#REF!,#REF!))</f>
        <v/>
      </c>
      <c r="AI152" s="179" t="str">
        <f aca="false">IF('Bulk Order Details'!P162="","","-"&amp;LOOKUP('Bulk Order Details'!P162,#REF!,#REF!))</f>
        <v/>
      </c>
      <c r="AJ152" s="179" t="str">
        <f aca="false">IF('Bulk Order Details'!Q162="","","-"&amp;LOOKUP('Bulk Order Details'!Q162,#REF!,#REF!))</f>
        <v/>
      </c>
      <c r="AK152" s="179" t="str">
        <f aca="false">IF('Bulk Order Details'!R162="","","-"&amp;LOOKUP('Bulk Order Details'!R162,#REF!,#REF!))</f>
        <v/>
      </c>
      <c r="AL152" s="179" t="str">
        <f aca="false">IF('Bulk Order Details'!S162="","","-"&amp;LOOKUP('Bulk Order Details'!S162,#REF!,#REF!))</f>
        <v/>
      </c>
      <c r="AM152" s="179" t="str">
        <f aca="false">IF(_xlfn.CONCAT(AH152:AL152)="","","Lo"&amp;_xlfn.CONCAT(AH152:AL152))</f>
        <v/>
      </c>
      <c r="AN152" s="179" t="str">
        <f aca="false">IF('Bulk Order Details'!K162="","","Na-"&amp;'Bulk Order Details'!K162)</f>
        <v/>
      </c>
      <c r="AO152" s="179" t="str">
        <f aca="false">IF('Bulk Order Details'!N162="","","Fo-"&amp;'Bulk Order Details'!N162)</f>
        <v/>
      </c>
      <c r="AP152" s="179" t="str">
        <f aca="false">IF(AE152="","",AE152&amp;"_"&amp;AF152&amp;"_"&amp;AG152&amp;IF(AM152="","","_"&amp;AM152)&amp;IF(AN152="","","_"&amp;AN152)&amp;IF(AO152="","","_"&amp;AO152))</f>
        <v/>
      </c>
      <c r="AQ152" s="218" t="str">
        <f aca="false">IF(X152="","",X152)</f>
        <v/>
      </c>
    </row>
    <row r="153" customFormat="false" ht="15" hidden="false" customHeight="true" outlineLevel="0" collapsed="false">
      <c r="B153" s="209" t="n">
        <f aca="false">'Bulk Order Details'!B163</f>
        <v>150</v>
      </c>
      <c r="C153" s="209" t="e">
        <f aca="false">IF('bulk order details'!#ref!="","",'bulk order details'!#ref!&amp;" "&amp;'bulk order details'!#ref!)</f>
        <v>#VALUE!</v>
      </c>
      <c r="D153" s="210" t="str">
        <f aca="false">IF('Bulk Order Details'!J163="","",VLOOKUP(1,Price[],3))</f>
        <v/>
      </c>
      <c r="E153" s="211" t="str">
        <f aca="false">IF('Bulk Order Details'!J163="","",Summary!$D$9)</f>
        <v/>
      </c>
      <c r="F153" s="212" t="str">
        <f aca="false">IF('Bulk Order Details'!F163="","",_xlfn.xlookup('Bulk Order Details'!F163,Size[Display],Size[Price]))</f>
        <v/>
      </c>
      <c r="G153" s="212" t="str">
        <f aca="false">IF('Bulk Order Details'!G163="","",_xlfn.xlookup('Bulk Order Details'!G163,Length[Display],Length[Price]))</f>
        <v/>
      </c>
      <c r="H153" s="212" t="str">
        <f aca="false">IF('Bulk Order Details'!H163="","",_xlfn.xlookup('Bulk Order Details'!H163,Collection[Display],Collection[Price]))</f>
        <v/>
      </c>
      <c r="I153" s="212" t="str">
        <f aca="false">IF('Bulk Order Details'!I163="","",_xlfn.xlookup('Bulk Order Details'!I163,Sleeve[Display],Sleeve[Price]))</f>
        <v/>
      </c>
      <c r="J153" s="212" t="str">
        <f aca="false">IF('Bulk Order Details'!J163="","",_xlfn.xlookup('Bulk Order Details'!J163,Collar[Display],Collar[Price]))</f>
        <v/>
      </c>
      <c r="K153" s="212" t="str">
        <f aca="false">IF('Bulk Order Details'!K163="","",_xlfn.xlookup("Name",Name[Name],Name[Price]))</f>
        <v/>
      </c>
      <c r="L153" s="213" t="str">
        <f aca="false">IFERROR(IF('Bulk Order Details'!O163="","",IF(_xlfn.xlookup('Bulk Order Details'!O163,Logos[Display],Logos[Use])="Flat",_xlfn.xlookup('Bulk Order Details'!O163,Logos[Display],Logos[Flat]),ROUND(_xlfn.xlookup('Bulk Order Details'!O163,Logos[Display],Logos[Pct])*$E153,2))),"")</f>
        <v/>
      </c>
      <c r="M153" s="222" t="str">
        <f aca="false">IFERROR(IF('Bulk Order Details'!P163="","",IF(_xlfn.xlookup('Bulk Order Details'!P163,Chest[Display],Chest[Use])="Flat",_xlfn.xlookup('Bulk Order Details'!P163,Chest[Display],Chest[Flat]),ROUND(_xlfn.xlookup('Bulk Order Details'!P163,Chest[Display],Chest[Pct])*$E153,2))),"")</f>
        <v/>
      </c>
      <c r="N153" s="222" t="str">
        <f aca="false">IFERROR(IF('Bulk Order Details'!Q163="","",IF(_xlfn.xlookup('Bulk Order Details'!Q163,Chest[Display],Chest[Use])="Flat",_xlfn.xlookup('Bulk Order Details'!Q163,Chest[Display],Chest[Flat]),ROUND(_xlfn.xlookup('Bulk Order Details'!Q163,Chest[Display],Chest[Pct])*$E153,2))),"")</f>
        <v/>
      </c>
      <c r="O153" s="222" t="str">
        <f aca="false">IFERROR(IF('Bulk Order Details'!R163="","",IF(_xlfn.xlookup('Bulk Order Details'!R163,LeftSleeve[Display],LeftSleeve[Use])="Flat",_xlfn.xlookup('Bulk Order Details'!R163,LeftSleeve[Display],LeftSleeve[Flat]),ROUND(_xlfn.xlookup('Bulk Order Details'!R163,LeftSleeve[Display],LeftSleeve[Pct])*$E153,2))),"")</f>
        <v/>
      </c>
      <c r="P153" s="222" t="str">
        <f aca="false">IFERROR(IF('Bulk Order Details'!S163="","",IF(_xlfn.xlookup('Bulk Order Details'!S163,RightSleeve[Display],RightSleeve[Use])="Flat",_xlfn.xlookup('Bulk Order Details'!S163,RightSleeve[Display],RightSleeve[Flat]),ROUND(_xlfn.xlookup('Bulk Order Details'!S163,RightSleeve[Display],RightSleeve[Pct])*$E153,2))),"")</f>
        <v/>
      </c>
      <c r="Q153" s="214" t="str">
        <f aca="false">IF('Bulk Order Details'!J163="","",SUM(F153:P153))</f>
        <v/>
      </c>
      <c r="R153" s="213" t="str">
        <f aca="false">IFERROR(E153-D153,"")</f>
        <v/>
      </c>
      <c r="S153" s="215" t="str">
        <f aca="false">IFERROR(MIN(IF(Summary!$D$11="Yes",-J153,0),IF(H153&gt;0,-J153,0)),"")</f>
        <v/>
      </c>
      <c r="T153" s="212" t="str">
        <f aca="false">IFERROR(IF(Summary!$D$10="Yes",-K153,""),"")</f>
        <v/>
      </c>
      <c r="U153" s="213" t="str">
        <f aca="false">IFERROR(IF(Summary!$D$12="Yes",-L153,""),"")</f>
        <v/>
      </c>
      <c r="V153" s="216" t="str">
        <f aca="false">IF('Bulk Order Details'!J163="","",SUM(R153:U153))</f>
        <v/>
      </c>
      <c r="W153" s="217" t="str">
        <f aca="false">IF('Bulk Order Details'!J163="","",D153+Q153)</f>
        <v/>
      </c>
      <c r="X153" s="218" t="str">
        <f aca="false">IF('Bulk Order Details'!J163="","",D153+Q153+V153)</f>
        <v/>
      </c>
      <c r="Y153" s="219" t="str">
        <f aca="false">IFERROR((W153-X153)/W153,"")</f>
        <v/>
      </c>
      <c r="Z153" s="220" t="str">
        <f aca="false">IF('Bulk Order Details'!J163="","",MAX(1,'Bulk Order Details'!D163))</f>
        <v/>
      </c>
      <c r="AA153" s="217" t="str">
        <f aca="false">IF(Pricing_Details[[#This Row],[Quantity]]="","",Pricing_Details[[#This Row],[Retail Price]]*Pricing_Details[[#This Row],[Quantity]])</f>
        <v/>
      </c>
      <c r="AB153" s="217" t="str">
        <f aca="false">IF(Pricing_Details[[#This Row],[Quantity]]="","",Pricing_Details[[#This Row],[Total Discount]]*Pricing_Details[[#This Row],[Quantity]])</f>
        <v/>
      </c>
      <c r="AC153" s="221" t="str">
        <f aca="false">IFERROR(ROUND(Pricing_Details[[#This Row],[Actual Price]]*Pricing_Details[[#This Row],[Quantity]],2),"")</f>
        <v/>
      </c>
      <c r="AE153" s="179" t="str">
        <f aca="false">IF('Bulk Order Details'!J163="","",VLOOKUP('Bulk Order Details'!H163,Collection[],3)&amp;VLOOKUP('Bulk Order Details'!J163,Collar[],4)&amp;VLOOKUP('Bulk Order Details'!I163,Sleeve[],4))</f>
        <v/>
      </c>
      <c r="AF153" s="179" t="str">
        <f aca="false">IF('Bulk Order Details'!J163="","",LOOKUP('Bulk Order Details'!E163,Cut[Display],Cut[Code])&amp;LOOKUP('Bulk Order Details'!F163,#REF!,#REF!)&amp;IF('Bulk Order Details'!G163="","",LOOKUP('Bulk Order Details'!G163,Length[Display],Length[Code])))</f>
        <v/>
      </c>
      <c r="AG153" s="179" t="str">
        <f aca="false">IF('Bulk Order Details'!J163="","",IF('Bulk Order Details'!C163="","",'Bulk Order Details'!C163))</f>
        <v/>
      </c>
      <c r="AH153" s="179" t="str">
        <f aca="false">IF('Bulk Order Details'!O163="","","-"&amp;LOOKUP('Bulk Order Details'!O163,#REF!,#REF!))</f>
        <v/>
      </c>
      <c r="AI153" s="179" t="str">
        <f aca="false">IF('Bulk Order Details'!P163="","","-"&amp;LOOKUP('Bulk Order Details'!P163,#REF!,#REF!))</f>
        <v/>
      </c>
      <c r="AJ153" s="179" t="str">
        <f aca="false">IF('Bulk Order Details'!Q163="","","-"&amp;LOOKUP('Bulk Order Details'!Q163,#REF!,#REF!))</f>
        <v/>
      </c>
      <c r="AK153" s="179" t="str">
        <f aca="false">IF('Bulk Order Details'!R163="","","-"&amp;LOOKUP('Bulk Order Details'!R163,#REF!,#REF!))</f>
        <v/>
      </c>
      <c r="AL153" s="179" t="str">
        <f aca="false">IF('Bulk Order Details'!S163="","","-"&amp;LOOKUP('Bulk Order Details'!S163,#REF!,#REF!))</f>
        <v/>
      </c>
      <c r="AM153" s="179" t="str">
        <f aca="false">IF(_xlfn.CONCAT(AH153:AL153)="","","Lo"&amp;_xlfn.CONCAT(AH153:AL153))</f>
        <v/>
      </c>
      <c r="AN153" s="179" t="str">
        <f aca="false">IF('Bulk Order Details'!K163="","","Na-"&amp;'Bulk Order Details'!K163)</f>
        <v/>
      </c>
      <c r="AO153" s="179" t="str">
        <f aca="false">IF('Bulk Order Details'!N163="","","Fo-"&amp;'Bulk Order Details'!N163)</f>
        <v/>
      </c>
      <c r="AP153" s="179" t="str">
        <f aca="false">IF(AE153="","",AE153&amp;"_"&amp;AF153&amp;"_"&amp;AG153&amp;IF(AM153="","","_"&amp;AM153)&amp;IF(AN153="","","_"&amp;AN153)&amp;IF(AO153="","","_"&amp;AO153))</f>
        <v/>
      </c>
      <c r="AQ153" s="218" t="str">
        <f aca="false">IF(X153="","",X153)</f>
        <v/>
      </c>
    </row>
    <row r="154" customFormat="false" ht="15" hidden="false" customHeight="true" outlineLevel="0" collapsed="false">
      <c r="B154" s="209" t="n">
        <f aca="false">'Bulk Order Details'!B164</f>
        <v>151</v>
      </c>
      <c r="C154" s="209" t="e">
        <f aca="false">IF('bulk order details'!#ref!="","",'bulk order details'!#ref!&amp;" "&amp;'bulk order details'!#ref!)</f>
        <v>#VALUE!</v>
      </c>
      <c r="D154" s="210" t="str">
        <f aca="false">IF('Bulk Order Details'!J164="","",VLOOKUP(1,Price[],3))</f>
        <v/>
      </c>
      <c r="E154" s="211" t="str">
        <f aca="false">IF('Bulk Order Details'!J164="","",Summary!$D$9)</f>
        <v/>
      </c>
      <c r="F154" s="212" t="str">
        <f aca="false">IF('Bulk Order Details'!F164="","",_xlfn.xlookup('Bulk Order Details'!F164,Size[Display],Size[Price]))</f>
        <v/>
      </c>
      <c r="G154" s="212" t="str">
        <f aca="false">IF('Bulk Order Details'!G164="","",_xlfn.xlookup('Bulk Order Details'!G164,Length[Display],Length[Price]))</f>
        <v/>
      </c>
      <c r="H154" s="212" t="str">
        <f aca="false">IF('Bulk Order Details'!H164="","",_xlfn.xlookup('Bulk Order Details'!H164,Collection[Display],Collection[Price]))</f>
        <v/>
      </c>
      <c r="I154" s="212" t="str">
        <f aca="false">IF('Bulk Order Details'!I164="","",_xlfn.xlookup('Bulk Order Details'!I164,Sleeve[Display],Sleeve[Price]))</f>
        <v/>
      </c>
      <c r="J154" s="212" t="str">
        <f aca="false">IF('Bulk Order Details'!J164="","",_xlfn.xlookup('Bulk Order Details'!J164,Collar[Display],Collar[Price]))</f>
        <v/>
      </c>
      <c r="K154" s="212" t="str">
        <f aca="false">IF('Bulk Order Details'!K164="","",_xlfn.xlookup("Name",Name[Name],Name[Price]))</f>
        <v/>
      </c>
      <c r="L154" s="213" t="str">
        <f aca="false">IFERROR(IF('Bulk Order Details'!O164="","",IF(_xlfn.xlookup('Bulk Order Details'!O164,Logos[Display],Logos[Use])="Flat",_xlfn.xlookup('Bulk Order Details'!O164,Logos[Display],Logos[Flat]),ROUND(_xlfn.xlookup('Bulk Order Details'!O164,Logos[Display],Logos[Pct])*$E154,2))),"")</f>
        <v/>
      </c>
      <c r="M154" s="222" t="str">
        <f aca="false">IFERROR(IF('Bulk Order Details'!P164="","",IF(_xlfn.xlookup('Bulk Order Details'!P164,Chest[Display],Chest[Use])="Flat",_xlfn.xlookup('Bulk Order Details'!P164,Chest[Display],Chest[Flat]),ROUND(_xlfn.xlookup('Bulk Order Details'!P164,Chest[Display],Chest[Pct])*$E154,2))),"")</f>
        <v/>
      </c>
      <c r="N154" s="222" t="str">
        <f aca="false">IFERROR(IF('Bulk Order Details'!Q164="","",IF(_xlfn.xlookup('Bulk Order Details'!Q164,Chest[Display],Chest[Use])="Flat",_xlfn.xlookup('Bulk Order Details'!Q164,Chest[Display],Chest[Flat]),ROUND(_xlfn.xlookup('Bulk Order Details'!Q164,Chest[Display],Chest[Pct])*$E154,2))),"")</f>
        <v/>
      </c>
      <c r="O154" s="222" t="str">
        <f aca="false">IFERROR(IF('Bulk Order Details'!R164="","",IF(_xlfn.xlookup('Bulk Order Details'!R164,LeftSleeve[Display],LeftSleeve[Use])="Flat",_xlfn.xlookup('Bulk Order Details'!R164,LeftSleeve[Display],LeftSleeve[Flat]),ROUND(_xlfn.xlookup('Bulk Order Details'!R164,LeftSleeve[Display],LeftSleeve[Pct])*$E154,2))),"")</f>
        <v/>
      </c>
      <c r="P154" s="222" t="str">
        <f aca="false">IFERROR(IF('Bulk Order Details'!S164="","",IF(_xlfn.xlookup('Bulk Order Details'!S164,RightSleeve[Display],RightSleeve[Use])="Flat",_xlfn.xlookup('Bulk Order Details'!S164,RightSleeve[Display],RightSleeve[Flat]),ROUND(_xlfn.xlookup('Bulk Order Details'!S164,RightSleeve[Display],RightSleeve[Pct])*$E154,2))),"")</f>
        <v/>
      </c>
      <c r="Q154" s="214" t="str">
        <f aca="false">IF('Bulk Order Details'!J164="","",SUM(F154:P154))</f>
        <v/>
      </c>
      <c r="R154" s="213" t="str">
        <f aca="false">IFERROR(E154-D154,"")</f>
        <v/>
      </c>
      <c r="S154" s="215" t="str">
        <f aca="false">IFERROR(MIN(IF(Summary!$D$11="Yes",-J154,0),IF(H154&gt;0,-J154,0)),"")</f>
        <v/>
      </c>
      <c r="T154" s="212" t="str">
        <f aca="false">IFERROR(IF(Summary!$D$10="Yes",-K154,""),"")</f>
        <v/>
      </c>
      <c r="U154" s="213" t="str">
        <f aca="false">IFERROR(IF(Summary!$D$12="Yes",-L154,""),"")</f>
        <v/>
      </c>
      <c r="V154" s="216" t="str">
        <f aca="false">IF('Bulk Order Details'!J164="","",SUM(R154:U154))</f>
        <v/>
      </c>
      <c r="W154" s="217" t="str">
        <f aca="false">IF('Bulk Order Details'!J164="","",D154+Q154)</f>
        <v/>
      </c>
      <c r="X154" s="218" t="str">
        <f aca="false">IF('Bulk Order Details'!J164="","",D154+Q154+V154)</f>
        <v/>
      </c>
      <c r="Y154" s="219" t="str">
        <f aca="false">IFERROR((W154-X154)/W154,"")</f>
        <v/>
      </c>
      <c r="Z154" s="220" t="str">
        <f aca="false">IF('Bulk Order Details'!J164="","",MAX(1,'Bulk Order Details'!D164))</f>
        <v/>
      </c>
      <c r="AA154" s="217" t="str">
        <f aca="false">IF(Pricing_Details[[#This Row],[Quantity]]="","",Pricing_Details[[#This Row],[Retail Price]]*Pricing_Details[[#This Row],[Quantity]])</f>
        <v/>
      </c>
      <c r="AB154" s="217" t="str">
        <f aca="false">IF(Pricing_Details[[#This Row],[Quantity]]="","",Pricing_Details[[#This Row],[Total Discount]]*Pricing_Details[[#This Row],[Quantity]])</f>
        <v/>
      </c>
      <c r="AC154" s="221" t="str">
        <f aca="false">IFERROR(ROUND(Pricing_Details[[#This Row],[Actual Price]]*Pricing_Details[[#This Row],[Quantity]],2),"")</f>
        <v/>
      </c>
      <c r="AE154" s="179" t="str">
        <f aca="false">IF('Bulk Order Details'!J164="","",VLOOKUP('Bulk Order Details'!H164,Collection[],3)&amp;VLOOKUP('Bulk Order Details'!J164,Collar[],4)&amp;VLOOKUP('Bulk Order Details'!I164,Sleeve[],4))</f>
        <v/>
      </c>
      <c r="AF154" s="179" t="str">
        <f aca="false">IF('Bulk Order Details'!J164="","",LOOKUP('Bulk Order Details'!E164,Cut[Display],Cut[Code])&amp;LOOKUP('Bulk Order Details'!F164,#REF!,#REF!)&amp;IF('Bulk Order Details'!G164="","",LOOKUP('Bulk Order Details'!G164,Length[Display],Length[Code])))</f>
        <v/>
      </c>
      <c r="AG154" s="179" t="str">
        <f aca="false">IF('Bulk Order Details'!J164="","",IF('Bulk Order Details'!C164="","",'Bulk Order Details'!C164))</f>
        <v/>
      </c>
      <c r="AH154" s="179" t="str">
        <f aca="false">IF('Bulk Order Details'!O164="","","-"&amp;LOOKUP('Bulk Order Details'!O164,#REF!,#REF!))</f>
        <v/>
      </c>
      <c r="AI154" s="179" t="str">
        <f aca="false">IF('Bulk Order Details'!P164="","","-"&amp;LOOKUP('Bulk Order Details'!P164,#REF!,#REF!))</f>
        <v/>
      </c>
      <c r="AJ154" s="179" t="str">
        <f aca="false">IF('Bulk Order Details'!Q164="","","-"&amp;LOOKUP('Bulk Order Details'!Q164,#REF!,#REF!))</f>
        <v/>
      </c>
      <c r="AK154" s="179" t="str">
        <f aca="false">IF('Bulk Order Details'!R164="","","-"&amp;LOOKUP('Bulk Order Details'!R164,#REF!,#REF!))</f>
        <v/>
      </c>
      <c r="AL154" s="179" t="str">
        <f aca="false">IF('Bulk Order Details'!S164="","","-"&amp;LOOKUP('Bulk Order Details'!S164,#REF!,#REF!))</f>
        <v/>
      </c>
      <c r="AM154" s="179" t="str">
        <f aca="false">IF(_xlfn.CONCAT(AH154:AL154)="","","Lo"&amp;_xlfn.CONCAT(AH154:AL154))</f>
        <v/>
      </c>
      <c r="AN154" s="179" t="str">
        <f aca="false">IF('Bulk Order Details'!K164="","","Na-"&amp;'Bulk Order Details'!K164)</f>
        <v/>
      </c>
      <c r="AO154" s="179" t="str">
        <f aca="false">IF('Bulk Order Details'!N164="","","Fo-"&amp;'Bulk Order Details'!N164)</f>
        <v/>
      </c>
      <c r="AP154" s="179" t="str">
        <f aca="false">IF(AE154="","",AE154&amp;"_"&amp;AF154&amp;"_"&amp;AG154&amp;IF(AM154="","","_"&amp;AM154)&amp;IF(AN154="","","_"&amp;AN154)&amp;IF(AO154="","","_"&amp;AO154))</f>
        <v/>
      </c>
      <c r="AQ154" s="218" t="str">
        <f aca="false">IF(X154="","",X154)</f>
        <v/>
      </c>
    </row>
    <row r="155" customFormat="false" ht="15" hidden="false" customHeight="true" outlineLevel="0" collapsed="false">
      <c r="B155" s="209" t="n">
        <f aca="false">'Bulk Order Details'!B165</f>
        <v>152</v>
      </c>
      <c r="C155" s="209" t="e">
        <f aca="false">IF('bulk order details'!#ref!="","",'bulk order details'!#ref!&amp;" "&amp;'bulk order details'!#ref!)</f>
        <v>#VALUE!</v>
      </c>
      <c r="D155" s="210" t="str">
        <f aca="false">IF('Bulk Order Details'!J165="","",VLOOKUP(1,Price[],3))</f>
        <v/>
      </c>
      <c r="E155" s="211" t="str">
        <f aca="false">IF('Bulk Order Details'!J165="","",Summary!$D$9)</f>
        <v/>
      </c>
      <c r="F155" s="212" t="str">
        <f aca="false">IF('Bulk Order Details'!F165="","",_xlfn.xlookup('Bulk Order Details'!F165,Size[Display],Size[Price]))</f>
        <v/>
      </c>
      <c r="G155" s="212" t="str">
        <f aca="false">IF('Bulk Order Details'!G165="","",_xlfn.xlookup('Bulk Order Details'!G165,Length[Display],Length[Price]))</f>
        <v/>
      </c>
      <c r="H155" s="212" t="str">
        <f aca="false">IF('Bulk Order Details'!H165="","",_xlfn.xlookup('Bulk Order Details'!H165,Collection[Display],Collection[Price]))</f>
        <v/>
      </c>
      <c r="I155" s="212" t="str">
        <f aca="false">IF('Bulk Order Details'!I165="","",_xlfn.xlookup('Bulk Order Details'!I165,Sleeve[Display],Sleeve[Price]))</f>
        <v/>
      </c>
      <c r="J155" s="212" t="str">
        <f aca="false">IF('Bulk Order Details'!J165="","",_xlfn.xlookup('Bulk Order Details'!J165,Collar[Display],Collar[Price]))</f>
        <v/>
      </c>
      <c r="K155" s="212" t="str">
        <f aca="false">IF('Bulk Order Details'!K165="","",_xlfn.xlookup("Name",Name[Name],Name[Price]))</f>
        <v/>
      </c>
      <c r="L155" s="213" t="str">
        <f aca="false">IFERROR(IF('Bulk Order Details'!O165="","",IF(_xlfn.xlookup('Bulk Order Details'!O165,Logos[Display],Logos[Use])="Flat",_xlfn.xlookup('Bulk Order Details'!O165,Logos[Display],Logos[Flat]),ROUND(_xlfn.xlookup('Bulk Order Details'!O165,Logos[Display],Logos[Pct])*$E155,2))),"")</f>
        <v/>
      </c>
      <c r="M155" s="222" t="str">
        <f aca="false">IFERROR(IF('Bulk Order Details'!P165="","",IF(_xlfn.xlookup('Bulk Order Details'!P165,Chest[Display],Chest[Use])="Flat",_xlfn.xlookup('Bulk Order Details'!P165,Chest[Display],Chest[Flat]),ROUND(_xlfn.xlookup('Bulk Order Details'!P165,Chest[Display],Chest[Pct])*$E155,2))),"")</f>
        <v/>
      </c>
      <c r="N155" s="222" t="str">
        <f aca="false">IFERROR(IF('Bulk Order Details'!Q165="","",IF(_xlfn.xlookup('Bulk Order Details'!Q165,Chest[Display],Chest[Use])="Flat",_xlfn.xlookup('Bulk Order Details'!Q165,Chest[Display],Chest[Flat]),ROUND(_xlfn.xlookup('Bulk Order Details'!Q165,Chest[Display],Chest[Pct])*$E155,2))),"")</f>
        <v/>
      </c>
      <c r="O155" s="222" t="str">
        <f aca="false">IFERROR(IF('Bulk Order Details'!R165="","",IF(_xlfn.xlookup('Bulk Order Details'!R165,LeftSleeve[Display],LeftSleeve[Use])="Flat",_xlfn.xlookup('Bulk Order Details'!R165,LeftSleeve[Display],LeftSleeve[Flat]),ROUND(_xlfn.xlookup('Bulk Order Details'!R165,LeftSleeve[Display],LeftSleeve[Pct])*$E155,2))),"")</f>
        <v/>
      </c>
      <c r="P155" s="222" t="str">
        <f aca="false">IFERROR(IF('Bulk Order Details'!S165="","",IF(_xlfn.xlookup('Bulk Order Details'!S165,RightSleeve[Display],RightSleeve[Use])="Flat",_xlfn.xlookup('Bulk Order Details'!S165,RightSleeve[Display],RightSleeve[Flat]),ROUND(_xlfn.xlookup('Bulk Order Details'!S165,RightSleeve[Display],RightSleeve[Pct])*$E155,2))),"")</f>
        <v/>
      </c>
      <c r="Q155" s="214" t="str">
        <f aca="false">IF('Bulk Order Details'!J165="","",SUM(F155:P155))</f>
        <v/>
      </c>
      <c r="R155" s="213" t="str">
        <f aca="false">IFERROR(E155-D155,"")</f>
        <v/>
      </c>
      <c r="S155" s="215" t="str">
        <f aca="false">IFERROR(MIN(IF(Summary!$D$11="Yes",-J155,0),IF(H155&gt;0,-J155,0)),"")</f>
        <v/>
      </c>
      <c r="T155" s="212" t="str">
        <f aca="false">IFERROR(IF(Summary!$D$10="Yes",-K155,""),"")</f>
        <v/>
      </c>
      <c r="U155" s="213" t="str">
        <f aca="false">IFERROR(IF(Summary!$D$12="Yes",-L155,""),"")</f>
        <v/>
      </c>
      <c r="V155" s="216" t="str">
        <f aca="false">IF('Bulk Order Details'!J165="","",SUM(R155:U155))</f>
        <v/>
      </c>
      <c r="W155" s="217" t="str">
        <f aca="false">IF('Bulk Order Details'!J165="","",D155+Q155)</f>
        <v/>
      </c>
      <c r="X155" s="218" t="str">
        <f aca="false">IF('Bulk Order Details'!J165="","",D155+Q155+V155)</f>
        <v/>
      </c>
      <c r="Y155" s="219" t="str">
        <f aca="false">IFERROR((W155-X155)/W155,"")</f>
        <v/>
      </c>
      <c r="Z155" s="220" t="str">
        <f aca="false">IF('Bulk Order Details'!J165="","",MAX(1,'Bulk Order Details'!D165))</f>
        <v/>
      </c>
      <c r="AA155" s="217" t="str">
        <f aca="false">IF(Pricing_Details[[#This Row],[Quantity]]="","",Pricing_Details[[#This Row],[Retail Price]]*Pricing_Details[[#This Row],[Quantity]])</f>
        <v/>
      </c>
      <c r="AB155" s="217" t="str">
        <f aca="false">IF(Pricing_Details[[#This Row],[Quantity]]="","",Pricing_Details[[#This Row],[Total Discount]]*Pricing_Details[[#This Row],[Quantity]])</f>
        <v/>
      </c>
      <c r="AC155" s="221" t="str">
        <f aca="false">IFERROR(ROUND(Pricing_Details[[#This Row],[Actual Price]]*Pricing_Details[[#This Row],[Quantity]],2),"")</f>
        <v/>
      </c>
      <c r="AE155" s="179" t="str">
        <f aca="false">IF('Bulk Order Details'!J165="","",VLOOKUP('Bulk Order Details'!H165,Collection[],3)&amp;VLOOKUP('Bulk Order Details'!J165,Collar[],4)&amp;VLOOKUP('Bulk Order Details'!I165,Sleeve[],4))</f>
        <v/>
      </c>
      <c r="AF155" s="179" t="str">
        <f aca="false">IF('Bulk Order Details'!J165="","",LOOKUP('Bulk Order Details'!E165,Cut[Display],Cut[Code])&amp;LOOKUP('Bulk Order Details'!F165,#REF!,#REF!)&amp;IF('Bulk Order Details'!G165="","",LOOKUP('Bulk Order Details'!G165,Length[Display],Length[Code])))</f>
        <v/>
      </c>
      <c r="AG155" s="179" t="str">
        <f aca="false">IF('Bulk Order Details'!J165="","",IF('Bulk Order Details'!C165="","",'Bulk Order Details'!C165))</f>
        <v/>
      </c>
      <c r="AH155" s="179" t="str">
        <f aca="false">IF('Bulk Order Details'!O165="","","-"&amp;LOOKUP('Bulk Order Details'!O165,#REF!,#REF!))</f>
        <v/>
      </c>
      <c r="AI155" s="179" t="str">
        <f aca="false">IF('Bulk Order Details'!P165="","","-"&amp;LOOKUP('Bulk Order Details'!P165,#REF!,#REF!))</f>
        <v/>
      </c>
      <c r="AJ155" s="179" t="str">
        <f aca="false">IF('Bulk Order Details'!Q165="","","-"&amp;LOOKUP('Bulk Order Details'!Q165,#REF!,#REF!))</f>
        <v/>
      </c>
      <c r="AK155" s="179" t="str">
        <f aca="false">IF('Bulk Order Details'!R165="","","-"&amp;LOOKUP('Bulk Order Details'!R165,#REF!,#REF!))</f>
        <v/>
      </c>
      <c r="AL155" s="179" t="str">
        <f aca="false">IF('Bulk Order Details'!S165="","","-"&amp;LOOKUP('Bulk Order Details'!S165,#REF!,#REF!))</f>
        <v/>
      </c>
      <c r="AM155" s="179" t="str">
        <f aca="false">IF(_xlfn.CONCAT(AH155:AL155)="","","Lo"&amp;_xlfn.CONCAT(AH155:AL155))</f>
        <v/>
      </c>
      <c r="AN155" s="179" t="str">
        <f aca="false">IF('Bulk Order Details'!K165="","","Na-"&amp;'Bulk Order Details'!K165)</f>
        <v/>
      </c>
      <c r="AO155" s="179" t="str">
        <f aca="false">IF('Bulk Order Details'!N165="","","Fo-"&amp;'Bulk Order Details'!N165)</f>
        <v/>
      </c>
      <c r="AP155" s="179" t="str">
        <f aca="false">IF(AE155="","",AE155&amp;"_"&amp;AF155&amp;"_"&amp;AG155&amp;IF(AM155="","","_"&amp;AM155)&amp;IF(AN155="","","_"&amp;AN155)&amp;IF(AO155="","","_"&amp;AO155))</f>
        <v/>
      </c>
      <c r="AQ155" s="218" t="str">
        <f aca="false">IF(X155="","",X155)</f>
        <v/>
      </c>
    </row>
    <row r="156" customFormat="false" ht="15" hidden="false" customHeight="true" outlineLevel="0" collapsed="false">
      <c r="B156" s="209" t="n">
        <f aca="false">'Bulk Order Details'!B166</f>
        <v>153</v>
      </c>
      <c r="C156" s="209" t="e">
        <f aca="false">IF('bulk order details'!#ref!="","",'bulk order details'!#ref!&amp;" "&amp;'bulk order details'!#ref!)</f>
        <v>#VALUE!</v>
      </c>
      <c r="D156" s="210" t="str">
        <f aca="false">IF('Bulk Order Details'!J166="","",VLOOKUP(1,Price[],3))</f>
        <v/>
      </c>
      <c r="E156" s="211" t="str">
        <f aca="false">IF('Bulk Order Details'!J166="","",Summary!$D$9)</f>
        <v/>
      </c>
      <c r="F156" s="212" t="str">
        <f aca="false">IF('Bulk Order Details'!F166="","",_xlfn.xlookup('Bulk Order Details'!F166,Size[Display],Size[Price]))</f>
        <v/>
      </c>
      <c r="G156" s="212" t="str">
        <f aca="false">IF('Bulk Order Details'!G166="","",_xlfn.xlookup('Bulk Order Details'!G166,Length[Display],Length[Price]))</f>
        <v/>
      </c>
      <c r="H156" s="212" t="str">
        <f aca="false">IF('Bulk Order Details'!H166="","",_xlfn.xlookup('Bulk Order Details'!H166,Collection[Display],Collection[Price]))</f>
        <v/>
      </c>
      <c r="I156" s="212" t="str">
        <f aca="false">IF('Bulk Order Details'!I166="","",_xlfn.xlookup('Bulk Order Details'!I166,Sleeve[Display],Sleeve[Price]))</f>
        <v/>
      </c>
      <c r="J156" s="212" t="str">
        <f aca="false">IF('Bulk Order Details'!J166="","",_xlfn.xlookup('Bulk Order Details'!J166,Collar[Display],Collar[Price]))</f>
        <v/>
      </c>
      <c r="K156" s="212" t="str">
        <f aca="false">IF('Bulk Order Details'!K166="","",_xlfn.xlookup("Name",Name[Name],Name[Price]))</f>
        <v/>
      </c>
      <c r="L156" s="213" t="str">
        <f aca="false">IFERROR(IF('Bulk Order Details'!O166="","",IF(_xlfn.xlookup('Bulk Order Details'!O166,Logos[Display],Logos[Use])="Flat",_xlfn.xlookup('Bulk Order Details'!O166,Logos[Display],Logos[Flat]),ROUND(_xlfn.xlookup('Bulk Order Details'!O166,Logos[Display],Logos[Pct])*$E156,2))),"")</f>
        <v/>
      </c>
      <c r="M156" s="222" t="str">
        <f aca="false">IFERROR(IF('Bulk Order Details'!P166="","",IF(_xlfn.xlookup('Bulk Order Details'!P166,Chest[Display],Chest[Use])="Flat",_xlfn.xlookup('Bulk Order Details'!P166,Chest[Display],Chest[Flat]),ROUND(_xlfn.xlookup('Bulk Order Details'!P166,Chest[Display],Chest[Pct])*$E156,2))),"")</f>
        <v/>
      </c>
      <c r="N156" s="222" t="str">
        <f aca="false">IFERROR(IF('Bulk Order Details'!Q166="","",IF(_xlfn.xlookup('Bulk Order Details'!Q166,Chest[Display],Chest[Use])="Flat",_xlfn.xlookup('Bulk Order Details'!Q166,Chest[Display],Chest[Flat]),ROUND(_xlfn.xlookup('Bulk Order Details'!Q166,Chest[Display],Chest[Pct])*$E156,2))),"")</f>
        <v/>
      </c>
      <c r="O156" s="222" t="str">
        <f aca="false">IFERROR(IF('Bulk Order Details'!R166="","",IF(_xlfn.xlookup('Bulk Order Details'!R166,LeftSleeve[Display],LeftSleeve[Use])="Flat",_xlfn.xlookup('Bulk Order Details'!R166,LeftSleeve[Display],LeftSleeve[Flat]),ROUND(_xlfn.xlookup('Bulk Order Details'!R166,LeftSleeve[Display],LeftSleeve[Pct])*$E156,2))),"")</f>
        <v/>
      </c>
      <c r="P156" s="222" t="str">
        <f aca="false">IFERROR(IF('Bulk Order Details'!S166="","",IF(_xlfn.xlookup('Bulk Order Details'!S166,RightSleeve[Display],RightSleeve[Use])="Flat",_xlfn.xlookup('Bulk Order Details'!S166,RightSleeve[Display],RightSleeve[Flat]),ROUND(_xlfn.xlookup('Bulk Order Details'!S166,RightSleeve[Display],RightSleeve[Pct])*$E156,2))),"")</f>
        <v/>
      </c>
      <c r="Q156" s="214" t="str">
        <f aca="false">IF('Bulk Order Details'!J166="","",SUM(F156:P156))</f>
        <v/>
      </c>
      <c r="R156" s="213" t="str">
        <f aca="false">IFERROR(E156-D156,"")</f>
        <v/>
      </c>
      <c r="S156" s="215" t="str">
        <f aca="false">IFERROR(MIN(IF(Summary!$D$11="Yes",-J156,0),IF(H156&gt;0,-J156,0)),"")</f>
        <v/>
      </c>
      <c r="T156" s="212" t="str">
        <f aca="false">IFERROR(IF(Summary!$D$10="Yes",-K156,""),"")</f>
        <v/>
      </c>
      <c r="U156" s="213" t="str">
        <f aca="false">IFERROR(IF(Summary!$D$12="Yes",-L156,""),"")</f>
        <v/>
      </c>
      <c r="V156" s="216" t="str">
        <f aca="false">IF('Bulk Order Details'!J166="","",SUM(R156:U156))</f>
        <v/>
      </c>
      <c r="W156" s="217" t="str">
        <f aca="false">IF('Bulk Order Details'!J166="","",D156+Q156)</f>
        <v/>
      </c>
      <c r="X156" s="218" t="str">
        <f aca="false">IF('Bulk Order Details'!J166="","",D156+Q156+V156)</f>
        <v/>
      </c>
      <c r="Y156" s="219" t="str">
        <f aca="false">IFERROR((W156-X156)/W156,"")</f>
        <v/>
      </c>
      <c r="Z156" s="220" t="str">
        <f aca="false">IF('Bulk Order Details'!J166="","",MAX(1,'Bulk Order Details'!D166))</f>
        <v/>
      </c>
      <c r="AA156" s="217" t="str">
        <f aca="false">IF(Pricing_Details[[#This Row],[Quantity]]="","",Pricing_Details[[#This Row],[Retail Price]]*Pricing_Details[[#This Row],[Quantity]])</f>
        <v/>
      </c>
      <c r="AB156" s="217" t="str">
        <f aca="false">IF(Pricing_Details[[#This Row],[Quantity]]="","",Pricing_Details[[#This Row],[Total Discount]]*Pricing_Details[[#This Row],[Quantity]])</f>
        <v/>
      </c>
      <c r="AC156" s="221" t="str">
        <f aca="false">IFERROR(ROUND(Pricing_Details[[#This Row],[Actual Price]]*Pricing_Details[[#This Row],[Quantity]],2),"")</f>
        <v/>
      </c>
      <c r="AE156" s="179" t="str">
        <f aca="false">IF('Bulk Order Details'!J166="","",VLOOKUP('Bulk Order Details'!H166,Collection[],3)&amp;VLOOKUP('Bulk Order Details'!J166,Collar[],4)&amp;VLOOKUP('Bulk Order Details'!I166,Sleeve[],4))</f>
        <v/>
      </c>
      <c r="AF156" s="179" t="str">
        <f aca="false">IF('Bulk Order Details'!J166="","",LOOKUP('Bulk Order Details'!E166,Cut[Display],Cut[Code])&amp;LOOKUP('Bulk Order Details'!F166,#REF!,#REF!)&amp;IF('Bulk Order Details'!G166="","",LOOKUP('Bulk Order Details'!G166,Length[Display],Length[Code])))</f>
        <v/>
      </c>
      <c r="AG156" s="179" t="str">
        <f aca="false">IF('Bulk Order Details'!J166="","",IF('Bulk Order Details'!C166="","",'Bulk Order Details'!C166))</f>
        <v/>
      </c>
      <c r="AH156" s="179" t="str">
        <f aca="false">IF('Bulk Order Details'!O166="","","-"&amp;LOOKUP('Bulk Order Details'!O166,#REF!,#REF!))</f>
        <v/>
      </c>
      <c r="AI156" s="179" t="str">
        <f aca="false">IF('Bulk Order Details'!P166="","","-"&amp;LOOKUP('Bulk Order Details'!P166,#REF!,#REF!))</f>
        <v/>
      </c>
      <c r="AJ156" s="179" t="str">
        <f aca="false">IF('Bulk Order Details'!Q166="","","-"&amp;LOOKUP('Bulk Order Details'!Q166,#REF!,#REF!))</f>
        <v/>
      </c>
      <c r="AK156" s="179" t="str">
        <f aca="false">IF('Bulk Order Details'!R166="","","-"&amp;LOOKUP('Bulk Order Details'!R166,#REF!,#REF!))</f>
        <v/>
      </c>
      <c r="AL156" s="179" t="str">
        <f aca="false">IF('Bulk Order Details'!S166="","","-"&amp;LOOKUP('Bulk Order Details'!S166,#REF!,#REF!))</f>
        <v/>
      </c>
      <c r="AM156" s="179" t="str">
        <f aca="false">IF(_xlfn.CONCAT(AH156:AL156)="","","Lo"&amp;_xlfn.CONCAT(AH156:AL156))</f>
        <v/>
      </c>
      <c r="AN156" s="179" t="str">
        <f aca="false">IF('Bulk Order Details'!K166="","","Na-"&amp;'Bulk Order Details'!K166)</f>
        <v/>
      </c>
      <c r="AO156" s="179" t="str">
        <f aca="false">IF('Bulk Order Details'!N166="","","Fo-"&amp;'Bulk Order Details'!N166)</f>
        <v/>
      </c>
      <c r="AP156" s="179" t="str">
        <f aca="false">IF(AE156="","",AE156&amp;"_"&amp;AF156&amp;"_"&amp;AG156&amp;IF(AM156="","","_"&amp;AM156)&amp;IF(AN156="","","_"&amp;AN156)&amp;IF(AO156="","","_"&amp;AO156))</f>
        <v/>
      </c>
      <c r="AQ156" s="218" t="str">
        <f aca="false">IF(X156="","",X156)</f>
        <v/>
      </c>
    </row>
    <row r="157" customFormat="false" ht="15" hidden="false" customHeight="true" outlineLevel="0" collapsed="false">
      <c r="B157" s="209" t="n">
        <f aca="false">'Bulk Order Details'!B167</f>
        <v>154</v>
      </c>
      <c r="C157" s="209" t="e">
        <f aca="false">IF('bulk order details'!#ref!="","",'bulk order details'!#ref!&amp;" "&amp;'bulk order details'!#ref!)</f>
        <v>#VALUE!</v>
      </c>
      <c r="D157" s="210" t="str">
        <f aca="false">IF('Bulk Order Details'!J167="","",VLOOKUP(1,Price[],3))</f>
        <v/>
      </c>
      <c r="E157" s="211" t="str">
        <f aca="false">IF('Bulk Order Details'!J167="","",Summary!$D$9)</f>
        <v/>
      </c>
      <c r="F157" s="212" t="str">
        <f aca="false">IF('Bulk Order Details'!F167="","",_xlfn.xlookup('Bulk Order Details'!F167,Size[Display],Size[Price]))</f>
        <v/>
      </c>
      <c r="G157" s="212" t="str">
        <f aca="false">IF('Bulk Order Details'!G167="","",_xlfn.xlookup('Bulk Order Details'!G167,Length[Display],Length[Price]))</f>
        <v/>
      </c>
      <c r="H157" s="212" t="str">
        <f aca="false">IF('Bulk Order Details'!H167="","",_xlfn.xlookup('Bulk Order Details'!H167,Collection[Display],Collection[Price]))</f>
        <v/>
      </c>
      <c r="I157" s="212" t="str">
        <f aca="false">IF('Bulk Order Details'!I167="","",_xlfn.xlookup('Bulk Order Details'!I167,Sleeve[Display],Sleeve[Price]))</f>
        <v/>
      </c>
      <c r="J157" s="212" t="str">
        <f aca="false">IF('Bulk Order Details'!J167="","",_xlfn.xlookup('Bulk Order Details'!J167,Collar[Display],Collar[Price]))</f>
        <v/>
      </c>
      <c r="K157" s="212" t="str">
        <f aca="false">IF('Bulk Order Details'!K167="","",_xlfn.xlookup("Name",Name[Name],Name[Price]))</f>
        <v/>
      </c>
      <c r="L157" s="213" t="str">
        <f aca="false">IFERROR(IF('Bulk Order Details'!O167="","",IF(_xlfn.xlookup('Bulk Order Details'!O167,Logos[Display],Logos[Use])="Flat",_xlfn.xlookup('Bulk Order Details'!O167,Logos[Display],Logos[Flat]),ROUND(_xlfn.xlookup('Bulk Order Details'!O167,Logos[Display],Logos[Pct])*$E157,2))),"")</f>
        <v/>
      </c>
      <c r="M157" s="222" t="str">
        <f aca="false">IFERROR(IF('Bulk Order Details'!P167="","",IF(_xlfn.xlookup('Bulk Order Details'!P167,Chest[Display],Chest[Use])="Flat",_xlfn.xlookup('Bulk Order Details'!P167,Chest[Display],Chest[Flat]),ROUND(_xlfn.xlookup('Bulk Order Details'!P167,Chest[Display],Chest[Pct])*$E157,2))),"")</f>
        <v/>
      </c>
      <c r="N157" s="222" t="str">
        <f aca="false">IFERROR(IF('Bulk Order Details'!Q167="","",IF(_xlfn.xlookup('Bulk Order Details'!Q167,Chest[Display],Chest[Use])="Flat",_xlfn.xlookup('Bulk Order Details'!Q167,Chest[Display],Chest[Flat]),ROUND(_xlfn.xlookup('Bulk Order Details'!Q167,Chest[Display],Chest[Pct])*$E157,2))),"")</f>
        <v/>
      </c>
      <c r="O157" s="222" t="str">
        <f aca="false">IFERROR(IF('Bulk Order Details'!R167="","",IF(_xlfn.xlookup('Bulk Order Details'!R167,LeftSleeve[Display],LeftSleeve[Use])="Flat",_xlfn.xlookup('Bulk Order Details'!R167,LeftSleeve[Display],LeftSleeve[Flat]),ROUND(_xlfn.xlookup('Bulk Order Details'!R167,LeftSleeve[Display],LeftSleeve[Pct])*$E157,2))),"")</f>
        <v/>
      </c>
      <c r="P157" s="222" t="str">
        <f aca="false">IFERROR(IF('Bulk Order Details'!S167="","",IF(_xlfn.xlookup('Bulk Order Details'!S167,RightSleeve[Display],RightSleeve[Use])="Flat",_xlfn.xlookup('Bulk Order Details'!S167,RightSleeve[Display],RightSleeve[Flat]),ROUND(_xlfn.xlookup('Bulk Order Details'!S167,RightSleeve[Display],RightSleeve[Pct])*$E157,2))),"")</f>
        <v/>
      </c>
      <c r="Q157" s="214" t="str">
        <f aca="false">IF('Bulk Order Details'!J167="","",SUM(F157:P157))</f>
        <v/>
      </c>
      <c r="R157" s="213" t="str">
        <f aca="false">IFERROR(E157-D157,"")</f>
        <v/>
      </c>
      <c r="S157" s="215" t="str">
        <f aca="false">IFERROR(MIN(IF(Summary!$D$11="Yes",-J157,0),IF(H157&gt;0,-J157,0)),"")</f>
        <v/>
      </c>
      <c r="T157" s="212" t="str">
        <f aca="false">IFERROR(IF(Summary!$D$10="Yes",-K157,""),"")</f>
        <v/>
      </c>
      <c r="U157" s="213" t="str">
        <f aca="false">IFERROR(IF(Summary!$D$12="Yes",-L157,""),"")</f>
        <v/>
      </c>
      <c r="V157" s="216" t="str">
        <f aca="false">IF('Bulk Order Details'!J167="","",SUM(R157:U157))</f>
        <v/>
      </c>
      <c r="W157" s="217" t="str">
        <f aca="false">IF('Bulk Order Details'!J167="","",D157+Q157)</f>
        <v/>
      </c>
      <c r="X157" s="218" t="str">
        <f aca="false">IF('Bulk Order Details'!J167="","",D157+Q157+V157)</f>
        <v/>
      </c>
      <c r="Y157" s="219" t="str">
        <f aca="false">IFERROR((W157-X157)/W157,"")</f>
        <v/>
      </c>
      <c r="Z157" s="220" t="str">
        <f aca="false">IF('Bulk Order Details'!J167="","",MAX(1,'Bulk Order Details'!D167))</f>
        <v/>
      </c>
      <c r="AA157" s="217" t="str">
        <f aca="false">IF(Pricing_Details[[#This Row],[Quantity]]="","",Pricing_Details[[#This Row],[Retail Price]]*Pricing_Details[[#This Row],[Quantity]])</f>
        <v/>
      </c>
      <c r="AB157" s="217" t="str">
        <f aca="false">IF(Pricing_Details[[#This Row],[Quantity]]="","",Pricing_Details[[#This Row],[Total Discount]]*Pricing_Details[[#This Row],[Quantity]])</f>
        <v/>
      </c>
      <c r="AC157" s="221" t="str">
        <f aca="false">IFERROR(ROUND(Pricing_Details[[#This Row],[Actual Price]]*Pricing_Details[[#This Row],[Quantity]],2),"")</f>
        <v/>
      </c>
      <c r="AE157" s="179" t="str">
        <f aca="false">IF('Bulk Order Details'!J167="","",VLOOKUP('Bulk Order Details'!H167,Collection[],3)&amp;VLOOKUP('Bulk Order Details'!J167,Collar[],4)&amp;VLOOKUP('Bulk Order Details'!I167,Sleeve[],4))</f>
        <v/>
      </c>
      <c r="AF157" s="179" t="str">
        <f aca="false">IF('Bulk Order Details'!J167="","",LOOKUP('Bulk Order Details'!E167,Cut[Display],Cut[Code])&amp;LOOKUP('Bulk Order Details'!F167,#REF!,#REF!)&amp;IF('Bulk Order Details'!G167="","",LOOKUP('Bulk Order Details'!G167,Length[Display],Length[Code])))</f>
        <v/>
      </c>
      <c r="AG157" s="179" t="str">
        <f aca="false">IF('Bulk Order Details'!J167="","",IF('Bulk Order Details'!C167="","",'Bulk Order Details'!C167))</f>
        <v/>
      </c>
      <c r="AH157" s="179" t="str">
        <f aca="false">IF('Bulk Order Details'!O167="","","-"&amp;LOOKUP('Bulk Order Details'!O167,#REF!,#REF!))</f>
        <v/>
      </c>
      <c r="AI157" s="179" t="str">
        <f aca="false">IF('Bulk Order Details'!P167="","","-"&amp;LOOKUP('Bulk Order Details'!P167,#REF!,#REF!))</f>
        <v/>
      </c>
      <c r="AJ157" s="179" t="str">
        <f aca="false">IF('Bulk Order Details'!Q167="","","-"&amp;LOOKUP('Bulk Order Details'!Q167,#REF!,#REF!))</f>
        <v/>
      </c>
      <c r="AK157" s="179" t="str">
        <f aca="false">IF('Bulk Order Details'!R167="","","-"&amp;LOOKUP('Bulk Order Details'!R167,#REF!,#REF!))</f>
        <v/>
      </c>
      <c r="AL157" s="179" t="str">
        <f aca="false">IF('Bulk Order Details'!S167="","","-"&amp;LOOKUP('Bulk Order Details'!S167,#REF!,#REF!))</f>
        <v/>
      </c>
      <c r="AM157" s="179" t="str">
        <f aca="false">IF(_xlfn.CONCAT(AH157:AL157)="","","Lo"&amp;_xlfn.CONCAT(AH157:AL157))</f>
        <v/>
      </c>
      <c r="AN157" s="179" t="str">
        <f aca="false">IF('Bulk Order Details'!K167="","","Na-"&amp;'Bulk Order Details'!K167)</f>
        <v/>
      </c>
      <c r="AO157" s="179" t="str">
        <f aca="false">IF('Bulk Order Details'!N167="","","Fo-"&amp;'Bulk Order Details'!N167)</f>
        <v/>
      </c>
      <c r="AP157" s="179" t="str">
        <f aca="false">IF(AE157="","",AE157&amp;"_"&amp;AF157&amp;"_"&amp;AG157&amp;IF(AM157="","","_"&amp;AM157)&amp;IF(AN157="","","_"&amp;AN157)&amp;IF(AO157="","","_"&amp;AO157))</f>
        <v/>
      </c>
      <c r="AQ157" s="218" t="str">
        <f aca="false">IF(X157="","",X157)</f>
        <v/>
      </c>
    </row>
    <row r="158" customFormat="false" ht="15" hidden="false" customHeight="true" outlineLevel="0" collapsed="false">
      <c r="B158" s="209" t="n">
        <f aca="false">'Bulk Order Details'!B168</f>
        <v>155</v>
      </c>
      <c r="C158" s="209" t="e">
        <f aca="false">IF('bulk order details'!#ref!="","",'bulk order details'!#ref!&amp;" "&amp;'bulk order details'!#ref!)</f>
        <v>#VALUE!</v>
      </c>
      <c r="D158" s="210" t="str">
        <f aca="false">IF('Bulk Order Details'!J168="","",VLOOKUP(1,Price[],3))</f>
        <v/>
      </c>
      <c r="E158" s="211" t="str">
        <f aca="false">IF('Bulk Order Details'!J168="","",Summary!$D$9)</f>
        <v/>
      </c>
      <c r="F158" s="212" t="str">
        <f aca="false">IF('Bulk Order Details'!F168="","",_xlfn.xlookup('Bulk Order Details'!F168,Size[Display],Size[Price]))</f>
        <v/>
      </c>
      <c r="G158" s="212" t="str">
        <f aca="false">IF('Bulk Order Details'!G168="","",_xlfn.xlookup('Bulk Order Details'!G168,Length[Display],Length[Price]))</f>
        <v/>
      </c>
      <c r="H158" s="212" t="str">
        <f aca="false">IF('Bulk Order Details'!H168="","",_xlfn.xlookup('Bulk Order Details'!H168,Collection[Display],Collection[Price]))</f>
        <v/>
      </c>
      <c r="I158" s="212" t="str">
        <f aca="false">IF('Bulk Order Details'!I168="","",_xlfn.xlookup('Bulk Order Details'!I168,Sleeve[Display],Sleeve[Price]))</f>
        <v/>
      </c>
      <c r="J158" s="212" t="str">
        <f aca="false">IF('Bulk Order Details'!J168="","",_xlfn.xlookup('Bulk Order Details'!J168,Collar[Display],Collar[Price]))</f>
        <v/>
      </c>
      <c r="K158" s="212" t="str">
        <f aca="false">IF('Bulk Order Details'!K168="","",_xlfn.xlookup("Name",Name[Name],Name[Price]))</f>
        <v/>
      </c>
      <c r="L158" s="213" t="str">
        <f aca="false">IFERROR(IF('Bulk Order Details'!O168="","",IF(_xlfn.xlookup('Bulk Order Details'!O168,Logos[Display],Logos[Use])="Flat",_xlfn.xlookup('Bulk Order Details'!O168,Logos[Display],Logos[Flat]),ROUND(_xlfn.xlookup('Bulk Order Details'!O168,Logos[Display],Logos[Pct])*$E158,2))),"")</f>
        <v/>
      </c>
      <c r="M158" s="222" t="str">
        <f aca="false">IFERROR(IF('Bulk Order Details'!P168="","",IF(_xlfn.xlookup('Bulk Order Details'!P168,Chest[Display],Chest[Use])="Flat",_xlfn.xlookup('Bulk Order Details'!P168,Chest[Display],Chest[Flat]),ROUND(_xlfn.xlookup('Bulk Order Details'!P168,Chest[Display],Chest[Pct])*$E158,2))),"")</f>
        <v/>
      </c>
      <c r="N158" s="222" t="str">
        <f aca="false">IFERROR(IF('Bulk Order Details'!Q168="","",IF(_xlfn.xlookup('Bulk Order Details'!Q168,Chest[Display],Chest[Use])="Flat",_xlfn.xlookup('Bulk Order Details'!Q168,Chest[Display],Chest[Flat]),ROUND(_xlfn.xlookup('Bulk Order Details'!Q168,Chest[Display],Chest[Pct])*$E158,2))),"")</f>
        <v/>
      </c>
      <c r="O158" s="222" t="str">
        <f aca="false">IFERROR(IF('Bulk Order Details'!R168="","",IF(_xlfn.xlookup('Bulk Order Details'!R168,LeftSleeve[Display],LeftSleeve[Use])="Flat",_xlfn.xlookup('Bulk Order Details'!R168,LeftSleeve[Display],LeftSleeve[Flat]),ROUND(_xlfn.xlookup('Bulk Order Details'!R168,LeftSleeve[Display],LeftSleeve[Pct])*$E158,2))),"")</f>
        <v/>
      </c>
      <c r="P158" s="222" t="str">
        <f aca="false">IFERROR(IF('Bulk Order Details'!S168="","",IF(_xlfn.xlookup('Bulk Order Details'!S168,RightSleeve[Display],RightSleeve[Use])="Flat",_xlfn.xlookup('Bulk Order Details'!S168,RightSleeve[Display],RightSleeve[Flat]),ROUND(_xlfn.xlookup('Bulk Order Details'!S168,RightSleeve[Display],RightSleeve[Pct])*$E158,2))),"")</f>
        <v/>
      </c>
      <c r="Q158" s="214" t="str">
        <f aca="false">IF('Bulk Order Details'!J168="","",SUM(F158:P158))</f>
        <v/>
      </c>
      <c r="R158" s="213" t="str">
        <f aca="false">IFERROR(E158-D158,"")</f>
        <v/>
      </c>
      <c r="S158" s="215" t="str">
        <f aca="false">IFERROR(MIN(IF(Summary!$D$11="Yes",-J158,0),IF(H158&gt;0,-J158,0)),"")</f>
        <v/>
      </c>
      <c r="T158" s="212" t="str">
        <f aca="false">IFERROR(IF(Summary!$D$10="Yes",-K158,""),"")</f>
        <v/>
      </c>
      <c r="U158" s="213" t="str">
        <f aca="false">IFERROR(IF(Summary!$D$12="Yes",-L158,""),"")</f>
        <v/>
      </c>
      <c r="V158" s="216" t="str">
        <f aca="false">IF('Bulk Order Details'!J168="","",SUM(R158:U158))</f>
        <v/>
      </c>
      <c r="W158" s="217" t="str">
        <f aca="false">IF('Bulk Order Details'!J168="","",D158+Q158)</f>
        <v/>
      </c>
      <c r="X158" s="218" t="str">
        <f aca="false">IF('Bulk Order Details'!J168="","",D158+Q158+V158)</f>
        <v/>
      </c>
      <c r="Y158" s="219" t="str">
        <f aca="false">IFERROR((W158-X158)/W158,"")</f>
        <v/>
      </c>
      <c r="Z158" s="220" t="str">
        <f aca="false">IF('Bulk Order Details'!J168="","",MAX(1,'Bulk Order Details'!D168))</f>
        <v/>
      </c>
      <c r="AA158" s="217" t="str">
        <f aca="false">IF(Pricing_Details[[#This Row],[Quantity]]="","",Pricing_Details[[#This Row],[Retail Price]]*Pricing_Details[[#This Row],[Quantity]])</f>
        <v/>
      </c>
      <c r="AB158" s="217" t="str">
        <f aca="false">IF(Pricing_Details[[#This Row],[Quantity]]="","",Pricing_Details[[#This Row],[Total Discount]]*Pricing_Details[[#This Row],[Quantity]])</f>
        <v/>
      </c>
      <c r="AC158" s="221" t="str">
        <f aca="false">IFERROR(ROUND(Pricing_Details[[#This Row],[Actual Price]]*Pricing_Details[[#This Row],[Quantity]],2),"")</f>
        <v/>
      </c>
      <c r="AE158" s="179" t="str">
        <f aca="false">IF('Bulk Order Details'!J168="","",VLOOKUP('Bulk Order Details'!H168,Collection[],3)&amp;VLOOKUP('Bulk Order Details'!J168,Collar[],4)&amp;VLOOKUP('Bulk Order Details'!I168,Sleeve[],4))</f>
        <v/>
      </c>
      <c r="AF158" s="179" t="str">
        <f aca="false">IF('Bulk Order Details'!J168="","",LOOKUP('Bulk Order Details'!E168,Cut[Display],Cut[Code])&amp;LOOKUP('Bulk Order Details'!F168,#REF!,#REF!)&amp;IF('Bulk Order Details'!G168="","",LOOKUP('Bulk Order Details'!G168,Length[Display],Length[Code])))</f>
        <v/>
      </c>
      <c r="AG158" s="179" t="str">
        <f aca="false">IF('Bulk Order Details'!J168="","",IF('Bulk Order Details'!C168="","",'Bulk Order Details'!C168))</f>
        <v/>
      </c>
      <c r="AH158" s="179" t="str">
        <f aca="false">IF('Bulk Order Details'!O168="","","-"&amp;LOOKUP('Bulk Order Details'!O168,#REF!,#REF!))</f>
        <v/>
      </c>
      <c r="AI158" s="179" t="str">
        <f aca="false">IF('Bulk Order Details'!P168="","","-"&amp;LOOKUP('Bulk Order Details'!P168,#REF!,#REF!))</f>
        <v/>
      </c>
      <c r="AJ158" s="179" t="str">
        <f aca="false">IF('Bulk Order Details'!Q168="","","-"&amp;LOOKUP('Bulk Order Details'!Q168,#REF!,#REF!))</f>
        <v/>
      </c>
      <c r="AK158" s="179" t="str">
        <f aca="false">IF('Bulk Order Details'!R168="","","-"&amp;LOOKUP('Bulk Order Details'!R168,#REF!,#REF!))</f>
        <v/>
      </c>
      <c r="AL158" s="179" t="str">
        <f aca="false">IF('Bulk Order Details'!S168="","","-"&amp;LOOKUP('Bulk Order Details'!S168,#REF!,#REF!))</f>
        <v/>
      </c>
      <c r="AM158" s="179" t="str">
        <f aca="false">IF(_xlfn.CONCAT(AH158:AL158)="","","Lo"&amp;_xlfn.CONCAT(AH158:AL158))</f>
        <v/>
      </c>
      <c r="AN158" s="179" t="str">
        <f aca="false">IF('Bulk Order Details'!K168="","","Na-"&amp;'Bulk Order Details'!K168)</f>
        <v/>
      </c>
      <c r="AO158" s="179" t="str">
        <f aca="false">IF('Bulk Order Details'!N168="","","Fo-"&amp;'Bulk Order Details'!N168)</f>
        <v/>
      </c>
      <c r="AP158" s="179" t="str">
        <f aca="false">IF(AE158="","",AE158&amp;"_"&amp;AF158&amp;"_"&amp;AG158&amp;IF(AM158="","","_"&amp;AM158)&amp;IF(AN158="","","_"&amp;AN158)&amp;IF(AO158="","","_"&amp;AO158))</f>
        <v/>
      </c>
      <c r="AQ158" s="218" t="str">
        <f aca="false">IF(X158="","",X158)</f>
        <v/>
      </c>
    </row>
    <row r="159" customFormat="false" ht="15" hidden="false" customHeight="true" outlineLevel="0" collapsed="false">
      <c r="B159" s="209" t="n">
        <f aca="false">'Bulk Order Details'!B169</f>
        <v>156</v>
      </c>
      <c r="C159" s="209" t="e">
        <f aca="false">IF('bulk order details'!#ref!="","",'bulk order details'!#ref!&amp;" "&amp;'bulk order details'!#ref!)</f>
        <v>#VALUE!</v>
      </c>
      <c r="D159" s="210" t="str">
        <f aca="false">IF('Bulk Order Details'!J169="","",VLOOKUP(1,Price[],3))</f>
        <v/>
      </c>
      <c r="E159" s="211" t="str">
        <f aca="false">IF('Bulk Order Details'!J169="","",Summary!$D$9)</f>
        <v/>
      </c>
      <c r="F159" s="212" t="str">
        <f aca="false">IF('Bulk Order Details'!F169="","",_xlfn.xlookup('Bulk Order Details'!F169,Size[Display],Size[Price]))</f>
        <v/>
      </c>
      <c r="G159" s="212" t="str">
        <f aca="false">IF('Bulk Order Details'!G169="","",_xlfn.xlookup('Bulk Order Details'!G169,Length[Display],Length[Price]))</f>
        <v/>
      </c>
      <c r="H159" s="212" t="str">
        <f aca="false">IF('Bulk Order Details'!H169="","",_xlfn.xlookup('Bulk Order Details'!H169,Collection[Display],Collection[Price]))</f>
        <v/>
      </c>
      <c r="I159" s="212" t="str">
        <f aca="false">IF('Bulk Order Details'!I169="","",_xlfn.xlookup('Bulk Order Details'!I169,Sleeve[Display],Sleeve[Price]))</f>
        <v/>
      </c>
      <c r="J159" s="212" t="str">
        <f aca="false">IF('Bulk Order Details'!J169="","",_xlfn.xlookup('Bulk Order Details'!J169,Collar[Display],Collar[Price]))</f>
        <v/>
      </c>
      <c r="K159" s="212" t="str">
        <f aca="false">IF('Bulk Order Details'!K169="","",_xlfn.xlookup("Name",Name[Name],Name[Price]))</f>
        <v/>
      </c>
      <c r="L159" s="213" t="str">
        <f aca="false">IFERROR(IF('Bulk Order Details'!O169="","",IF(_xlfn.xlookup('Bulk Order Details'!O169,Logos[Display],Logos[Use])="Flat",_xlfn.xlookup('Bulk Order Details'!O169,Logos[Display],Logos[Flat]),ROUND(_xlfn.xlookup('Bulk Order Details'!O169,Logos[Display],Logos[Pct])*$E159,2))),"")</f>
        <v/>
      </c>
      <c r="M159" s="222" t="str">
        <f aca="false">IFERROR(IF('Bulk Order Details'!P169="","",IF(_xlfn.xlookup('Bulk Order Details'!P169,Chest[Display],Chest[Use])="Flat",_xlfn.xlookup('Bulk Order Details'!P169,Chest[Display],Chest[Flat]),ROUND(_xlfn.xlookup('Bulk Order Details'!P169,Chest[Display],Chest[Pct])*$E159,2))),"")</f>
        <v/>
      </c>
      <c r="N159" s="222" t="str">
        <f aca="false">IFERROR(IF('Bulk Order Details'!Q169="","",IF(_xlfn.xlookup('Bulk Order Details'!Q169,Chest[Display],Chest[Use])="Flat",_xlfn.xlookup('Bulk Order Details'!Q169,Chest[Display],Chest[Flat]),ROUND(_xlfn.xlookup('Bulk Order Details'!Q169,Chest[Display],Chest[Pct])*$E159,2))),"")</f>
        <v/>
      </c>
      <c r="O159" s="222" t="str">
        <f aca="false">IFERROR(IF('Bulk Order Details'!R169="","",IF(_xlfn.xlookup('Bulk Order Details'!R169,LeftSleeve[Display],LeftSleeve[Use])="Flat",_xlfn.xlookup('Bulk Order Details'!R169,LeftSleeve[Display],LeftSleeve[Flat]),ROUND(_xlfn.xlookup('Bulk Order Details'!R169,LeftSleeve[Display],LeftSleeve[Pct])*$E159,2))),"")</f>
        <v/>
      </c>
      <c r="P159" s="222" t="str">
        <f aca="false">IFERROR(IF('Bulk Order Details'!S169="","",IF(_xlfn.xlookup('Bulk Order Details'!S169,RightSleeve[Display],RightSleeve[Use])="Flat",_xlfn.xlookup('Bulk Order Details'!S169,RightSleeve[Display],RightSleeve[Flat]),ROUND(_xlfn.xlookup('Bulk Order Details'!S169,RightSleeve[Display],RightSleeve[Pct])*$E159,2))),"")</f>
        <v/>
      </c>
      <c r="Q159" s="214" t="str">
        <f aca="false">IF('Bulk Order Details'!J169="","",SUM(F159:P159))</f>
        <v/>
      </c>
      <c r="R159" s="213" t="str">
        <f aca="false">IFERROR(E159-D159,"")</f>
        <v/>
      </c>
      <c r="S159" s="215" t="str">
        <f aca="false">IFERROR(MIN(IF(Summary!$D$11="Yes",-J159,0),IF(H159&gt;0,-J159,0)),"")</f>
        <v/>
      </c>
      <c r="T159" s="212" t="str">
        <f aca="false">IFERROR(IF(Summary!$D$10="Yes",-K159,""),"")</f>
        <v/>
      </c>
      <c r="U159" s="213" t="str">
        <f aca="false">IFERROR(IF(Summary!$D$12="Yes",-L159,""),"")</f>
        <v/>
      </c>
      <c r="V159" s="216" t="str">
        <f aca="false">IF('Bulk Order Details'!J169="","",SUM(R159:U159))</f>
        <v/>
      </c>
      <c r="W159" s="217" t="str">
        <f aca="false">IF('Bulk Order Details'!J169="","",D159+Q159)</f>
        <v/>
      </c>
      <c r="X159" s="218" t="str">
        <f aca="false">IF('Bulk Order Details'!J169="","",D159+Q159+V159)</f>
        <v/>
      </c>
      <c r="Y159" s="219" t="str">
        <f aca="false">IFERROR((W159-X159)/W159,"")</f>
        <v/>
      </c>
      <c r="Z159" s="220" t="str">
        <f aca="false">IF('Bulk Order Details'!J169="","",MAX(1,'Bulk Order Details'!D169))</f>
        <v/>
      </c>
      <c r="AA159" s="217" t="str">
        <f aca="false">IF(Pricing_Details[[#This Row],[Quantity]]="","",Pricing_Details[[#This Row],[Retail Price]]*Pricing_Details[[#This Row],[Quantity]])</f>
        <v/>
      </c>
      <c r="AB159" s="217" t="str">
        <f aca="false">IF(Pricing_Details[[#This Row],[Quantity]]="","",Pricing_Details[[#This Row],[Total Discount]]*Pricing_Details[[#This Row],[Quantity]])</f>
        <v/>
      </c>
      <c r="AC159" s="221" t="str">
        <f aca="false">IFERROR(ROUND(Pricing_Details[[#This Row],[Actual Price]]*Pricing_Details[[#This Row],[Quantity]],2),"")</f>
        <v/>
      </c>
      <c r="AE159" s="179" t="str">
        <f aca="false">IF('Bulk Order Details'!J169="","",VLOOKUP('Bulk Order Details'!H169,Collection[],3)&amp;VLOOKUP('Bulk Order Details'!J169,Collar[],4)&amp;VLOOKUP('Bulk Order Details'!I169,Sleeve[],4))</f>
        <v/>
      </c>
      <c r="AF159" s="179" t="str">
        <f aca="false">IF('Bulk Order Details'!J169="","",LOOKUP('Bulk Order Details'!E169,Cut[Display],Cut[Code])&amp;LOOKUP('Bulk Order Details'!F169,#REF!,#REF!)&amp;IF('Bulk Order Details'!G169="","",LOOKUP('Bulk Order Details'!G169,Length[Display],Length[Code])))</f>
        <v/>
      </c>
      <c r="AG159" s="179" t="str">
        <f aca="false">IF('Bulk Order Details'!J169="","",IF('Bulk Order Details'!C169="","",'Bulk Order Details'!C169))</f>
        <v/>
      </c>
      <c r="AH159" s="179" t="str">
        <f aca="false">IF('Bulk Order Details'!O169="","","-"&amp;LOOKUP('Bulk Order Details'!O169,#REF!,#REF!))</f>
        <v/>
      </c>
      <c r="AI159" s="179" t="str">
        <f aca="false">IF('Bulk Order Details'!P169="","","-"&amp;LOOKUP('Bulk Order Details'!P169,#REF!,#REF!))</f>
        <v/>
      </c>
      <c r="AJ159" s="179" t="str">
        <f aca="false">IF('Bulk Order Details'!Q169="","","-"&amp;LOOKUP('Bulk Order Details'!Q169,#REF!,#REF!))</f>
        <v/>
      </c>
      <c r="AK159" s="179" t="str">
        <f aca="false">IF('Bulk Order Details'!R169="","","-"&amp;LOOKUP('Bulk Order Details'!R169,#REF!,#REF!))</f>
        <v/>
      </c>
      <c r="AL159" s="179" t="str">
        <f aca="false">IF('Bulk Order Details'!S169="","","-"&amp;LOOKUP('Bulk Order Details'!S169,#REF!,#REF!))</f>
        <v/>
      </c>
      <c r="AM159" s="179" t="str">
        <f aca="false">IF(_xlfn.CONCAT(AH159:AL159)="","","Lo"&amp;_xlfn.CONCAT(AH159:AL159))</f>
        <v/>
      </c>
      <c r="AN159" s="179" t="str">
        <f aca="false">IF('Bulk Order Details'!K169="","","Na-"&amp;'Bulk Order Details'!K169)</f>
        <v/>
      </c>
      <c r="AO159" s="179" t="str">
        <f aca="false">IF('Bulk Order Details'!N169="","","Fo-"&amp;'Bulk Order Details'!N169)</f>
        <v/>
      </c>
      <c r="AP159" s="179" t="str">
        <f aca="false">IF(AE159="","",AE159&amp;"_"&amp;AF159&amp;"_"&amp;AG159&amp;IF(AM159="","","_"&amp;AM159)&amp;IF(AN159="","","_"&amp;AN159)&amp;IF(AO159="","","_"&amp;AO159))</f>
        <v/>
      </c>
      <c r="AQ159" s="218" t="str">
        <f aca="false">IF(X159="","",X159)</f>
        <v/>
      </c>
    </row>
    <row r="160" customFormat="false" ht="15" hidden="false" customHeight="true" outlineLevel="0" collapsed="false">
      <c r="B160" s="209" t="n">
        <f aca="false">'Bulk Order Details'!B170</f>
        <v>157</v>
      </c>
      <c r="C160" s="209" t="e">
        <f aca="false">IF('bulk order details'!#ref!="","",'bulk order details'!#ref!&amp;" "&amp;'bulk order details'!#ref!)</f>
        <v>#VALUE!</v>
      </c>
      <c r="D160" s="210" t="str">
        <f aca="false">IF('Bulk Order Details'!J170="","",VLOOKUP(1,Price[],3))</f>
        <v/>
      </c>
      <c r="E160" s="211" t="str">
        <f aca="false">IF('Bulk Order Details'!J170="","",Summary!$D$9)</f>
        <v/>
      </c>
      <c r="F160" s="212" t="str">
        <f aca="false">IF('Bulk Order Details'!F170="","",_xlfn.xlookup('Bulk Order Details'!F170,Size[Display],Size[Price]))</f>
        <v/>
      </c>
      <c r="G160" s="212" t="str">
        <f aca="false">IF('Bulk Order Details'!G170="","",_xlfn.xlookup('Bulk Order Details'!G170,Length[Display],Length[Price]))</f>
        <v/>
      </c>
      <c r="H160" s="212" t="str">
        <f aca="false">IF('Bulk Order Details'!H170="","",_xlfn.xlookup('Bulk Order Details'!H170,Collection[Display],Collection[Price]))</f>
        <v/>
      </c>
      <c r="I160" s="212" t="str">
        <f aca="false">IF('Bulk Order Details'!I170="","",_xlfn.xlookup('Bulk Order Details'!I170,Sleeve[Display],Sleeve[Price]))</f>
        <v/>
      </c>
      <c r="J160" s="212" t="str">
        <f aca="false">IF('Bulk Order Details'!J170="","",_xlfn.xlookup('Bulk Order Details'!J170,Collar[Display],Collar[Price]))</f>
        <v/>
      </c>
      <c r="K160" s="212" t="str">
        <f aca="false">IF('Bulk Order Details'!K170="","",_xlfn.xlookup("Name",Name[Name],Name[Price]))</f>
        <v/>
      </c>
      <c r="L160" s="213" t="str">
        <f aca="false">IFERROR(IF('Bulk Order Details'!O170="","",IF(_xlfn.xlookup('Bulk Order Details'!O170,Logos[Display],Logos[Use])="Flat",_xlfn.xlookup('Bulk Order Details'!O170,Logos[Display],Logos[Flat]),ROUND(_xlfn.xlookup('Bulk Order Details'!O170,Logos[Display],Logos[Pct])*$E160,2))),"")</f>
        <v/>
      </c>
      <c r="M160" s="222" t="str">
        <f aca="false">IFERROR(IF('Bulk Order Details'!P170="","",IF(_xlfn.xlookup('Bulk Order Details'!P170,Chest[Display],Chest[Use])="Flat",_xlfn.xlookup('Bulk Order Details'!P170,Chest[Display],Chest[Flat]),ROUND(_xlfn.xlookup('Bulk Order Details'!P170,Chest[Display],Chest[Pct])*$E160,2))),"")</f>
        <v/>
      </c>
      <c r="N160" s="222" t="str">
        <f aca="false">IFERROR(IF('Bulk Order Details'!Q170="","",IF(_xlfn.xlookup('Bulk Order Details'!Q170,Chest[Display],Chest[Use])="Flat",_xlfn.xlookup('Bulk Order Details'!Q170,Chest[Display],Chest[Flat]),ROUND(_xlfn.xlookup('Bulk Order Details'!Q170,Chest[Display],Chest[Pct])*$E160,2))),"")</f>
        <v/>
      </c>
      <c r="O160" s="222" t="str">
        <f aca="false">IFERROR(IF('Bulk Order Details'!R170="","",IF(_xlfn.xlookup('Bulk Order Details'!R170,LeftSleeve[Display],LeftSleeve[Use])="Flat",_xlfn.xlookup('Bulk Order Details'!R170,LeftSleeve[Display],LeftSleeve[Flat]),ROUND(_xlfn.xlookup('Bulk Order Details'!R170,LeftSleeve[Display],LeftSleeve[Pct])*$E160,2))),"")</f>
        <v/>
      </c>
      <c r="P160" s="222" t="str">
        <f aca="false">IFERROR(IF('Bulk Order Details'!S170="","",IF(_xlfn.xlookup('Bulk Order Details'!S170,RightSleeve[Display],RightSleeve[Use])="Flat",_xlfn.xlookup('Bulk Order Details'!S170,RightSleeve[Display],RightSleeve[Flat]),ROUND(_xlfn.xlookup('Bulk Order Details'!S170,RightSleeve[Display],RightSleeve[Pct])*$E160,2))),"")</f>
        <v/>
      </c>
      <c r="Q160" s="214" t="str">
        <f aca="false">IF('Bulk Order Details'!J170="","",SUM(F160:P160))</f>
        <v/>
      </c>
      <c r="R160" s="213" t="str">
        <f aca="false">IFERROR(E160-D160,"")</f>
        <v/>
      </c>
      <c r="S160" s="215" t="str">
        <f aca="false">IFERROR(MIN(IF(Summary!$D$11="Yes",-J160,0),IF(H160&gt;0,-J160,0)),"")</f>
        <v/>
      </c>
      <c r="T160" s="212" t="str">
        <f aca="false">IFERROR(IF(Summary!$D$10="Yes",-K160,""),"")</f>
        <v/>
      </c>
      <c r="U160" s="213" t="str">
        <f aca="false">IFERROR(IF(Summary!$D$12="Yes",-L160,""),"")</f>
        <v/>
      </c>
      <c r="V160" s="216" t="str">
        <f aca="false">IF('Bulk Order Details'!J170="","",SUM(R160:U160))</f>
        <v/>
      </c>
      <c r="W160" s="217" t="str">
        <f aca="false">IF('Bulk Order Details'!J170="","",D160+Q160)</f>
        <v/>
      </c>
      <c r="X160" s="218" t="str">
        <f aca="false">IF('Bulk Order Details'!J170="","",D160+Q160+V160)</f>
        <v/>
      </c>
      <c r="Y160" s="219" t="str">
        <f aca="false">IFERROR((W160-X160)/W160,"")</f>
        <v/>
      </c>
      <c r="Z160" s="220" t="str">
        <f aca="false">IF('Bulk Order Details'!J170="","",MAX(1,'Bulk Order Details'!D170))</f>
        <v/>
      </c>
      <c r="AA160" s="217" t="str">
        <f aca="false">IF(Pricing_Details[[#This Row],[Quantity]]="","",Pricing_Details[[#This Row],[Retail Price]]*Pricing_Details[[#This Row],[Quantity]])</f>
        <v/>
      </c>
      <c r="AB160" s="217" t="str">
        <f aca="false">IF(Pricing_Details[[#This Row],[Quantity]]="","",Pricing_Details[[#This Row],[Total Discount]]*Pricing_Details[[#This Row],[Quantity]])</f>
        <v/>
      </c>
      <c r="AC160" s="221" t="str">
        <f aca="false">IFERROR(ROUND(Pricing_Details[[#This Row],[Actual Price]]*Pricing_Details[[#This Row],[Quantity]],2),"")</f>
        <v/>
      </c>
      <c r="AE160" s="179" t="str">
        <f aca="false">IF('Bulk Order Details'!J170="","",VLOOKUP('Bulk Order Details'!H170,Collection[],3)&amp;VLOOKUP('Bulk Order Details'!J170,Collar[],4)&amp;VLOOKUP('Bulk Order Details'!I170,Sleeve[],4))</f>
        <v/>
      </c>
      <c r="AF160" s="179" t="str">
        <f aca="false">IF('Bulk Order Details'!J170="","",LOOKUP('Bulk Order Details'!E170,Cut[Display],Cut[Code])&amp;LOOKUP('Bulk Order Details'!F170,#REF!,#REF!)&amp;IF('Bulk Order Details'!G170="","",LOOKUP('Bulk Order Details'!G170,Length[Display],Length[Code])))</f>
        <v/>
      </c>
      <c r="AG160" s="179" t="str">
        <f aca="false">IF('Bulk Order Details'!J170="","",IF('Bulk Order Details'!C170="","",'Bulk Order Details'!C170))</f>
        <v/>
      </c>
      <c r="AH160" s="179" t="str">
        <f aca="false">IF('Bulk Order Details'!O170="","","-"&amp;LOOKUP('Bulk Order Details'!O170,#REF!,#REF!))</f>
        <v/>
      </c>
      <c r="AI160" s="179" t="str">
        <f aca="false">IF('Bulk Order Details'!P170="","","-"&amp;LOOKUP('Bulk Order Details'!P170,#REF!,#REF!))</f>
        <v/>
      </c>
      <c r="AJ160" s="179" t="str">
        <f aca="false">IF('Bulk Order Details'!Q170="","","-"&amp;LOOKUP('Bulk Order Details'!Q170,#REF!,#REF!))</f>
        <v/>
      </c>
      <c r="AK160" s="179" t="str">
        <f aca="false">IF('Bulk Order Details'!R170="","","-"&amp;LOOKUP('Bulk Order Details'!R170,#REF!,#REF!))</f>
        <v/>
      </c>
      <c r="AL160" s="179" t="str">
        <f aca="false">IF('Bulk Order Details'!S170="","","-"&amp;LOOKUP('Bulk Order Details'!S170,#REF!,#REF!))</f>
        <v/>
      </c>
      <c r="AM160" s="179" t="str">
        <f aca="false">IF(_xlfn.CONCAT(AH160:AL160)="","","Lo"&amp;_xlfn.CONCAT(AH160:AL160))</f>
        <v/>
      </c>
      <c r="AN160" s="179" t="str">
        <f aca="false">IF('Bulk Order Details'!K170="","","Na-"&amp;'Bulk Order Details'!K170)</f>
        <v/>
      </c>
      <c r="AO160" s="179" t="str">
        <f aca="false">IF('Bulk Order Details'!N170="","","Fo-"&amp;'Bulk Order Details'!N170)</f>
        <v/>
      </c>
      <c r="AP160" s="179" t="str">
        <f aca="false">IF(AE160="","",AE160&amp;"_"&amp;AF160&amp;"_"&amp;AG160&amp;IF(AM160="","","_"&amp;AM160)&amp;IF(AN160="","","_"&amp;AN160)&amp;IF(AO160="","","_"&amp;AO160))</f>
        <v/>
      </c>
      <c r="AQ160" s="218" t="str">
        <f aca="false">IF(X160="","",X160)</f>
        <v/>
      </c>
    </row>
    <row r="161" customFormat="false" ht="15" hidden="false" customHeight="true" outlineLevel="0" collapsed="false">
      <c r="B161" s="209" t="n">
        <f aca="false">'Bulk Order Details'!B171</f>
        <v>158</v>
      </c>
      <c r="C161" s="209" t="e">
        <f aca="false">IF('bulk order details'!#ref!="","",'bulk order details'!#ref!&amp;" "&amp;'bulk order details'!#ref!)</f>
        <v>#VALUE!</v>
      </c>
      <c r="D161" s="210" t="str">
        <f aca="false">IF('Bulk Order Details'!J171="","",VLOOKUP(1,Price[],3))</f>
        <v/>
      </c>
      <c r="E161" s="211" t="str">
        <f aca="false">IF('Bulk Order Details'!J171="","",Summary!$D$9)</f>
        <v/>
      </c>
      <c r="F161" s="212" t="str">
        <f aca="false">IF('Bulk Order Details'!F171="","",_xlfn.xlookup('Bulk Order Details'!F171,Size[Display],Size[Price]))</f>
        <v/>
      </c>
      <c r="G161" s="212" t="str">
        <f aca="false">IF('Bulk Order Details'!G171="","",_xlfn.xlookup('Bulk Order Details'!G171,Length[Display],Length[Price]))</f>
        <v/>
      </c>
      <c r="H161" s="212" t="str">
        <f aca="false">IF('Bulk Order Details'!H171="","",_xlfn.xlookup('Bulk Order Details'!H171,Collection[Display],Collection[Price]))</f>
        <v/>
      </c>
      <c r="I161" s="212" t="str">
        <f aca="false">IF('Bulk Order Details'!I171="","",_xlfn.xlookup('Bulk Order Details'!I171,Sleeve[Display],Sleeve[Price]))</f>
        <v/>
      </c>
      <c r="J161" s="212" t="str">
        <f aca="false">IF('Bulk Order Details'!J171="","",_xlfn.xlookup('Bulk Order Details'!J171,Collar[Display],Collar[Price]))</f>
        <v/>
      </c>
      <c r="K161" s="212" t="str">
        <f aca="false">IF('Bulk Order Details'!K171="","",_xlfn.xlookup("Name",Name[Name],Name[Price]))</f>
        <v/>
      </c>
      <c r="L161" s="213" t="str">
        <f aca="false">IFERROR(IF('Bulk Order Details'!O171="","",IF(_xlfn.xlookup('Bulk Order Details'!O171,Logos[Display],Logos[Use])="Flat",_xlfn.xlookup('Bulk Order Details'!O171,Logos[Display],Logos[Flat]),ROUND(_xlfn.xlookup('Bulk Order Details'!O171,Logos[Display],Logos[Pct])*$E161,2))),"")</f>
        <v/>
      </c>
      <c r="M161" s="222" t="str">
        <f aca="false">IFERROR(IF('Bulk Order Details'!P171="","",IF(_xlfn.xlookup('Bulk Order Details'!P171,Chest[Display],Chest[Use])="Flat",_xlfn.xlookup('Bulk Order Details'!P171,Chest[Display],Chest[Flat]),ROUND(_xlfn.xlookup('Bulk Order Details'!P171,Chest[Display],Chest[Pct])*$E161,2))),"")</f>
        <v/>
      </c>
      <c r="N161" s="222" t="str">
        <f aca="false">IFERROR(IF('Bulk Order Details'!Q171="","",IF(_xlfn.xlookup('Bulk Order Details'!Q171,Chest[Display],Chest[Use])="Flat",_xlfn.xlookup('Bulk Order Details'!Q171,Chest[Display],Chest[Flat]),ROUND(_xlfn.xlookup('Bulk Order Details'!Q171,Chest[Display],Chest[Pct])*$E161,2))),"")</f>
        <v/>
      </c>
      <c r="O161" s="222" t="str">
        <f aca="false">IFERROR(IF('Bulk Order Details'!R171="","",IF(_xlfn.xlookup('Bulk Order Details'!R171,LeftSleeve[Display],LeftSleeve[Use])="Flat",_xlfn.xlookup('Bulk Order Details'!R171,LeftSleeve[Display],LeftSleeve[Flat]),ROUND(_xlfn.xlookup('Bulk Order Details'!R171,LeftSleeve[Display],LeftSleeve[Pct])*$E161,2))),"")</f>
        <v/>
      </c>
      <c r="P161" s="222" t="str">
        <f aca="false">IFERROR(IF('Bulk Order Details'!S171="","",IF(_xlfn.xlookup('Bulk Order Details'!S171,RightSleeve[Display],RightSleeve[Use])="Flat",_xlfn.xlookup('Bulk Order Details'!S171,RightSleeve[Display],RightSleeve[Flat]),ROUND(_xlfn.xlookup('Bulk Order Details'!S171,RightSleeve[Display],RightSleeve[Pct])*$E161,2))),"")</f>
        <v/>
      </c>
      <c r="Q161" s="214" t="str">
        <f aca="false">IF('Bulk Order Details'!J171="","",SUM(F161:P161))</f>
        <v/>
      </c>
      <c r="R161" s="213" t="str">
        <f aca="false">IFERROR(E161-D161,"")</f>
        <v/>
      </c>
      <c r="S161" s="215" t="str">
        <f aca="false">IFERROR(MIN(IF(Summary!$D$11="Yes",-J161,0),IF(H161&gt;0,-J161,0)),"")</f>
        <v/>
      </c>
      <c r="T161" s="212" t="str">
        <f aca="false">IFERROR(IF(Summary!$D$10="Yes",-K161,""),"")</f>
        <v/>
      </c>
      <c r="U161" s="213" t="str">
        <f aca="false">IFERROR(IF(Summary!$D$12="Yes",-L161,""),"")</f>
        <v/>
      </c>
      <c r="V161" s="216" t="str">
        <f aca="false">IF('Bulk Order Details'!J171="","",SUM(R161:U161))</f>
        <v/>
      </c>
      <c r="W161" s="217" t="str">
        <f aca="false">IF('Bulk Order Details'!J171="","",D161+Q161)</f>
        <v/>
      </c>
      <c r="X161" s="218" t="str">
        <f aca="false">IF('Bulk Order Details'!J171="","",D161+Q161+V161)</f>
        <v/>
      </c>
      <c r="Y161" s="219" t="str">
        <f aca="false">IFERROR((W161-X161)/W161,"")</f>
        <v/>
      </c>
      <c r="Z161" s="220" t="str">
        <f aca="false">IF('Bulk Order Details'!J171="","",MAX(1,'Bulk Order Details'!D171))</f>
        <v/>
      </c>
      <c r="AA161" s="217" t="str">
        <f aca="false">IF(Pricing_Details[[#This Row],[Quantity]]="","",Pricing_Details[[#This Row],[Retail Price]]*Pricing_Details[[#This Row],[Quantity]])</f>
        <v/>
      </c>
      <c r="AB161" s="217" t="str">
        <f aca="false">IF(Pricing_Details[[#This Row],[Quantity]]="","",Pricing_Details[[#This Row],[Total Discount]]*Pricing_Details[[#This Row],[Quantity]])</f>
        <v/>
      </c>
      <c r="AC161" s="221" t="str">
        <f aca="false">IFERROR(ROUND(Pricing_Details[[#This Row],[Actual Price]]*Pricing_Details[[#This Row],[Quantity]],2),"")</f>
        <v/>
      </c>
      <c r="AE161" s="179" t="str">
        <f aca="false">IF('Bulk Order Details'!J171="","",VLOOKUP('Bulk Order Details'!H171,Collection[],3)&amp;VLOOKUP('Bulk Order Details'!J171,Collar[],4)&amp;VLOOKUP('Bulk Order Details'!I171,Sleeve[],4))</f>
        <v/>
      </c>
      <c r="AF161" s="179" t="str">
        <f aca="false">IF('Bulk Order Details'!J171="","",LOOKUP('Bulk Order Details'!E171,Cut[Display],Cut[Code])&amp;LOOKUP('Bulk Order Details'!F171,#REF!,#REF!)&amp;IF('Bulk Order Details'!G171="","",LOOKUP('Bulk Order Details'!G171,Length[Display],Length[Code])))</f>
        <v/>
      </c>
      <c r="AG161" s="179" t="str">
        <f aca="false">IF('Bulk Order Details'!J171="","",IF('Bulk Order Details'!C171="","",'Bulk Order Details'!C171))</f>
        <v/>
      </c>
      <c r="AH161" s="179" t="str">
        <f aca="false">IF('Bulk Order Details'!O171="","","-"&amp;LOOKUP('Bulk Order Details'!O171,#REF!,#REF!))</f>
        <v/>
      </c>
      <c r="AI161" s="179" t="str">
        <f aca="false">IF('Bulk Order Details'!P171="","","-"&amp;LOOKUP('Bulk Order Details'!P171,#REF!,#REF!))</f>
        <v/>
      </c>
      <c r="AJ161" s="179" t="str">
        <f aca="false">IF('Bulk Order Details'!Q171="","","-"&amp;LOOKUP('Bulk Order Details'!Q171,#REF!,#REF!))</f>
        <v/>
      </c>
      <c r="AK161" s="179" t="str">
        <f aca="false">IF('Bulk Order Details'!R171="","","-"&amp;LOOKUP('Bulk Order Details'!R171,#REF!,#REF!))</f>
        <v/>
      </c>
      <c r="AL161" s="179" t="str">
        <f aca="false">IF('Bulk Order Details'!S171="","","-"&amp;LOOKUP('Bulk Order Details'!S171,#REF!,#REF!))</f>
        <v/>
      </c>
      <c r="AM161" s="179" t="str">
        <f aca="false">IF(_xlfn.CONCAT(AH161:AL161)="","","Lo"&amp;_xlfn.CONCAT(AH161:AL161))</f>
        <v/>
      </c>
      <c r="AN161" s="179" t="str">
        <f aca="false">IF('Bulk Order Details'!K171="","","Na-"&amp;'Bulk Order Details'!K171)</f>
        <v/>
      </c>
      <c r="AO161" s="179" t="str">
        <f aca="false">IF('Bulk Order Details'!N171="","","Fo-"&amp;'Bulk Order Details'!N171)</f>
        <v/>
      </c>
      <c r="AP161" s="179" t="str">
        <f aca="false">IF(AE161="","",AE161&amp;"_"&amp;AF161&amp;"_"&amp;AG161&amp;IF(AM161="","","_"&amp;AM161)&amp;IF(AN161="","","_"&amp;AN161)&amp;IF(AO161="","","_"&amp;AO161))</f>
        <v/>
      </c>
      <c r="AQ161" s="218" t="str">
        <f aca="false">IF(X161="","",X161)</f>
        <v/>
      </c>
    </row>
    <row r="162" customFormat="false" ht="15" hidden="false" customHeight="true" outlineLevel="0" collapsed="false">
      <c r="B162" s="209" t="n">
        <f aca="false">'Bulk Order Details'!B172</f>
        <v>159</v>
      </c>
      <c r="C162" s="209" t="e">
        <f aca="false">IF('bulk order details'!#ref!="","",'bulk order details'!#ref!&amp;" "&amp;'bulk order details'!#ref!)</f>
        <v>#VALUE!</v>
      </c>
      <c r="D162" s="210" t="str">
        <f aca="false">IF('Bulk Order Details'!J172="","",VLOOKUP(1,Price[],3))</f>
        <v/>
      </c>
      <c r="E162" s="211" t="str">
        <f aca="false">IF('Bulk Order Details'!J172="","",Summary!$D$9)</f>
        <v/>
      </c>
      <c r="F162" s="212" t="str">
        <f aca="false">IF('Bulk Order Details'!F172="","",_xlfn.xlookup('Bulk Order Details'!F172,Size[Display],Size[Price]))</f>
        <v/>
      </c>
      <c r="G162" s="212" t="str">
        <f aca="false">IF('Bulk Order Details'!G172="","",_xlfn.xlookup('Bulk Order Details'!G172,Length[Display],Length[Price]))</f>
        <v/>
      </c>
      <c r="H162" s="212" t="str">
        <f aca="false">IF('Bulk Order Details'!H172="","",_xlfn.xlookup('Bulk Order Details'!H172,Collection[Display],Collection[Price]))</f>
        <v/>
      </c>
      <c r="I162" s="212" t="str">
        <f aca="false">IF('Bulk Order Details'!I172="","",_xlfn.xlookup('Bulk Order Details'!I172,Sleeve[Display],Sleeve[Price]))</f>
        <v/>
      </c>
      <c r="J162" s="212" t="str">
        <f aca="false">IF('Bulk Order Details'!J172="","",_xlfn.xlookup('Bulk Order Details'!J172,Collar[Display],Collar[Price]))</f>
        <v/>
      </c>
      <c r="K162" s="212" t="str">
        <f aca="false">IF('Bulk Order Details'!K172="","",_xlfn.xlookup("Name",Name[Name],Name[Price]))</f>
        <v/>
      </c>
      <c r="L162" s="213" t="str">
        <f aca="false">IFERROR(IF('Bulk Order Details'!O172="","",IF(_xlfn.xlookup('Bulk Order Details'!O172,Logos[Display],Logos[Use])="Flat",_xlfn.xlookup('Bulk Order Details'!O172,Logos[Display],Logos[Flat]),ROUND(_xlfn.xlookup('Bulk Order Details'!O172,Logos[Display],Logos[Pct])*$E162,2))),"")</f>
        <v/>
      </c>
      <c r="M162" s="222" t="str">
        <f aca="false">IFERROR(IF('Bulk Order Details'!P172="","",IF(_xlfn.xlookup('Bulk Order Details'!P172,Chest[Display],Chest[Use])="Flat",_xlfn.xlookup('Bulk Order Details'!P172,Chest[Display],Chest[Flat]),ROUND(_xlfn.xlookup('Bulk Order Details'!P172,Chest[Display],Chest[Pct])*$E162,2))),"")</f>
        <v/>
      </c>
      <c r="N162" s="222" t="str">
        <f aca="false">IFERROR(IF('Bulk Order Details'!Q172="","",IF(_xlfn.xlookup('Bulk Order Details'!Q172,Chest[Display],Chest[Use])="Flat",_xlfn.xlookup('Bulk Order Details'!Q172,Chest[Display],Chest[Flat]),ROUND(_xlfn.xlookup('Bulk Order Details'!Q172,Chest[Display],Chest[Pct])*$E162,2))),"")</f>
        <v/>
      </c>
      <c r="O162" s="222" t="str">
        <f aca="false">IFERROR(IF('Bulk Order Details'!R172="","",IF(_xlfn.xlookup('Bulk Order Details'!R172,LeftSleeve[Display],LeftSleeve[Use])="Flat",_xlfn.xlookup('Bulk Order Details'!R172,LeftSleeve[Display],LeftSleeve[Flat]),ROUND(_xlfn.xlookup('Bulk Order Details'!R172,LeftSleeve[Display],LeftSleeve[Pct])*$E162,2))),"")</f>
        <v/>
      </c>
      <c r="P162" s="222" t="str">
        <f aca="false">IFERROR(IF('Bulk Order Details'!S172="","",IF(_xlfn.xlookup('Bulk Order Details'!S172,RightSleeve[Display],RightSleeve[Use])="Flat",_xlfn.xlookup('Bulk Order Details'!S172,RightSleeve[Display],RightSleeve[Flat]),ROUND(_xlfn.xlookup('Bulk Order Details'!S172,RightSleeve[Display],RightSleeve[Pct])*$E162,2))),"")</f>
        <v/>
      </c>
      <c r="Q162" s="214" t="str">
        <f aca="false">IF('Bulk Order Details'!J172="","",SUM(F162:P162))</f>
        <v/>
      </c>
      <c r="R162" s="213" t="str">
        <f aca="false">IFERROR(E162-D162,"")</f>
        <v/>
      </c>
      <c r="S162" s="215" t="str">
        <f aca="false">IFERROR(MIN(IF(Summary!$D$11="Yes",-J162,0),IF(H162&gt;0,-J162,0)),"")</f>
        <v/>
      </c>
      <c r="T162" s="212" t="str">
        <f aca="false">IFERROR(IF(Summary!$D$10="Yes",-K162,""),"")</f>
        <v/>
      </c>
      <c r="U162" s="213" t="str">
        <f aca="false">IFERROR(IF(Summary!$D$12="Yes",-L162,""),"")</f>
        <v/>
      </c>
      <c r="V162" s="216" t="str">
        <f aca="false">IF('Bulk Order Details'!J172="","",SUM(R162:U162))</f>
        <v/>
      </c>
      <c r="W162" s="217" t="str">
        <f aca="false">IF('Bulk Order Details'!J172="","",D162+Q162)</f>
        <v/>
      </c>
      <c r="X162" s="218" t="str">
        <f aca="false">IF('Bulk Order Details'!J172="","",D162+Q162+V162)</f>
        <v/>
      </c>
      <c r="Y162" s="219" t="str">
        <f aca="false">IFERROR((W162-X162)/W162,"")</f>
        <v/>
      </c>
      <c r="Z162" s="220" t="str">
        <f aca="false">IF('Bulk Order Details'!J172="","",MAX(1,'Bulk Order Details'!D172))</f>
        <v/>
      </c>
      <c r="AA162" s="217" t="str">
        <f aca="false">IF(Pricing_Details[[#This Row],[Quantity]]="","",Pricing_Details[[#This Row],[Retail Price]]*Pricing_Details[[#This Row],[Quantity]])</f>
        <v/>
      </c>
      <c r="AB162" s="217" t="str">
        <f aca="false">IF(Pricing_Details[[#This Row],[Quantity]]="","",Pricing_Details[[#This Row],[Total Discount]]*Pricing_Details[[#This Row],[Quantity]])</f>
        <v/>
      </c>
      <c r="AC162" s="221" t="str">
        <f aca="false">IFERROR(ROUND(Pricing_Details[[#This Row],[Actual Price]]*Pricing_Details[[#This Row],[Quantity]],2),"")</f>
        <v/>
      </c>
      <c r="AE162" s="179" t="str">
        <f aca="false">IF('Bulk Order Details'!J172="","",VLOOKUP('Bulk Order Details'!H172,Collection[],3)&amp;VLOOKUP('Bulk Order Details'!J172,Collar[],4)&amp;VLOOKUP('Bulk Order Details'!I172,Sleeve[],4))</f>
        <v/>
      </c>
      <c r="AF162" s="179" t="str">
        <f aca="false">IF('Bulk Order Details'!J172="","",LOOKUP('Bulk Order Details'!E172,Cut[Display],Cut[Code])&amp;LOOKUP('Bulk Order Details'!F172,#REF!,#REF!)&amp;IF('Bulk Order Details'!G172="","",LOOKUP('Bulk Order Details'!G172,Length[Display],Length[Code])))</f>
        <v/>
      </c>
      <c r="AG162" s="179" t="str">
        <f aca="false">IF('Bulk Order Details'!J172="","",IF('Bulk Order Details'!C172="","",'Bulk Order Details'!C172))</f>
        <v/>
      </c>
      <c r="AH162" s="179" t="str">
        <f aca="false">IF('Bulk Order Details'!O172="","","-"&amp;LOOKUP('Bulk Order Details'!O172,#REF!,#REF!))</f>
        <v/>
      </c>
      <c r="AI162" s="179" t="str">
        <f aca="false">IF('Bulk Order Details'!P172="","","-"&amp;LOOKUP('Bulk Order Details'!P172,#REF!,#REF!))</f>
        <v/>
      </c>
      <c r="AJ162" s="179" t="str">
        <f aca="false">IF('Bulk Order Details'!Q172="","","-"&amp;LOOKUP('Bulk Order Details'!Q172,#REF!,#REF!))</f>
        <v/>
      </c>
      <c r="AK162" s="179" t="str">
        <f aca="false">IF('Bulk Order Details'!R172="","","-"&amp;LOOKUP('Bulk Order Details'!R172,#REF!,#REF!))</f>
        <v/>
      </c>
      <c r="AL162" s="179" t="str">
        <f aca="false">IF('Bulk Order Details'!S172="","","-"&amp;LOOKUP('Bulk Order Details'!S172,#REF!,#REF!))</f>
        <v/>
      </c>
      <c r="AM162" s="179" t="str">
        <f aca="false">IF(_xlfn.CONCAT(AH162:AL162)="","","Lo"&amp;_xlfn.CONCAT(AH162:AL162))</f>
        <v/>
      </c>
      <c r="AN162" s="179" t="str">
        <f aca="false">IF('Bulk Order Details'!K172="","","Na-"&amp;'Bulk Order Details'!K172)</f>
        <v/>
      </c>
      <c r="AO162" s="179" t="str">
        <f aca="false">IF('Bulk Order Details'!N172="","","Fo-"&amp;'Bulk Order Details'!N172)</f>
        <v/>
      </c>
      <c r="AP162" s="179" t="str">
        <f aca="false">IF(AE162="","",AE162&amp;"_"&amp;AF162&amp;"_"&amp;AG162&amp;IF(AM162="","","_"&amp;AM162)&amp;IF(AN162="","","_"&amp;AN162)&amp;IF(AO162="","","_"&amp;AO162))</f>
        <v/>
      </c>
      <c r="AQ162" s="218" t="str">
        <f aca="false">IF(X162="","",X162)</f>
        <v/>
      </c>
    </row>
    <row r="163" customFormat="false" ht="15" hidden="false" customHeight="true" outlineLevel="0" collapsed="false">
      <c r="B163" s="209" t="n">
        <f aca="false">'Bulk Order Details'!B173</f>
        <v>160</v>
      </c>
      <c r="C163" s="209" t="e">
        <f aca="false">IF('bulk order details'!#ref!="","",'bulk order details'!#ref!&amp;" "&amp;'bulk order details'!#ref!)</f>
        <v>#VALUE!</v>
      </c>
      <c r="D163" s="210" t="str">
        <f aca="false">IF('Bulk Order Details'!J173="","",VLOOKUP(1,Price[],3))</f>
        <v/>
      </c>
      <c r="E163" s="211" t="str">
        <f aca="false">IF('Bulk Order Details'!J173="","",Summary!$D$9)</f>
        <v/>
      </c>
      <c r="F163" s="212" t="str">
        <f aca="false">IF('Bulk Order Details'!F173="","",_xlfn.xlookup('Bulk Order Details'!F173,Size[Display],Size[Price]))</f>
        <v/>
      </c>
      <c r="G163" s="212" t="str">
        <f aca="false">IF('Bulk Order Details'!G173="","",_xlfn.xlookup('Bulk Order Details'!G173,Length[Display],Length[Price]))</f>
        <v/>
      </c>
      <c r="H163" s="212" t="str">
        <f aca="false">IF('Bulk Order Details'!H173="","",_xlfn.xlookup('Bulk Order Details'!H173,Collection[Display],Collection[Price]))</f>
        <v/>
      </c>
      <c r="I163" s="212" t="str">
        <f aca="false">IF('Bulk Order Details'!I173="","",_xlfn.xlookup('Bulk Order Details'!I173,Sleeve[Display],Sleeve[Price]))</f>
        <v/>
      </c>
      <c r="J163" s="212" t="str">
        <f aca="false">IF('Bulk Order Details'!J173="","",_xlfn.xlookup('Bulk Order Details'!J173,Collar[Display],Collar[Price]))</f>
        <v/>
      </c>
      <c r="K163" s="212" t="str">
        <f aca="false">IF('Bulk Order Details'!K173="","",_xlfn.xlookup("Name",Name[Name],Name[Price]))</f>
        <v/>
      </c>
      <c r="L163" s="213" t="str">
        <f aca="false">IFERROR(IF('Bulk Order Details'!O173="","",IF(_xlfn.xlookup('Bulk Order Details'!O173,Logos[Display],Logos[Use])="Flat",_xlfn.xlookup('Bulk Order Details'!O173,Logos[Display],Logos[Flat]),ROUND(_xlfn.xlookup('Bulk Order Details'!O173,Logos[Display],Logos[Pct])*$E163,2))),"")</f>
        <v/>
      </c>
      <c r="M163" s="222" t="str">
        <f aca="false">IFERROR(IF('Bulk Order Details'!P173="","",IF(_xlfn.xlookup('Bulk Order Details'!P173,Chest[Display],Chest[Use])="Flat",_xlfn.xlookup('Bulk Order Details'!P173,Chest[Display],Chest[Flat]),ROUND(_xlfn.xlookup('Bulk Order Details'!P173,Chest[Display],Chest[Pct])*$E163,2))),"")</f>
        <v/>
      </c>
      <c r="N163" s="222" t="str">
        <f aca="false">IFERROR(IF('Bulk Order Details'!Q173="","",IF(_xlfn.xlookup('Bulk Order Details'!Q173,Chest[Display],Chest[Use])="Flat",_xlfn.xlookup('Bulk Order Details'!Q173,Chest[Display],Chest[Flat]),ROUND(_xlfn.xlookup('Bulk Order Details'!Q173,Chest[Display],Chest[Pct])*$E163,2))),"")</f>
        <v/>
      </c>
      <c r="O163" s="222" t="str">
        <f aca="false">IFERROR(IF('Bulk Order Details'!R173="","",IF(_xlfn.xlookup('Bulk Order Details'!R173,LeftSleeve[Display],LeftSleeve[Use])="Flat",_xlfn.xlookup('Bulk Order Details'!R173,LeftSleeve[Display],LeftSleeve[Flat]),ROUND(_xlfn.xlookup('Bulk Order Details'!R173,LeftSleeve[Display],LeftSleeve[Pct])*$E163,2))),"")</f>
        <v/>
      </c>
      <c r="P163" s="222" t="str">
        <f aca="false">IFERROR(IF('Bulk Order Details'!S173="","",IF(_xlfn.xlookup('Bulk Order Details'!S173,RightSleeve[Display],RightSleeve[Use])="Flat",_xlfn.xlookup('Bulk Order Details'!S173,RightSleeve[Display],RightSleeve[Flat]),ROUND(_xlfn.xlookup('Bulk Order Details'!S173,RightSleeve[Display],RightSleeve[Pct])*$E163,2))),"")</f>
        <v/>
      </c>
      <c r="Q163" s="214" t="str">
        <f aca="false">IF('Bulk Order Details'!J173="","",SUM(F163:P163))</f>
        <v/>
      </c>
      <c r="R163" s="213" t="str">
        <f aca="false">IFERROR(E163-D163,"")</f>
        <v/>
      </c>
      <c r="S163" s="215" t="str">
        <f aca="false">IFERROR(MIN(IF(Summary!$D$11="Yes",-J163,0),IF(H163&gt;0,-J163,0)),"")</f>
        <v/>
      </c>
      <c r="T163" s="212" t="str">
        <f aca="false">IFERROR(IF(Summary!$D$10="Yes",-K163,""),"")</f>
        <v/>
      </c>
      <c r="U163" s="213" t="str">
        <f aca="false">IFERROR(IF(Summary!$D$12="Yes",-L163,""),"")</f>
        <v/>
      </c>
      <c r="V163" s="216" t="str">
        <f aca="false">IF('Bulk Order Details'!J173="","",SUM(R163:U163))</f>
        <v/>
      </c>
      <c r="W163" s="217" t="str">
        <f aca="false">IF('Bulk Order Details'!J173="","",D163+Q163)</f>
        <v/>
      </c>
      <c r="X163" s="218" t="str">
        <f aca="false">IF('Bulk Order Details'!J173="","",D163+Q163+V163)</f>
        <v/>
      </c>
      <c r="Y163" s="219" t="str">
        <f aca="false">IFERROR((W163-X163)/W163,"")</f>
        <v/>
      </c>
      <c r="Z163" s="220" t="str">
        <f aca="false">IF('Bulk Order Details'!J173="","",MAX(1,'Bulk Order Details'!D173))</f>
        <v/>
      </c>
      <c r="AA163" s="217" t="str">
        <f aca="false">IF(Pricing_Details[[#This Row],[Quantity]]="","",Pricing_Details[[#This Row],[Retail Price]]*Pricing_Details[[#This Row],[Quantity]])</f>
        <v/>
      </c>
      <c r="AB163" s="217" t="str">
        <f aca="false">IF(Pricing_Details[[#This Row],[Quantity]]="","",Pricing_Details[[#This Row],[Total Discount]]*Pricing_Details[[#This Row],[Quantity]])</f>
        <v/>
      </c>
      <c r="AC163" s="221" t="str">
        <f aca="false">IFERROR(ROUND(Pricing_Details[[#This Row],[Actual Price]]*Pricing_Details[[#This Row],[Quantity]],2),"")</f>
        <v/>
      </c>
      <c r="AE163" s="179" t="str">
        <f aca="false">IF('Bulk Order Details'!J173="","",VLOOKUP('Bulk Order Details'!H173,Collection[],3)&amp;VLOOKUP('Bulk Order Details'!J173,Collar[],4)&amp;VLOOKUP('Bulk Order Details'!I173,Sleeve[],4))</f>
        <v/>
      </c>
      <c r="AF163" s="179" t="str">
        <f aca="false">IF('Bulk Order Details'!J173="","",LOOKUP('Bulk Order Details'!E173,Cut[Display],Cut[Code])&amp;LOOKUP('Bulk Order Details'!F173,#REF!,#REF!)&amp;IF('Bulk Order Details'!G173="","",LOOKUP('Bulk Order Details'!G173,Length[Display],Length[Code])))</f>
        <v/>
      </c>
      <c r="AG163" s="179" t="str">
        <f aca="false">IF('Bulk Order Details'!J173="","",IF('Bulk Order Details'!C173="","",'Bulk Order Details'!C173))</f>
        <v/>
      </c>
      <c r="AH163" s="179" t="str">
        <f aca="false">IF('Bulk Order Details'!O173="","","-"&amp;LOOKUP('Bulk Order Details'!O173,#REF!,#REF!))</f>
        <v/>
      </c>
      <c r="AI163" s="179" t="str">
        <f aca="false">IF('Bulk Order Details'!P173="","","-"&amp;LOOKUP('Bulk Order Details'!P173,#REF!,#REF!))</f>
        <v/>
      </c>
      <c r="AJ163" s="179" t="str">
        <f aca="false">IF('Bulk Order Details'!Q173="","","-"&amp;LOOKUP('Bulk Order Details'!Q173,#REF!,#REF!))</f>
        <v/>
      </c>
      <c r="AK163" s="179" t="str">
        <f aca="false">IF('Bulk Order Details'!R173="","","-"&amp;LOOKUP('Bulk Order Details'!R173,#REF!,#REF!))</f>
        <v/>
      </c>
      <c r="AL163" s="179" t="str">
        <f aca="false">IF('Bulk Order Details'!S173="","","-"&amp;LOOKUP('Bulk Order Details'!S173,#REF!,#REF!))</f>
        <v/>
      </c>
      <c r="AM163" s="179" t="str">
        <f aca="false">IF(_xlfn.CONCAT(AH163:AL163)="","","Lo"&amp;_xlfn.CONCAT(AH163:AL163))</f>
        <v/>
      </c>
      <c r="AN163" s="179" t="str">
        <f aca="false">IF('Bulk Order Details'!K173="","","Na-"&amp;'Bulk Order Details'!K173)</f>
        <v/>
      </c>
      <c r="AO163" s="179" t="str">
        <f aca="false">IF('Bulk Order Details'!N173="","","Fo-"&amp;'Bulk Order Details'!N173)</f>
        <v/>
      </c>
      <c r="AP163" s="179" t="str">
        <f aca="false">IF(AE163="","",AE163&amp;"_"&amp;AF163&amp;"_"&amp;AG163&amp;IF(AM163="","","_"&amp;AM163)&amp;IF(AN163="","","_"&amp;AN163)&amp;IF(AO163="","","_"&amp;AO163))</f>
        <v/>
      </c>
      <c r="AQ163" s="218" t="str">
        <f aca="false">IF(X163="","",X163)</f>
        <v/>
      </c>
    </row>
    <row r="164" customFormat="false" ht="15" hidden="false" customHeight="true" outlineLevel="0" collapsed="false">
      <c r="B164" s="209" t="n">
        <f aca="false">'Bulk Order Details'!B174</f>
        <v>161</v>
      </c>
      <c r="C164" s="209" t="e">
        <f aca="false">IF('bulk order details'!#ref!="","",'bulk order details'!#ref!&amp;" "&amp;'bulk order details'!#ref!)</f>
        <v>#VALUE!</v>
      </c>
      <c r="D164" s="210" t="str">
        <f aca="false">IF('Bulk Order Details'!J174="","",VLOOKUP(1,Price[],3))</f>
        <v/>
      </c>
      <c r="E164" s="211" t="str">
        <f aca="false">IF('Bulk Order Details'!J174="","",Summary!$D$9)</f>
        <v/>
      </c>
      <c r="F164" s="212" t="str">
        <f aca="false">IF('Bulk Order Details'!F174="","",_xlfn.xlookup('Bulk Order Details'!F174,Size[Display],Size[Price]))</f>
        <v/>
      </c>
      <c r="G164" s="212" t="str">
        <f aca="false">IF('Bulk Order Details'!G174="","",_xlfn.xlookup('Bulk Order Details'!G174,Length[Display],Length[Price]))</f>
        <v/>
      </c>
      <c r="H164" s="212" t="str">
        <f aca="false">IF('Bulk Order Details'!H174="","",_xlfn.xlookup('Bulk Order Details'!H174,Collection[Display],Collection[Price]))</f>
        <v/>
      </c>
      <c r="I164" s="212" t="str">
        <f aca="false">IF('Bulk Order Details'!I174="","",_xlfn.xlookup('Bulk Order Details'!I174,Sleeve[Display],Sleeve[Price]))</f>
        <v/>
      </c>
      <c r="J164" s="212" t="str">
        <f aca="false">IF('Bulk Order Details'!J174="","",_xlfn.xlookup('Bulk Order Details'!J174,Collar[Display],Collar[Price]))</f>
        <v/>
      </c>
      <c r="K164" s="212" t="str">
        <f aca="false">IF('Bulk Order Details'!K174="","",_xlfn.xlookup("Name",Name[Name],Name[Price]))</f>
        <v/>
      </c>
      <c r="L164" s="213" t="str">
        <f aca="false">IFERROR(IF('Bulk Order Details'!O174="","",IF(_xlfn.xlookup('Bulk Order Details'!O174,Logos[Display],Logos[Use])="Flat",_xlfn.xlookup('Bulk Order Details'!O174,Logos[Display],Logos[Flat]),ROUND(_xlfn.xlookup('Bulk Order Details'!O174,Logos[Display],Logos[Pct])*$E164,2))),"")</f>
        <v/>
      </c>
      <c r="M164" s="222" t="str">
        <f aca="false">IFERROR(IF('Bulk Order Details'!P174="","",IF(_xlfn.xlookup('Bulk Order Details'!P174,Chest[Display],Chest[Use])="Flat",_xlfn.xlookup('Bulk Order Details'!P174,Chest[Display],Chest[Flat]),ROUND(_xlfn.xlookup('Bulk Order Details'!P174,Chest[Display],Chest[Pct])*$E164,2))),"")</f>
        <v/>
      </c>
      <c r="N164" s="222" t="str">
        <f aca="false">IFERROR(IF('Bulk Order Details'!Q174="","",IF(_xlfn.xlookup('Bulk Order Details'!Q174,Chest[Display],Chest[Use])="Flat",_xlfn.xlookup('Bulk Order Details'!Q174,Chest[Display],Chest[Flat]),ROUND(_xlfn.xlookup('Bulk Order Details'!Q174,Chest[Display],Chest[Pct])*$E164,2))),"")</f>
        <v/>
      </c>
      <c r="O164" s="222" t="str">
        <f aca="false">IFERROR(IF('Bulk Order Details'!R174="","",IF(_xlfn.xlookup('Bulk Order Details'!R174,LeftSleeve[Display],LeftSleeve[Use])="Flat",_xlfn.xlookup('Bulk Order Details'!R174,LeftSleeve[Display],LeftSleeve[Flat]),ROUND(_xlfn.xlookup('Bulk Order Details'!R174,LeftSleeve[Display],LeftSleeve[Pct])*$E164,2))),"")</f>
        <v/>
      </c>
      <c r="P164" s="222" t="str">
        <f aca="false">IFERROR(IF('Bulk Order Details'!S174="","",IF(_xlfn.xlookup('Bulk Order Details'!S174,RightSleeve[Display],RightSleeve[Use])="Flat",_xlfn.xlookup('Bulk Order Details'!S174,RightSleeve[Display],RightSleeve[Flat]),ROUND(_xlfn.xlookup('Bulk Order Details'!S174,RightSleeve[Display],RightSleeve[Pct])*$E164,2))),"")</f>
        <v/>
      </c>
      <c r="Q164" s="214" t="str">
        <f aca="false">IF('Bulk Order Details'!J174="","",SUM(F164:P164))</f>
        <v/>
      </c>
      <c r="R164" s="213" t="str">
        <f aca="false">IFERROR(E164-D164,"")</f>
        <v/>
      </c>
      <c r="S164" s="215" t="str">
        <f aca="false">IFERROR(MIN(IF(Summary!$D$11="Yes",-J164,0),IF(H164&gt;0,-J164,0)),"")</f>
        <v/>
      </c>
      <c r="T164" s="212" t="str">
        <f aca="false">IFERROR(IF(Summary!$D$10="Yes",-K164,""),"")</f>
        <v/>
      </c>
      <c r="U164" s="213" t="str">
        <f aca="false">IFERROR(IF(Summary!$D$12="Yes",-L164,""),"")</f>
        <v/>
      </c>
      <c r="V164" s="216" t="str">
        <f aca="false">IF('Bulk Order Details'!J174="","",SUM(R164:U164))</f>
        <v/>
      </c>
      <c r="W164" s="217" t="str">
        <f aca="false">IF('Bulk Order Details'!J174="","",D164+Q164)</f>
        <v/>
      </c>
      <c r="X164" s="218" t="str">
        <f aca="false">IF('Bulk Order Details'!J174="","",D164+Q164+V164)</f>
        <v/>
      </c>
      <c r="Y164" s="219" t="str">
        <f aca="false">IFERROR((W164-X164)/W164,"")</f>
        <v/>
      </c>
      <c r="Z164" s="220" t="str">
        <f aca="false">IF('Bulk Order Details'!J174="","",MAX(1,'Bulk Order Details'!D174))</f>
        <v/>
      </c>
      <c r="AA164" s="217" t="str">
        <f aca="false">IF(Pricing_Details[[#This Row],[Quantity]]="","",Pricing_Details[[#This Row],[Retail Price]]*Pricing_Details[[#This Row],[Quantity]])</f>
        <v/>
      </c>
      <c r="AB164" s="217" t="str">
        <f aca="false">IF(Pricing_Details[[#This Row],[Quantity]]="","",Pricing_Details[[#This Row],[Total Discount]]*Pricing_Details[[#This Row],[Quantity]])</f>
        <v/>
      </c>
      <c r="AC164" s="221" t="str">
        <f aca="false">IFERROR(ROUND(Pricing_Details[[#This Row],[Actual Price]]*Pricing_Details[[#This Row],[Quantity]],2),"")</f>
        <v/>
      </c>
      <c r="AE164" s="179" t="str">
        <f aca="false">IF('Bulk Order Details'!J174="","",VLOOKUP('Bulk Order Details'!H174,Collection[],3)&amp;VLOOKUP('Bulk Order Details'!J174,Collar[],4)&amp;VLOOKUP('Bulk Order Details'!I174,Sleeve[],4))</f>
        <v/>
      </c>
      <c r="AF164" s="179" t="str">
        <f aca="false">IF('Bulk Order Details'!J174="","",LOOKUP('Bulk Order Details'!E174,Cut[Display],Cut[Code])&amp;LOOKUP('Bulk Order Details'!F174,#REF!,#REF!)&amp;IF('Bulk Order Details'!G174="","",LOOKUP('Bulk Order Details'!G174,Length[Display],Length[Code])))</f>
        <v/>
      </c>
      <c r="AG164" s="179" t="str">
        <f aca="false">IF('Bulk Order Details'!J174="","",IF('Bulk Order Details'!C174="","",'Bulk Order Details'!C174))</f>
        <v/>
      </c>
      <c r="AH164" s="179" t="str">
        <f aca="false">IF('Bulk Order Details'!O174="","","-"&amp;LOOKUP('Bulk Order Details'!O174,#REF!,#REF!))</f>
        <v/>
      </c>
      <c r="AI164" s="179" t="str">
        <f aca="false">IF('Bulk Order Details'!P174="","","-"&amp;LOOKUP('Bulk Order Details'!P174,#REF!,#REF!))</f>
        <v/>
      </c>
      <c r="AJ164" s="179" t="str">
        <f aca="false">IF('Bulk Order Details'!Q174="","","-"&amp;LOOKUP('Bulk Order Details'!Q174,#REF!,#REF!))</f>
        <v/>
      </c>
      <c r="AK164" s="179" t="str">
        <f aca="false">IF('Bulk Order Details'!R174="","","-"&amp;LOOKUP('Bulk Order Details'!R174,#REF!,#REF!))</f>
        <v/>
      </c>
      <c r="AL164" s="179" t="str">
        <f aca="false">IF('Bulk Order Details'!S174="","","-"&amp;LOOKUP('Bulk Order Details'!S174,#REF!,#REF!))</f>
        <v/>
      </c>
      <c r="AM164" s="179" t="str">
        <f aca="false">IF(_xlfn.CONCAT(AH164:AL164)="","","Lo"&amp;_xlfn.CONCAT(AH164:AL164))</f>
        <v/>
      </c>
      <c r="AN164" s="179" t="str">
        <f aca="false">IF('Bulk Order Details'!K174="","","Na-"&amp;'Bulk Order Details'!K174)</f>
        <v/>
      </c>
      <c r="AO164" s="179" t="str">
        <f aca="false">IF('Bulk Order Details'!N174="","","Fo-"&amp;'Bulk Order Details'!N174)</f>
        <v/>
      </c>
      <c r="AP164" s="179" t="str">
        <f aca="false">IF(AE164="","",AE164&amp;"_"&amp;AF164&amp;"_"&amp;AG164&amp;IF(AM164="","","_"&amp;AM164)&amp;IF(AN164="","","_"&amp;AN164)&amp;IF(AO164="","","_"&amp;AO164))</f>
        <v/>
      </c>
      <c r="AQ164" s="218" t="str">
        <f aca="false">IF(X164="","",X164)</f>
        <v/>
      </c>
    </row>
    <row r="165" customFormat="false" ht="15" hidden="false" customHeight="true" outlineLevel="0" collapsed="false">
      <c r="B165" s="209" t="n">
        <f aca="false">'Bulk Order Details'!B175</f>
        <v>162</v>
      </c>
      <c r="C165" s="209" t="e">
        <f aca="false">IF('bulk order details'!#ref!="","",'bulk order details'!#ref!&amp;" "&amp;'bulk order details'!#ref!)</f>
        <v>#VALUE!</v>
      </c>
      <c r="D165" s="210" t="str">
        <f aca="false">IF('Bulk Order Details'!J175="","",VLOOKUP(1,Price[],3))</f>
        <v/>
      </c>
      <c r="E165" s="211" t="str">
        <f aca="false">IF('Bulk Order Details'!J175="","",Summary!$D$9)</f>
        <v/>
      </c>
      <c r="F165" s="212" t="str">
        <f aca="false">IF('Bulk Order Details'!F175="","",_xlfn.xlookup('Bulk Order Details'!F175,Size[Display],Size[Price]))</f>
        <v/>
      </c>
      <c r="G165" s="212" t="str">
        <f aca="false">IF('Bulk Order Details'!G175="","",_xlfn.xlookup('Bulk Order Details'!G175,Length[Display],Length[Price]))</f>
        <v/>
      </c>
      <c r="H165" s="212" t="str">
        <f aca="false">IF('Bulk Order Details'!H175="","",_xlfn.xlookup('Bulk Order Details'!H175,Collection[Display],Collection[Price]))</f>
        <v/>
      </c>
      <c r="I165" s="212" t="str">
        <f aca="false">IF('Bulk Order Details'!I175="","",_xlfn.xlookup('Bulk Order Details'!I175,Sleeve[Display],Sleeve[Price]))</f>
        <v/>
      </c>
      <c r="J165" s="212" t="str">
        <f aca="false">IF('Bulk Order Details'!J175="","",_xlfn.xlookup('Bulk Order Details'!J175,Collar[Display],Collar[Price]))</f>
        <v/>
      </c>
      <c r="K165" s="212" t="str">
        <f aca="false">IF('Bulk Order Details'!K175="","",_xlfn.xlookup("Name",Name[Name],Name[Price]))</f>
        <v/>
      </c>
      <c r="L165" s="213" t="str">
        <f aca="false">IFERROR(IF('Bulk Order Details'!O175="","",IF(_xlfn.xlookup('Bulk Order Details'!O175,Logos[Display],Logos[Use])="Flat",_xlfn.xlookup('Bulk Order Details'!O175,Logos[Display],Logos[Flat]),ROUND(_xlfn.xlookup('Bulk Order Details'!O175,Logos[Display],Logos[Pct])*$E165,2))),"")</f>
        <v/>
      </c>
      <c r="M165" s="222" t="str">
        <f aca="false">IFERROR(IF('Bulk Order Details'!P175="","",IF(_xlfn.xlookup('Bulk Order Details'!P175,Chest[Display],Chest[Use])="Flat",_xlfn.xlookup('Bulk Order Details'!P175,Chest[Display],Chest[Flat]),ROUND(_xlfn.xlookup('Bulk Order Details'!P175,Chest[Display],Chest[Pct])*$E165,2))),"")</f>
        <v/>
      </c>
      <c r="N165" s="222" t="str">
        <f aca="false">IFERROR(IF('Bulk Order Details'!Q175="","",IF(_xlfn.xlookup('Bulk Order Details'!Q175,Chest[Display],Chest[Use])="Flat",_xlfn.xlookup('Bulk Order Details'!Q175,Chest[Display],Chest[Flat]),ROUND(_xlfn.xlookup('Bulk Order Details'!Q175,Chest[Display],Chest[Pct])*$E165,2))),"")</f>
        <v/>
      </c>
      <c r="O165" s="222" t="str">
        <f aca="false">IFERROR(IF('Bulk Order Details'!R175="","",IF(_xlfn.xlookup('Bulk Order Details'!R175,LeftSleeve[Display],LeftSleeve[Use])="Flat",_xlfn.xlookup('Bulk Order Details'!R175,LeftSleeve[Display],LeftSleeve[Flat]),ROUND(_xlfn.xlookup('Bulk Order Details'!R175,LeftSleeve[Display],LeftSleeve[Pct])*$E165,2))),"")</f>
        <v/>
      </c>
      <c r="P165" s="222" t="str">
        <f aca="false">IFERROR(IF('Bulk Order Details'!S175="","",IF(_xlfn.xlookup('Bulk Order Details'!S175,RightSleeve[Display],RightSleeve[Use])="Flat",_xlfn.xlookup('Bulk Order Details'!S175,RightSleeve[Display],RightSleeve[Flat]),ROUND(_xlfn.xlookup('Bulk Order Details'!S175,RightSleeve[Display],RightSleeve[Pct])*$E165,2))),"")</f>
        <v/>
      </c>
      <c r="Q165" s="214" t="str">
        <f aca="false">IF('Bulk Order Details'!J175="","",SUM(F165:P165))</f>
        <v/>
      </c>
      <c r="R165" s="213" t="str">
        <f aca="false">IFERROR(E165-D165,"")</f>
        <v/>
      </c>
      <c r="S165" s="215" t="str">
        <f aca="false">IFERROR(MIN(IF(Summary!$D$11="Yes",-J165,0),IF(H165&gt;0,-J165,0)),"")</f>
        <v/>
      </c>
      <c r="T165" s="212" t="str">
        <f aca="false">IFERROR(IF(Summary!$D$10="Yes",-K165,""),"")</f>
        <v/>
      </c>
      <c r="U165" s="213" t="str">
        <f aca="false">IFERROR(IF(Summary!$D$12="Yes",-L165,""),"")</f>
        <v/>
      </c>
      <c r="V165" s="216" t="str">
        <f aca="false">IF('Bulk Order Details'!J175="","",SUM(R165:U165))</f>
        <v/>
      </c>
      <c r="W165" s="217" t="str">
        <f aca="false">IF('Bulk Order Details'!J175="","",D165+Q165)</f>
        <v/>
      </c>
      <c r="X165" s="218" t="str">
        <f aca="false">IF('Bulk Order Details'!J175="","",D165+Q165+V165)</f>
        <v/>
      </c>
      <c r="Y165" s="219" t="str">
        <f aca="false">IFERROR((W165-X165)/W165,"")</f>
        <v/>
      </c>
      <c r="Z165" s="220" t="str">
        <f aca="false">IF('Bulk Order Details'!J175="","",MAX(1,'Bulk Order Details'!D175))</f>
        <v/>
      </c>
      <c r="AA165" s="217" t="str">
        <f aca="false">IF(Pricing_Details[[#This Row],[Quantity]]="","",Pricing_Details[[#This Row],[Retail Price]]*Pricing_Details[[#This Row],[Quantity]])</f>
        <v/>
      </c>
      <c r="AB165" s="217" t="str">
        <f aca="false">IF(Pricing_Details[[#This Row],[Quantity]]="","",Pricing_Details[[#This Row],[Total Discount]]*Pricing_Details[[#This Row],[Quantity]])</f>
        <v/>
      </c>
      <c r="AC165" s="221" t="str">
        <f aca="false">IFERROR(ROUND(Pricing_Details[[#This Row],[Actual Price]]*Pricing_Details[[#This Row],[Quantity]],2),"")</f>
        <v/>
      </c>
      <c r="AE165" s="179" t="str">
        <f aca="false">IF('Bulk Order Details'!J175="","",VLOOKUP('Bulk Order Details'!H175,Collection[],3)&amp;VLOOKUP('Bulk Order Details'!J175,Collar[],4)&amp;VLOOKUP('Bulk Order Details'!I175,Sleeve[],4))</f>
        <v/>
      </c>
      <c r="AF165" s="179" t="str">
        <f aca="false">IF('Bulk Order Details'!J175="","",LOOKUP('Bulk Order Details'!E175,Cut[Display],Cut[Code])&amp;LOOKUP('Bulk Order Details'!F175,#REF!,#REF!)&amp;IF('Bulk Order Details'!G175="","",LOOKUP('Bulk Order Details'!G175,Length[Display],Length[Code])))</f>
        <v/>
      </c>
      <c r="AG165" s="179" t="str">
        <f aca="false">IF('Bulk Order Details'!J175="","",IF('Bulk Order Details'!C175="","",'Bulk Order Details'!C175))</f>
        <v/>
      </c>
      <c r="AH165" s="179" t="str">
        <f aca="false">IF('Bulk Order Details'!O175="","","-"&amp;LOOKUP('Bulk Order Details'!O175,#REF!,#REF!))</f>
        <v/>
      </c>
      <c r="AI165" s="179" t="str">
        <f aca="false">IF('Bulk Order Details'!P175="","","-"&amp;LOOKUP('Bulk Order Details'!P175,#REF!,#REF!))</f>
        <v/>
      </c>
      <c r="AJ165" s="179" t="str">
        <f aca="false">IF('Bulk Order Details'!Q175="","","-"&amp;LOOKUP('Bulk Order Details'!Q175,#REF!,#REF!))</f>
        <v/>
      </c>
      <c r="AK165" s="179" t="str">
        <f aca="false">IF('Bulk Order Details'!R175="","","-"&amp;LOOKUP('Bulk Order Details'!R175,#REF!,#REF!))</f>
        <v/>
      </c>
      <c r="AL165" s="179" t="str">
        <f aca="false">IF('Bulk Order Details'!S175="","","-"&amp;LOOKUP('Bulk Order Details'!S175,#REF!,#REF!))</f>
        <v/>
      </c>
      <c r="AM165" s="179" t="str">
        <f aca="false">IF(_xlfn.CONCAT(AH165:AL165)="","","Lo"&amp;_xlfn.CONCAT(AH165:AL165))</f>
        <v/>
      </c>
      <c r="AN165" s="179" t="str">
        <f aca="false">IF('Bulk Order Details'!K175="","","Na-"&amp;'Bulk Order Details'!K175)</f>
        <v/>
      </c>
      <c r="AO165" s="179" t="str">
        <f aca="false">IF('Bulk Order Details'!N175="","","Fo-"&amp;'Bulk Order Details'!N175)</f>
        <v/>
      </c>
      <c r="AP165" s="179" t="str">
        <f aca="false">IF(AE165="","",AE165&amp;"_"&amp;AF165&amp;"_"&amp;AG165&amp;IF(AM165="","","_"&amp;AM165)&amp;IF(AN165="","","_"&amp;AN165)&amp;IF(AO165="","","_"&amp;AO165))</f>
        <v/>
      </c>
      <c r="AQ165" s="218" t="str">
        <f aca="false">IF(X165="","",X165)</f>
        <v/>
      </c>
    </row>
    <row r="166" customFormat="false" ht="15" hidden="false" customHeight="true" outlineLevel="0" collapsed="false">
      <c r="B166" s="209" t="n">
        <f aca="false">'Bulk Order Details'!B176</f>
        <v>163</v>
      </c>
      <c r="C166" s="209" t="e">
        <f aca="false">IF('bulk order details'!#ref!="","",'bulk order details'!#ref!&amp;" "&amp;'bulk order details'!#ref!)</f>
        <v>#VALUE!</v>
      </c>
      <c r="D166" s="210" t="str">
        <f aca="false">IF('Bulk Order Details'!J176="","",VLOOKUP(1,Price[],3))</f>
        <v/>
      </c>
      <c r="E166" s="211" t="str">
        <f aca="false">IF('Bulk Order Details'!J176="","",Summary!$D$9)</f>
        <v/>
      </c>
      <c r="F166" s="212" t="str">
        <f aca="false">IF('Bulk Order Details'!F176="","",_xlfn.xlookup('Bulk Order Details'!F176,Size[Display],Size[Price]))</f>
        <v/>
      </c>
      <c r="G166" s="212" t="str">
        <f aca="false">IF('Bulk Order Details'!G176="","",_xlfn.xlookup('Bulk Order Details'!G176,Length[Display],Length[Price]))</f>
        <v/>
      </c>
      <c r="H166" s="212" t="str">
        <f aca="false">IF('Bulk Order Details'!H176="","",_xlfn.xlookup('Bulk Order Details'!H176,Collection[Display],Collection[Price]))</f>
        <v/>
      </c>
      <c r="I166" s="212" t="str">
        <f aca="false">IF('Bulk Order Details'!I176="","",_xlfn.xlookup('Bulk Order Details'!I176,Sleeve[Display],Sleeve[Price]))</f>
        <v/>
      </c>
      <c r="J166" s="212" t="str">
        <f aca="false">IF('Bulk Order Details'!J176="","",_xlfn.xlookup('Bulk Order Details'!J176,Collar[Display],Collar[Price]))</f>
        <v/>
      </c>
      <c r="K166" s="212" t="str">
        <f aca="false">IF('Bulk Order Details'!K176="","",_xlfn.xlookup("Name",Name[Name],Name[Price]))</f>
        <v/>
      </c>
      <c r="L166" s="213" t="str">
        <f aca="false">IFERROR(IF('Bulk Order Details'!O176="","",IF(_xlfn.xlookup('Bulk Order Details'!O176,Logos[Display],Logos[Use])="Flat",_xlfn.xlookup('Bulk Order Details'!O176,Logos[Display],Logos[Flat]),ROUND(_xlfn.xlookup('Bulk Order Details'!O176,Logos[Display],Logos[Pct])*$E166,2))),"")</f>
        <v/>
      </c>
      <c r="M166" s="222" t="str">
        <f aca="false">IFERROR(IF('Bulk Order Details'!P176="","",IF(_xlfn.xlookup('Bulk Order Details'!P176,Chest[Display],Chest[Use])="Flat",_xlfn.xlookup('Bulk Order Details'!P176,Chest[Display],Chest[Flat]),ROUND(_xlfn.xlookup('Bulk Order Details'!P176,Chest[Display],Chest[Pct])*$E166,2))),"")</f>
        <v/>
      </c>
      <c r="N166" s="222" t="str">
        <f aca="false">IFERROR(IF('Bulk Order Details'!Q176="","",IF(_xlfn.xlookup('Bulk Order Details'!Q176,Chest[Display],Chest[Use])="Flat",_xlfn.xlookup('Bulk Order Details'!Q176,Chest[Display],Chest[Flat]),ROUND(_xlfn.xlookup('Bulk Order Details'!Q176,Chest[Display],Chest[Pct])*$E166,2))),"")</f>
        <v/>
      </c>
      <c r="O166" s="222" t="str">
        <f aca="false">IFERROR(IF('Bulk Order Details'!R176="","",IF(_xlfn.xlookup('Bulk Order Details'!R176,LeftSleeve[Display],LeftSleeve[Use])="Flat",_xlfn.xlookup('Bulk Order Details'!R176,LeftSleeve[Display],LeftSleeve[Flat]),ROUND(_xlfn.xlookup('Bulk Order Details'!R176,LeftSleeve[Display],LeftSleeve[Pct])*$E166,2))),"")</f>
        <v/>
      </c>
      <c r="P166" s="222" t="str">
        <f aca="false">IFERROR(IF('Bulk Order Details'!S176="","",IF(_xlfn.xlookup('Bulk Order Details'!S176,RightSleeve[Display],RightSleeve[Use])="Flat",_xlfn.xlookup('Bulk Order Details'!S176,RightSleeve[Display],RightSleeve[Flat]),ROUND(_xlfn.xlookup('Bulk Order Details'!S176,RightSleeve[Display],RightSleeve[Pct])*$E166,2))),"")</f>
        <v/>
      </c>
      <c r="Q166" s="214" t="str">
        <f aca="false">IF('Bulk Order Details'!J176="","",SUM(F166:P166))</f>
        <v/>
      </c>
      <c r="R166" s="213" t="str">
        <f aca="false">IFERROR(E166-D166,"")</f>
        <v/>
      </c>
      <c r="S166" s="215" t="str">
        <f aca="false">IFERROR(MIN(IF(Summary!$D$11="Yes",-J166,0),IF(H166&gt;0,-J166,0)),"")</f>
        <v/>
      </c>
      <c r="T166" s="212" t="str">
        <f aca="false">IFERROR(IF(Summary!$D$10="Yes",-K166,""),"")</f>
        <v/>
      </c>
      <c r="U166" s="213" t="str">
        <f aca="false">IFERROR(IF(Summary!$D$12="Yes",-L166,""),"")</f>
        <v/>
      </c>
      <c r="V166" s="216" t="str">
        <f aca="false">IF('Bulk Order Details'!J176="","",SUM(R166:U166))</f>
        <v/>
      </c>
      <c r="W166" s="217" t="str">
        <f aca="false">IF('Bulk Order Details'!J176="","",D166+Q166)</f>
        <v/>
      </c>
      <c r="X166" s="218" t="str">
        <f aca="false">IF('Bulk Order Details'!J176="","",D166+Q166+V166)</f>
        <v/>
      </c>
      <c r="Y166" s="219" t="str">
        <f aca="false">IFERROR((W166-X166)/W166,"")</f>
        <v/>
      </c>
      <c r="Z166" s="220" t="str">
        <f aca="false">IF('Bulk Order Details'!J176="","",MAX(1,'Bulk Order Details'!D176))</f>
        <v/>
      </c>
      <c r="AA166" s="217" t="str">
        <f aca="false">IF(Pricing_Details[[#This Row],[Quantity]]="","",Pricing_Details[[#This Row],[Retail Price]]*Pricing_Details[[#This Row],[Quantity]])</f>
        <v/>
      </c>
      <c r="AB166" s="217" t="str">
        <f aca="false">IF(Pricing_Details[[#This Row],[Quantity]]="","",Pricing_Details[[#This Row],[Total Discount]]*Pricing_Details[[#This Row],[Quantity]])</f>
        <v/>
      </c>
      <c r="AC166" s="221" t="str">
        <f aca="false">IFERROR(ROUND(Pricing_Details[[#This Row],[Actual Price]]*Pricing_Details[[#This Row],[Quantity]],2),"")</f>
        <v/>
      </c>
      <c r="AE166" s="179" t="str">
        <f aca="false">IF('Bulk Order Details'!J176="","",VLOOKUP('Bulk Order Details'!H176,Collection[],3)&amp;VLOOKUP('Bulk Order Details'!J176,Collar[],4)&amp;VLOOKUP('Bulk Order Details'!I176,Sleeve[],4))</f>
        <v/>
      </c>
      <c r="AF166" s="179" t="str">
        <f aca="false">IF('Bulk Order Details'!J176="","",LOOKUP('Bulk Order Details'!E176,Cut[Display],Cut[Code])&amp;LOOKUP('Bulk Order Details'!F176,#REF!,#REF!)&amp;IF('Bulk Order Details'!G176="","",LOOKUP('Bulk Order Details'!G176,Length[Display],Length[Code])))</f>
        <v/>
      </c>
      <c r="AG166" s="179" t="str">
        <f aca="false">IF('Bulk Order Details'!J176="","",IF('Bulk Order Details'!C176="","",'Bulk Order Details'!C176))</f>
        <v/>
      </c>
      <c r="AH166" s="179" t="str">
        <f aca="false">IF('Bulk Order Details'!O176="","","-"&amp;LOOKUP('Bulk Order Details'!O176,#REF!,#REF!))</f>
        <v/>
      </c>
      <c r="AI166" s="179" t="str">
        <f aca="false">IF('Bulk Order Details'!P176="","","-"&amp;LOOKUP('Bulk Order Details'!P176,#REF!,#REF!))</f>
        <v/>
      </c>
      <c r="AJ166" s="179" t="str">
        <f aca="false">IF('Bulk Order Details'!Q176="","","-"&amp;LOOKUP('Bulk Order Details'!Q176,#REF!,#REF!))</f>
        <v/>
      </c>
      <c r="AK166" s="179" t="str">
        <f aca="false">IF('Bulk Order Details'!R176="","","-"&amp;LOOKUP('Bulk Order Details'!R176,#REF!,#REF!))</f>
        <v/>
      </c>
      <c r="AL166" s="179" t="str">
        <f aca="false">IF('Bulk Order Details'!S176="","","-"&amp;LOOKUP('Bulk Order Details'!S176,#REF!,#REF!))</f>
        <v/>
      </c>
      <c r="AM166" s="179" t="str">
        <f aca="false">IF(_xlfn.CONCAT(AH166:AL166)="","","Lo"&amp;_xlfn.CONCAT(AH166:AL166))</f>
        <v/>
      </c>
      <c r="AN166" s="179" t="str">
        <f aca="false">IF('Bulk Order Details'!K176="","","Na-"&amp;'Bulk Order Details'!K176)</f>
        <v/>
      </c>
      <c r="AO166" s="179" t="str">
        <f aca="false">IF('Bulk Order Details'!N176="","","Fo-"&amp;'Bulk Order Details'!N176)</f>
        <v/>
      </c>
      <c r="AP166" s="179" t="str">
        <f aca="false">IF(AE166="","",AE166&amp;"_"&amp;AF166&amp;"_"&amp;AG166&amp;IF(AM166="","","_"&amp;AM166)&amp;IF(AN166="","","_"&amp;AN166)&amp;IF(AO166="","","_"&amp;AO166))</f>
        <v/>
      </c>
      <c r="AQ166" s="218" t="str">
        <f aca="false">IF(X166="","",X166)</f>
        <v/>
      </c>
    </row>
    <row r="167" customFormat="false" ht="15" hidden="false" customHeight="true" outlineLevel="0" collapsed="false">
      <c r="B167" s="209" t="n">
        <f aca="false">'Bulk Order Details'!B177</f>
        <v>164</v>
      </c>
      <c r="C167" s="209" t="e">
        <f aca="false">IF('bulk order details'!#ref!="","",'bulk order details'!#ref!&amp;" "&amp;'bulk order details'!#ref!)</f>
        <v>#VALUE!</v>
      </c>
      <c r="D167" s="210" t="str">
        <f aca="false">IF('Bulk Order Details'!J177="","",VLOOKUP(1,Price[],3))</f>
        <v/>
      </c>
      <c r="E167" s="211" t="str">
        <f aca="false">IF('Bulk Order Details'!J177="","",Summary!$D$9)</f>
        <v/>
      </c>
      <c r="F167" s="212" t="str">
        <f aca="false">IF('Bulk Order Details'!F177="","",_xlfn.xlookup('Bulk Order Details'!F177,Size[Display],Size[Price]))</f>
        <v/>
      </c>
      <c r="G167" s="212" t="str">
        <f aca="false">IF('Bulk Order Details'!G177="","",_xlfn.xlookup('Bulk Order Details'!G177,Length[Display],Length[Price]))</f>
        <v/>
      </c>
      <c r="H167" s="212" t="str">
        <f aca="false">IF('Bulk Order Details'!H177="","",_xlfn.xlookup('Bulk Order Details'!H177,Collection[Display],Collection[Price]))</f>
        <v/>
      </c>
      <c r="I167" s="212" t="str">
        <f aca="false">IF('Bulk Order Details'!I177="","",_xlfn.xlookup('Bulk Order Details'!I177,Sleeve[Display],Sleeve[Price]))</f>
        <v/>
      </c>
      <c r="J167" s="212" t="str">
        <f aca="false">IF('Bulk Order Details'!J177="","",_xlfn.xlookup('Bulk Order Details'!J177,Collar[Display],Collar[Price]))</f>
        <v/>
      </c>
      <c r="K167" s="212" t="str">
        <f aca="false">IF('Bulk Order Details'!K177="","",_xlfn.xlookup("Name",Name[Name],Name[Price]))</f>
        <v/>
      </c>
      <c r="L167" s="213" t="str">
        <f aca="false">IFERROR(IF('Bulk Order Details'!O177="","",IF(_xlfn.xlookup('Bulk Order Details'!O177,Logos[Display],Logos[Use])="Flat",_xlfn.xlookup('Bulk Order Details'!O177,Logos[Display],Logos[Flat]),ROUND(_xlfn.xlookup('Bulk Order Details'!O177,Logos[Display],Logos[Pct])*$E167,2))),"")</f>
        <v/>
      </c>
      <c r="M167" s="222" t="str">
        <f aca="false">IFERROR(IF('Bulk Order Details'!P177="","",IF(_xlfn.xlookup('Bulk Order Details'!P177,Chest[Display],Chest[Use])="Flat",_xlfn.xlookup('Bulk Order Details'!P177,Chest[Display],Chest[Flat]),ROUND(_xlfn.xlookup('Bulk Order Details'!P177,Chest[Display],Chest[Pct])*$E167,2))),"")</f>
        <v/>
      </c>
      <c r="N167" s="222" t="str">
        <f aca="false">IFERROR(IF('Bulk Order Details'!Q177="","",IF(_xlfn.xlookup('Bulk Order Details'!Q177,Chest[Display],Chest[Use])="Flat",_xlfn.xlookup('Bulk Order Details'!Q177,Chest[Display],Chest[Flat]),ROUND(_xlfn.xlookup('Bulk Order Details'!Q177,Chest[Display],Chest[Pct])*$E167,2))),"")</f>
        <v/>
      </c>
      <c r="O167" s="222" t="str">
        <f aca="false">IFERROR(IF('Bulk Order Details'!R177="","",IF(_xlfn.xlookup('Bulk Order Details'!R177,LeftSleeve[Display],LeftSleeve[Use])="Flat",_xlfn.xlookup('Bulk Order Details'!R177,LeftSleeve[Display],LeftSleeve[Flat]),ROUND(_xlfn.xlookup('Bulk Order Details'!R177,LeftSleeve[Display],LeftSleeve[Pct])*$E167,2))),"")</f>
        <v/>
      </c>
      <c r="P167" s="222" t="str">
        <f aca="false">IFERROR(IF('Bulk Order Details'!S177="","",IF(_xlfn.xlookup('Bulk Order Details'!S177,RightSleeve[Display],RightSleeve[Use])="Flat",_xlfn.xlookup('Bulk Order Details'!S177,RightSleeve[Display],RightSleeve[Flat]),ROUND(_xlfn.xlookup('Bulk Order Details'!S177,RightSleeve[Display],RightSleeve[Pct])*$E167,2))),"")</f>
        <v/>
      </c>
      <c r="Q167" s="214" t="str">
        <f aca="false">IF('Bulk Order Details'!J177="","",SUM(F167:P167))</f>
        <v/>
      </c>
      <c r="R167" s="213" t="str">
        <f aca="false">IFERROR(E167-D167,"")</f>
        <v/>
      </c>
      <c r="S167" s="215" t="str">
        <f aca="false">IFERROR(MIN(IF(Summary!$D$11="Yes",-J167,0),IF(H167&gt;0,-J167,0)),"")</f>
        <v/>
      </c>
      <c r="T167" s="212" t="str">
        <f aca="false">IFERROR(IF(Summary!$D$10="Yes",-K167,""),"")</f>
        <v/>
      </c>
      <c r="U167" s="213" t="str">
        <f aca="false">IFERROR(IF(Summary!$D$12="Yes",-L167,""),"")</f>
        <v/>
      </c>
      <c r="V167" s="216" t="str">
        <f aca="false">IF('Bulk Order Details'!J177="","",SUM(R167:U167))</f>
        <v/>
      </c>
      <c r="W167" s="217" t="str">
        <f aca="false">IF('Bulk Order Details'!J177="","",D167+Q167)</f>
        <v/>
      </c>
      <c r="X167" s="218" t="str">
        <f aca="false">IF('Bulk Order Details'!J177="","",D167+Q167+V167)</f>
        <v/>
      </c>
      <c r="Y167" s="219" t="str">
        <f aca="false">IFERROR((W167-X167)/W167,"")</f>
        <v/>
      </c>
      <c r="Z167" s="220" t="str">
        <f aca="false">IF('Bulk Order Details'!J177="","",MAX(1,'Bulk Order Details'!D177))</f>
        <v/>
      </c>
      <c r="AA167" s="217" t="str">
        <f aca="false">IF(Pricing_Details[[#This Row],[Quantity]]="","",Pricing_Details[[#This Row],[Retail Price]]*Pricing_Details[[#This Row],[Quantity]])</f>
        <v/>
      </c>
      <c r="AB167" s="217" t="str">
        <f aca="false">IF(Pricing_Details[[#This Row],[Quantity]]="","",Pricing_Details[[#This Row],[Total Discount]]*Pricing_Details[[#This Row],[Quantity]])</f>
        <v/>
      </c>
      <c r="AC167" s="221" t="str">
        <f aca="false">IFERROR(ROUND(Pricing_Details[[#This Row],[Actual Price]]*Pricing_Details[[#This Row],[Quantity]],2),"")</f>
        <v/>
      </c>
      <c r="AE167" s="179" t="str">
        <f aca="false">IF('Bulk Order Details'!J177="","",VLOOKUP('Bulk Order Details'!H177,Collection[],3)&amp;VLOOKUP('Bulk Order Details'!J177,Collar[],4)&amp;VLOOKUP('Bulk Order Details'!I177,Sleeve[],4))</f>
        <v/>
      </c>
      <c r="AF167" s="179" t="str">
        <f aca="false">IF('Bulk Order Details'!J177="","",LOOKUP('Bulk Order Details'!E177,Cut[Display],Cut[Code])&amp;LOOKUP('Bulk Order Details'!F177,#REF!,#REF!)&amp;IF('Bulk Order Details'!G177="","",LOOKUP('Bulk Order Details'!G177,Length[Display],Length[Code])))</f>
        <v/>
      </c>
      <c r="AG167" s="179" t="str">
        <f aca="false">IF('Bulk Order Details'!J177="","",IF('Bulk Order Details'!C177="","",'Bulk Order Details'!C177))</f>
        <v/>
      </c>
      <c r="AH167" s="179" t="str">
        <f aca="false">IF('Bulk Order Details'!O177="","","-"&amp;LOOKUP('Bulk Order Details'!O177,#REF!,#REF!))</f>
        <v/>
      </c>
      <c r="AI167" s="179" t="str">
        <f aca="false">IF('Bulk Order Details'!P177="","","-"&amp;LOOKUP('Bulk Order Details'!P177,#REF!,#REF!))</f>
        <v/>
      </c>
      <c r="AJ167" s="179" t="str">
        <f aca="false">IF('Bulk Order Details'!Q177="","","-"&amp;LOOKUP('Bulk Order Details'!Q177,#REF!,#REF!))</f>
        <v/>
      </c>
      <c r="AK167" s="179" t="str">
        <f aca="false">IF('Bulk Order Details'!R177="","","-"&amp;LOOKUP('Bulk Order Details'!R177,#REF!,#REF!))</f>
        <v/>
      </c>
      <c r="AL167" s="179" t="str">
        <f aca="false">IF('Bulk Order Details'!S177="","","-"&amp;LOOKUP('Bulk Order Details'!S177,#REF!,#REF!))</f>
        <v/>
      </c>
      <c r="AM167" s="179" t="str">
        <f aca="false">IF(_xlfn.CONCAT(AH167:AL167)="","","Lo"&amp;_xlfn.CONCAT(AH167:AL167))</f>
        <v/>
      </c>
      <c r="AN167" s="179" t="str">
        <f aca="false">IF('Bulk Order Details'!K177="","","Na-"&amp;'Bulk Order Details'!K177)</f>
        <v/>
      </c>
      <c r="AO167" s="179" t="str">
        <f aca="false">IF('Bulk Order Details'!N177="","","Fo-"&amp;'Bulk Order Details'!N177)</f>
        <v/>
      </c>
      <c r="AP167" s="179" t="str">
        <f aca="false">IF(AE167="","",AE167&amp;"_"&amp;AF167&amp;"_"&amp;AG167&amp;IF(AM167="","","_"&amp;AM167)&amp;IF(AN167="","","_"&amp;AN167)&amp;IF(AO167="","","_"&amp;AO167))</f>
        <v/>
      </c>
      <c r="AQ167" s="218" t="str">
        <f aca="false">IF(X167="","",X167)</f>
        <v/>
      </c>
    </row>
    <row r="168" customFormat="false" ht="15" hidden="false" customHeight="true" outlineLevel="0" collapsed="false">
      <c r="B168" s="209" t="n">
        <f aca="false">'Bulk Order Details'!B178</f>
        <v>165</v>
      </c>
      <c r="C168" s="209" t="e">
        <f aca="false">IF('bulk order details'!#ref!="","",'bulk order details'!#ref!&amp;" "&amp;'bulk order details'!#ref!)</f>
        <v>#VALUE!</v>
      </c>
      <c r="D168" s="210" t="str">
        <f aca="false">IF('Bulk Order Details'!J178="","",VLOOKUP(1,Price[],3))</f>
        <v/>
      </c>
      <c r="E168" s="211" t="str">
        <f aca="false">IF('Bulk Order Details'!J178="","",Summary!$D$9)</f>
        <v/>
      </c>
      <c r="F168" s="212" t="str">
        <f aca="false">IF('Bulk Order Details'!F178="","",_xlfn.xlookup('Bulk Order Details'!F178,Size[Display],Size[Price]))</f>
        <v/>
      </c>
      <c r="G168" s="212" t="str">
        <f aca="false">IF('Bulk Order Details'!G178="","",_xlfn.xlookup('Bulk Order Details'!G178,Length[Display],Length[Price]))</f>
        <v/>
      </c>
      <c r="H168" s="212" t="str">
        <f aca="false">IF('Bulk Order Details'!H178="","",_xlfn.xlookup('Bulk Order Details'!H178,Collection[Display],Collection[Price]))</f>
        <v/>
      </c>
      <c r="I168" s="212" t="str">
        <f aca="false">IF('Bulk Order Details'!I178="","",_xlfn.xlookup('Bulk Order Details'!I178,Sleeve[Display],Sleeve[Price]))</f>
        <v/>
      </c>
      <c r="J168" s="212" t="str">
        <f aca="false">IF('Bulk Order Details'!J178="","",_xlfn.xlookup('Bulk Order Details'!J178,Collar[Display],Collar[Price]))</f>
        <v/>
      </c>
      <c r="K168" s="212" t="str">
        <f aca="false">IF('Bulk Order Details'!K178="","",_xlfn.xlookup("Name",Name[Name],Name[Price]))</f>
        <v/>
      </c>
      <c r="L168" s="213" t="str">
        <f aca="false">IFERROR(IF('Bulk Order Details'!O178="","",IF(_xlfn.xlookup('Bulk Order Details'!O178,Logos[Display],Logos[Use])="Flat",_xlfn.xlookup('Bulk Order Details'!O178,Logos[Display],Logos[Flat]),ROUND(_xlfn.xlookup('Bulk Order Details'!O178,Logos[Display],Logos[Pct])*$E168,2))),"")</f>
        <v/>
      </c>
      <c r="M168" s="222" t="str">
        <f aca="false">IFERROR(IF('Bulk Order Details'!P178="","",IF(_xlfn.xlookup('Bulk Order Details'!P178,Chest[Display],Chest[Use])="Flat",_xlfn.xlookup('Bulk Order Details'!P178,Chest[Display],Chest[Flat]),ROUND(_xlfn.xlookup('Bulk Order Details'!P178,Chest[Display],Chest[Pct])*$E168,2))),"")</f>
        <v/>
      </c>
      <c r="N168" s="222" t="str">
        <f aca="false">IFERROR(IF('Bulk Order Details'!Q178="","",IF(_xlfn.xlookup('Bulk Order Details'!Q178,Chest[Display],Chest[Use])="Flat",_xlfn.xlookup('Bulk Order Details'!Q178,Chest[Display],Chest[Flat]),ROUND(_xlfn.xlookup('Bulk Order Details'!Q178,Chest[Display],Chest[Pct])*$E168,2))),"")</f>
        <v/>
      </c>
      <c r="O168" s="222" t="str">
        <f aca="false">IFERROR(IF('Bulk Order Details'!R178="","",IF(_xlfn.xlookup('Bulk Order Details'!R178,LeftSleeve[Display],LeftSleeve[Use])="Flat",_xlfn.xlookup('Bulk Order Details'!R178,LeftSleeve[Display],LeftSleeve[Flat]),ROUND(_xlfn.xlookup('Bulk Order Details'!R178,LeftSleeve[Display],LeftSleeve[Pct])*$E168,2))),"")</f>
        <v/>
      </c>
      <c r="P168" s="222" t="str">
        <f aca="false">IFERROR(IF('Bulk Order Details'!S178="","",IF(_xlfn.xlookup('Bulk Order Details'!S178,RightSleeve[Display],RightSleeve[Use])="Flat",_xlfn.xlookup('Bulk Order Details'!S178,RightSleeve[Display],RightSleeve[Flat]),ROUND(_xlfn.xlookup('Bulk Order Details'!S178,RightSleeve[Display],RightSleeve[Pct])*$E168,2))),"")</f>
        <v/>
      </c>
      <c r="Q168" s="214" t="str">
        <f aca="false">IF('Bulk Order Details'!J178="","",SUM(F168:P168))</f>
        <v/>
      </c>
      <c r="R168" s="213" t="str">
        <f aca="false">IFERROR(E168-D168,"")</f>
        <v/>
      </c>
      <c r="S168" s="215" t="str">
        <f aca="false">IFERROR(MIN(IF(Summary!$D$11="Yes",-J168,0),IF(H168&gt;0,-J168,0)),"")</f>
        <v/>
      </c>
      <c r="T168" s="212" t="str">
        <f aca="false">IFERROR(IF(Summary!$D$10="Yes",-K168,""),"")</f>
        <v/>
      </c>
      <c r="U168" s="213" t="str">
        <f aca="false">IFERROR(IF(Summary!$D$12="Yes",-L168,""),"")</f>
        <v/>
      </c>
      <c r="V168" s="216" t="str">
        <f aca="false">IF('Bulk Order Details'!J178="","",SUM(R168:U168))</f>
        <v/>
      </c>
      <c r="W168" s="217" t="str">
        <f aca="false">IF('Bulk Order Details'!J178="","",D168+Q168)</f>
        <v/>
      </c>
      <c r="X168" s="218" t="str">
        <f aca="false">IF('Bulk Order Details'!J178="","",D168+Q168+V168)</f>
        <v/>
      </c>
      <c r="Y168" s="219" t="str">
        <f aca="false">IFERROR((W168-X168)/W168,"")</f>
        <v/>
      </c>
      <c r="Z168" s="220" t="str">
        <f aca="false">IF('Bulk Order Details'!J178="","",MAX(1,'Bulk Order Details'!D178))</f>
        <v/>
      </c>
      <c r="AA168" s="217" t="str">
        <f aca="false">IF(Pricing_Details[[#This Row],[Quantity]]="","",Pricing_Details[[#This Row],[Retail Price]]*Pricing_Details[[#This Row],[Quantity]])</f>
        <v/>
      </c>
      <c r="AB168" s="217" t="str">
        <f aca="false">IF(Pricing_Details[[#This Row],[Quantity]]="","",Pricing_Details[[#This Row],[Total Discount]]*Pricing_Details[[#This Row],[Quantity]])</f>
        <v/>
      </c>
      <c r="AC168" s="221" t="str">
        <f aca="false">IFERROR(ROUND(Pricing_Details[[#This Row],[Actual Price]]*Pricing_Details[[#This Row],[Quantity]],2),"")</f>
        <v/>
      </c>
      <c r="AE168" s="179" t="str">
        <f aca="false">IF('Bulk Order Details'!J178="","",VLOOKUP('Bulk Order Details'!H178,Collection[],3)&amp;VLOOKUP('Bulk Order Details'!J178,Collar[],4)&amp;VLOOKUP('Bulk Order Details'!I178,Sleeve[],4))</f>
        <v/>
      </c>
      <c r="AF168" s="179" t="str">
        <f aca="false">IF('Bulk Order Details'!J178="","",LOOKUP('Bulk Order Details'!E178,Cut[Display],Cut[Code])&amp;LOOKUP('Bulk Order Details'!F178,#REF!,#REF!)&amp;IF('Bulk Order Details'!G178="","",LOOKUP('Bulk Order Details'!G178,Length[Display],Length[Code])))</f>
        <v/>
      </c>
      <c r="AG168" s="179" t="str">
        <f aca="false">IF('Bulk Order Details'!J178="","",IF('Bulk Order Details'!C178="","",'Bulk Order Details'!C178))</f>
        <v/>
      </c>
      <c r="AH168" s="179" t="str">
        <f aca="false">IF('Bulk Order Details'!O178="","","-"&amp;LOOKUP('Bulk Order Details'!O178,#REF!,#REF!))</f>
        <v/>
      </c>
      <c r="AI168" s="179" t="str">
        <f aca="false">IF('Bulk Order Details'!P178="","","-"&amp;LOOKUP('Bulk Order Details'!P178,#REF!,#REF!))</f>
        <v/>
      </c>
      <c r="AJ168" s="179" t="str">
        <f aca="false">IF('Bulk Order Details'!Q178="","","-"&amp;LOOKUP('Bulk Order Details'!Q178,#REF!,#REF!))</f>
        <v/>
      </c>
      <c r="AK168" s="179" t="str">
        <f aca="false">IF('Bulk Order Details'!R178="","","-"&amp;LOOKUP('Bulk Order Details'!R178,#REF!,#REF!))</f>
        <v/>
      </c>
      <c r="AL168" s="179" t="str">
        <f aca="false">IF('Bulk Order Details'!S178="","","-"&amp;LOOKUP('Bulk Order Details'!S178,#REF!,#REF!))</f>
        <v/>
      </c>
      <c r="AM168" s="179" t="str">
        <f aca="false">IF(_xlfn.CONCAT(AH168:AL168)="","","Lo"&amp;_xlfn.CONCAT(AH168:AL168))</f>
        <v/>
      </c>
      <c r="AN168" s="179" t="str">
        <f aca="false">IF('Bulk Order Details'!K178="","","Na-"&amp;'Bulk Order Details'!K178)</f>
        <v/>
      </c>
      <c r="AO168" s="179" t="str">
        <f aca="false">IF('Bulk Order Details'!N178="","","Fo-"&amp;'Bulk Order Details'!N178)</f>
        <v/>
      </c>
      <c r="AP168" s="179" t="str">
        <f aca="false">IF(AE168="","",AE168&amp;"_"&amp;AF168&amp;"_"&amp;AG168&amp;IF(AM168="","","_"&amp;AM168)&amp;IF(AN168="","","_"&amp;AN168)&amp;IF(AO168="","","_"&amp;AO168))</f>
        <v/>
      </c>
      <c r="AQ168" s="218" t="str">
        <f aca="false">IF(X168="","",X168)</f>
        <v/>
      </c>
    </row>
    <row r="169" customFormat="false" ht="15" hidden="false" customHeight="true" outlineLevel="0" collapsed="false">
      <c r="B169" s="209" t="n">
        <f aca="false">'Bulk Order Details'!B179</f>
        <v>166</v>
      </c>
      <c r="C169" s="209" t="e">
        <f aca="false">IF('bulk order details'!#ref!="","",'bulk order details'!#ref!&amp;" "&amp;'bulk order details'!#ref!)</f>
        <v>#VALUE!</v>
      </c>
      <c r="D169" s="210" t="str">
        <f aca="false">IF('Bulk Order Details'!J179="","",VLOOKUP(1,Price[],3))</f>
        <v/>
      </c>
      <c r="E169" s="211" t="str">
        <f aca="false">IF('Bulk Order Details'!J179="","",Summary!$D$9)</f>
        <v/>
      </c>
      <c r="F169" s="212" t="str">
        <f aca="false">IF('Bulk Order Details'!F179="","",_xlfn.xlookup('Bulk Order Details'!F179,Size[Display],Size[Price]))</f>
        <v/>
      </c>
      <c r="G169" s="212" t="str">
        <f aca="false">IF('Bulk Order Details'!G179="","",_xlfn.xlookup('Bulk Order Details'!G179,Length[Display],Length[Price]))</f>
        <v/>
      </c>
      <c r="H169" s="212" t="str">
        <f aca="false">IF('Bulk Order Details'!H179="","",_xlfn.xlookup('Bulk Order Details'!H179,Collection[Display],Collection[Price]))</f>
        <v/>
      </c>
      <c r="I169" s="212" t="str">
        <f aca="false">IF('Bulk Order Details'!I179="","",_xlfn.xlookup('Bulk Order Details'!I179,Sleeve[Display],Sleeve[Price]))</f>
        <v/>
      </c>
      <c r="J169" s="212" t="str">
        <f aca="false">IF('Bulk Order Details'!J179="","",_xlfn.xlookup('Bulk Order Details'!J179,Collar[Display],Collar[Price]))</f>
        <v/>
      </c>
      <c r="K169" s="212" t="str">
        <f aca="false">IF('Bulk Order Details'!K179="","",_xlfn.xlookup("Name",Name[Name],Name[Price]))</f>
        <v/>
      </c>
      <c r="L169" s="213" t="str">
        <f aca="false">IFERROR(IF('Bulk Order Details'!O179="","",IF(_xlfn.xlookup('Bulk Order Details'!O179,Logos[Display],Logos[Use])="Flat",_xlfn.xlookup('Bulk Order Details'!O179,Logos[Display],Logos[Flat]),ROUND(_xlfn.xlookup('Bulk Order Details'!O179,Logos[Display],Logos[Pct])*$E169,2))),"")</f>
        <v/>
      </c>
      <c r="M169" s="222" t="str">
        <f aca="false">IFERROR(IF('Bulk Order Details'!P179="","",IF(_xlfn.xlookup('Bulk Order Details'!P179,Chest[Display],Chest[Use])="Flat",_xlfn.xlookup('Bulk Order Details'!P179,Chest[Display],Chest[Flat]),ROUND(_xlfn.xlookup('Bulk Order Details'!P179,Chest[Display],Chest[Pct])*$E169,2))),"")</f>
        <v/>
      </c>
      <c r="N169" s="222" t="str">
        <f aca="false">IFERROR(IF('Bulk Order Details'!Q179="","",IF(_xlfn.xlookup('Bulk Order Details'!Q179,Chest[Display],Chest[Use])="Flat",_xlfn.xlookup('Bulk Order Details'!Q179,Chest[Display],Chest[Flat]),ROUND(_xlfn.xlookup('Bulk Order Details'!Q179,Chest[Display],Chest[Pct])*$E169,2))),"")</f>
        <v/>
      </c>
      <c r="O169" s="222" t="str">
        <f aca="false">IFERROR(IF('Bulk Order Details'!R179="","",IF(_xlfn.xlookup('Bulk Order Details'!R179,LeftSleeve[Display],LeftSleeve[Use])="Flat",_xlfn.xlookup('Bulk Order Details'!R179,LeftSleeve[Display],LeftSleeve[Flat]),ROUND(_xlfn.xlookup('Bulk Order Details'!R179,LeftSleeve[Display],LeftSleeve[Pct])*$E169,2))),"")</f>
        <v/>
      </c>
      <c r="P169" s="222" t="str">
        <f aca="false">IFERROR(IF('Bulk Order Details'!S179="","",IF(_xlfn.xlookup('Bulk Order Details'!S179,RightSleeve[Display],RightSleeve[Use])="Flat",_xlfn.xlookup('Bulk Order Details'!S179,RightSleeve[Display],RightSleeve[Flat]),ROUND(_xlfn.xlookup('Bulk Order Details'!S179,RightSleeve[Display],RightSleeve[Pct])*$E169,2))),"")</f>
        <v/>
      </c>
      <c r="Q169" s="214" t="str">
        <f aca="false">IF('Bulk Order Details'!J179="","",SUM(F169:P169))</f>
        <v/>
      </c>
      <c r="R169" s="213" t="str">
        <f aca="false">IFERROR(E169-D169,"")</f>
        <v/>
      </c>
      <c r="S169" s="215" t="str">
        <f aca="false">IFERROR(MIN(IF(Summary!$D$11="Yes",-J169,0),IF(H169&gt;0,-J169,0)),"")</f>
        <v/>
      </c>
      <c r="T169" s="212" t="str">
        <f aca="false">IFERROR(IF(Summary!$D$10="Yes",-K169,""),"")</f>
        <v/>
      </c>
      <c r="U169" s="213" t="str">
        <f aca="false">IFERROR(IF(Summary!$D$12="Yes",-L169,""),"")</f>
        <v/>
      </c>
      <c r="V169" s="216" t="str">
        <f aca="false">IF('Bulk Order Details'!J179="","",SUM(R169:U169))</f>
        <v/>
      </c>
      <c r="W169" s="217" t="str">
        <f aca="false">IF('Bulk Order Details'!J179="","",D169+Q169)</f>
        <v/>
      </c>
      <c r="X169" s="218" t="str">
        <f aca="false">IF('Bulk Order Details'!J179="","",D169+Q169+V169)</f>
        <v/>
      </c>
      <c r="Y169" s="219" t="str">
        <f aca="false">IFERROR((W169-X169)/W169,"")</f>
        <v/>
      </c>
      <c r="Z169" s="220" t="str">
        <f aca="false">IF('Bulk Order Details'!J179="","",MAX(1,'Bulk Order Details'!D179))</f>
        <v/>
      </c>
      <c r="AA169" s="217" t="str">
        <f aca="false">IF(Pricing_Details[[#This Row],[Quantity]]="","",Pricing_Details[[#This Row],[Retail Price]]*Pricing_Details[[#This Row],[Quantity]])</f>
        <v/>
      </c>
      <c r="AB169" s="217" t="str">
        <f aca="false">IF(Pricing_Details[[#This Row],[Quantity]]="","",Pricing_Details[[#This Row],[Total Discount]]*Pricing_Details[[#This Row],[Quantity]])</f>
        <v/>
      </c>
      <c r="AC169" s="221" t="str">
        <f aca="false">IFERROR(ROUND(Pricing_Details[[#This Row],[Actual Price]]*Pricing_Details[[#This Row],[Quantity]],2),"")</f>
        <v/>
      </c>
      <c r="AE169" s="179" t="str">
        <f aca="false">IF('Bulk Order Details'!J179="","",VLOOKUP('Bulk Order Details'!H179,Collection[],3)&amp;VLOOKUP('Bulk Order Details'!J179,Collar[],4)&amp;VLOOKUP('Bulk Order Details'!I179,Sleeve[],4))</f>
        <v/>
      </c>
      <c r="AF169" s="179" t="str">
        <f aca="false">IF('Bulk Order Details'!J179="","",LOOKUP('Bulk Order Details'!E179,Cut[Display],Cut[Code])&amp;LOOKUP('Bulk Order Details'!F179,#REF!,#REF!)&amp;IF('Bulk Order Details'!G179="","",LOOKUP('Bulk Order Details'!G179,Length[Display],Length[Code])))</f>
        <v/>
      </c>
      <c r="AG169" s="179" t="str">
        <f aca="false">IF('Bulk Order Details'!J179="","",IF('Bulk Order Details'!C179="","",'Bulk Order Details'!C179))</f>
        <v/>
      </c>
      <c r="AH169" s="179" t="str">
        <f aca="false">IF('Bulk Order Details'!O179="","","-"&amp;LOOKUP('Bulk Order Details'!O179,#REF!,#REF!))</f>
        <v/>
      </c>
      <c r="AI169" s="179" t="str">
        <f aca="false">IF('Bulk Order Details'!P179="","","-"&amp;LOOKUP('Bulk Order Details'!P179,#REF!,#REF!))</f>
        <v/>
      </c>
      <c r="AJ169" s="179" t="str">
        <f aca="false">IF('Bulk Order Details'!Q179="","","-"&amp;LOOKUP('Bulk Order Details'!Q179,#REF!,#REF!))</f>
        <v/>
      </c>
      <c r="AK169" s="179" t="str">
        <f aca="false">IF('Bulk Order Details'!R179="","","-"&amp;LOOKUP('Bulk Order Details'!R179,#REF!,#REF!))</f>
        <v/>
      </c>
      <c r="AL169" s="179" t="str">
        <f aca="false">IF('Bulk Order Details'!S179="","","-"&amp;LOOKUP('Bulk Order Details'!S179,#REF!,#REF!))</f>
        <v/>
      </c>
      <c r="AM169" s="179" t="str">
        <f aca="false">IF(_xlfn.CONCAT(AH169:AL169)="","","Lo"&amp;_xlfn.CONCAT(AH169:AL169))</f>
        <v/>
      </c>
      <c r="AN169" s="179" t="str">
        <f aca="false">IF('Bulk Order Details'!K179="","","Na-"&amp;'Bulk Order Details'!K179)</f>
        <v/>
      </c>
      <c r="AO169" s="179" t="str">
        <f aca="false">IF('Bulk Order Details'!N179="","","Fo-"&amp;'Bulk Order Details'!N179)</f>
        <v/>
      </c>
      <c r="AP169" s="179" t="str">
        <f aca="false">IF(AE169="","",AE169&amp;"_"&amp;AF169&amp;"_"&amp;AG169&amp;IF(AM169="","","_"&amp;AM169)&amp;IF(AN169="","","_"&amp;AN169)&amp;IF(AO169="","","_"&amp;AO169))</f>
        <v/>
      </c>
      <c r="AQ169" s="218" t="str">
        <f aca="false">IF(X169="","",X169)</f>
        <v/>
      </c>
    </row>
    <row r="170" customFormat="false" ht="15" hidden="false" customHeight="true" outlineLevel="0" collapsed="false">
      <c r="B170" s="209" t="n">
        <f aca="false">'Bulk Order Details'!B180</f>
        <v>167</v>
      </c>
      <c r="C170" s="209" t="e">
        <f aca="false">IF('bulk order details'!#ref!="","",'bulk order details'!#ref!&amp;" "&amp;'bulk order details'!#ref!)</f>
        <v>#VALUE!</v>
      </c>
      <c r="D170" s="210" t="str">
        <f aca="false">IF('Bulk Order Details'!J180="","",VLOOKUP(1,Price[],3))</f>
        <v/>
      </c>
      <c r="E170" s="211" t="str">
        <f aca="false">IF('Bulk Order Details'!J180="","",Summary!$D$9)</f>
        <v/>
      </c>
      <c r="F170" s="212" t="str">
        <f aca="false">IF('Bulk Order Details'!F180="","",_xlfn.xlookup('Bulk Order Details'!F180,Size[Display],Size[Price]))</f>
        <v/>
      </c>
      <c r="G170" s="212" t="str">
        <f aca="false">IF('Bulk Order Details'!G180="","",_xlfn.xlookup('Bulk Order Details'!G180,Length[Display],Length[Price]))</f>
        <v/>
      </c>
      <c r="H170" s="212" t="str">
        <f aca="false">IF('Bulk Order Details'!H180="","",_xlfn.xlookup('Bulk Order Details'!H180,Collection[Display],Collection[Price]))</f>
        <v/>
      </c>
      <c r="I170" s="212" t="str">
        <f aca="false">IF('Bulk Order Details'!I180="","",_xlfn.xlookup('Bulk Order Details'!I180,Sleeve[Display],Sleeve[Price]))</f>
        <v/>
      </c>
      <c r="J170" s="212" t="str">
        <f aca="false">IF('Bulk Order Details'!J180="","",_xlfn.xlookup('Bulk Order Details'!J180,Collar[Display],Collar[Price]))</f>
        <v/>
      </c>
      <c r="K170" s="212" t="str">
        <f aca="false">IF('Bulk Order Details'!K180="","",_xlfn.xlookup("Name",Name[Name],Name[Price]))</f>
        <v/>
      </c>
      <c r="L170" s="213" t="str">
        <f aca="false">IFERROR(IF('Bulk Order Details'!O180="","",IF(_xlfn.xlookup('Bulk Order Details'!O180,Logos[Display],Logos[Use])="Flat",_xlfn.xlookup('Bulk Order Details'!O180,Logos[Display],Logos[Flat]),ROUND(_xlfn.xlookup('Bulk Order Details'!O180,Logos[Display],Logos[Pct])*$E170,2))),"")</f>
        <v/>
      </c>
      <c r="M170" s="222" t="str">
        <f aca="false">IFERROR(IF('Bulk Order Details'!P180="","",IF(_xlfn.xlookup('Bulk Order Details'!P180,Chest[Display],Chest[Use])="Flat",_xlfn.xlookup('Bulk Order Details'!P180,Chest[Display],Chest[Flat]),ROUND(_xlfn.xlookup('Bulk Order Details'!P180,Chest[Display],Chest[Pct])*$E170,2))),"")</f>
        <v/>
      </c>
      <c r="N170" s="222" t="str">
        <f aca="false">IFERROR(IF('Bulk Order Details'!Q180="","",IF(_xlfn.xlookup('Bulk Order Details'!Q180,Chest[Display],Chest[Use])="Flat",_xlfn.xlookup('Bulk Order Details'!Q180,Chest[Display],Chest[Flat]),ROUND(_xlfn.xlookup('Bulk Order Details'!Q180,Chest[Display],Chest[Pct])*$E170,2))),"")</f>
        <v/>
      </c>
      <c r="O170" s="222" t="str">
        <f aca="false">IFERROR(IF('Bulk Order Details'!R180="","",IF(_xlfn.xlookup('Bulk Order Details'!R180,LeftSleeve[Display],LeftSleeve[Use])="Flat",_xlfn.xlookup('Bulk Order Details'!R180,LeftSleeve[Display],LeftSleeve[Flat]),ROUND(_xlfn.xlookup('Bulk Order Details'!R180,LeftSleeve[Display],LeftSleeve[Pct])*$E170,2))),"")</f>
        <v/>
      </c>
      <c r="P170" s="222" t="str">
        <f aca="false">IFERROR(IF('Bulk Order Details'!S180="","",IF(_xlfn.xlookup('Bulk Order Details'!S180,RightSleeve[Display],RightSleeve[Use])="Flat",_xlfn.xlookup('Bulk Order Details'!S180,RightSleeve[Display],RightSleeve[Flat]),ROUND(_xlfn.xlookup('Bulk Order Details'!S180,RightSleeve[Display],RightSleeve[Pct])*$E170,2))),"")</f>
        <v/>
      </c>
      <c r="Q170" s="214" t="str">
        <f aca="false">IF('Bulk Order Details'!J180="","",SUM(F170:P170))</f>
        <v/>
      </c>
      <c r="R170" s="213" t="str">
        <f aca="false">IFERROR(E170-D170,"")</f>
        <v/>
      </c>
      <c r="S170" s="215" t="str">
        <f aca="false">IFERROR(MIN(IF(Summary!$D$11="Yes",-J170,0),IF(H170&gt;0,-J170,0)),"")</f>
        <v/>
      </c>
      <c r="T170" s="212" t="str">
        <f aca="false">IFERROR(IF(Summary!$D$10="Yes",-K170,""),"")</f>
        <v/>
      </c>
      <c r="U170" s="213" t="str">
        <f aca="false">IFERROR(IF(Summary!$D$12="Yes",-L170,""),"")</f>
        <v/>
      </c>
      <c r="V170" s="216" t="str">
        <f aca="false">IF('Bulk Order Details'!J180="","",SUM(R170:U170))</f>
        <v/>
      </c>
      <c r="W170" s="217" t="str">
        <f aca="false">IF('Bulk Order Details'!J180="","",D170+Q170)</f>
        <v/>
      </c>
      <c r="X170" s="218" t="str">
        <f aca="false">IF('Bulk Order Details'!J180="","",D170+Q170+V170)</f>
        <v/>
      </c>
      <c r="Y170" s="219" t="str">
        <f aca="false">IFERROR((W170-X170)/W170,"")</f>
        <v/>
      </c>
      <c r="Z170" s="220" t="str">
        <f aca="false">IF('Bulk Order Details'!J180="","",MAX(1,'Bulk Order Details'!D180))</f>
        <v/>
      </c>
      <c r="AA170" s="217" t="str">
        <f aca="false">IF(Pricing_Details[[#This Row],[Quantity]]="","",Pricing_Details[[#This Row],[Retail Price]]*Pricing_Details[[#This Row],[Quantity]])</f>
        <v/>
      </c>
      <c r="AB170" s="217" t="str">
        <f aca="false">IF(Pricing_Details[[#This Row],[Quantity]]="","",Pricing_Details[[#This Row],[Total Discount]]*Pricing_Details[[#This Row],[Quantity]])</f>
        <v/>
      </c>
      <c r="AC170" s="221" t="str">
        <f aca="false">IFERROR(ROUND(Pricing_Details[[#This Row],[Actual Price]]*Pricing_Details[[#This Row],[Quantity]],2),"")</f>
        <v/>
      </c>
      <c r="AE170" s="179" t="str">
        <f aca="false">IF('Bulk Order Details'!J180="","",VLOOKUP('Bulk Order Details'!H180,Collection[],3)&amp;VLOOKUP('Bulk Order Details'!J180,Collar[],4)&amp;VLOOKUP('Bulk Order Details'!I180,Sleeve[],4))</f>
        <v/>
      </c>
      <c r="AF170" s="179" t="str">
        <f aca="false">IF('Bulk Order Details'!J180="","",LOOKUP('Bulk Order Details'!E180,Cut[Display],Cut[Code])&amp;LOOKUP('Bulk Order Details'!F180,#REF!,#REF!)&amp;IF('Bulk Order Details'!G180="","",LOOKUP('Bulk Order Details'!G180,Length[Display],Length[Code])))</f>
        <v/>
      </c>
      <c r="AG170" s="179" t="str">
        <f aca="false">IF('Bulk Order Details'!J180="","",IF('Bulk Order Details'!C180="","",'Bulk Order Details'!C180))</f>
        <v/>
      </c>
      <c r="AH170" s="179" t="str">
        <f aca="false">IF('Bulk Order Details'!O180="","","-"&amp;LOOKUP('Bulk Order Details'!O180,#REF!,#REF!))</f>
        <v/>
      </c>
      <c r="AI170" s="179" t="str">
        <f aca="false">IF('Bulk Order Details'!P180="","","-"&amp;LOOKUP('Bulk Order Details'!P180,#REF!,#REF!))</f>
        <v/>
      </c>
      <c r="AJ170" s="179" t="str">
        <f aca="false">IF('Bulk Order Details'!Q180="","","-"&amp;LOOKUP('Bulk Order Details'!Q180,#REF!,#REF!))</f>
        <v/>
      </c>
      <c r="AK170" s="179" t="str">
        <f aca="false">IF('Bulk Order Details'!R180="","","-"&amp;LOOKUP('Bulk Order Details'!R180,#REF!,#REF!))</f>
        <v/>
      </c>
      <c r="AL170" s="179" t="str">
        <f aca="false">IF('Bulk Order Details'!S180="","","-"&amp;LOOKUP('Bulk Order Details'!S180,#REF!,#REF!))</f>
        <v/>
      </c>
      <c r="AM170" s="179" t="str">
        <f aca="false">IF(_xlfn.CONCAT(AH170:AL170)="","","Lo"&amp;_xlfn.CONCAT(AH170:AL170))</f>
        <v/>
      </c>
      <c r="AN170" s="179" t="str">
        <f aca="false">IF('Bulk Order Details'!K180="","","Na-"&amp;'Bulk Order Details'!K180)</f>
        <v/>
      </c>
      <c r="AO170" s="179" t="str">
        <f aca="false">IF('Bulk Order Details'!N180="","","Fo-"&amp;'Bulk Order Details'!N180)</f>
        <v/>
      </c>
      <c r="AP170" s="179" t="str">
        <f aca="false">IF(AE170="","",AE170&amp;"_"&amp;AF170&amp;"_"&amp;AG170&amp;IF(AM170="","","_"&amp;AM170)&amp;IF(AN170="","","_"&amp;AN170)&amp;IF(AO170="","","_"&amp;AO170))</f>
        <v/>
      </c>
      <c r="AQ170" s="218" t="str">
        <f aca="false">IF(X170="","",X170)</f>
        <v/>
      </c>
    </row>
    <row r="171" customFormat="false" ht="15" hidden="false" customHeight="true" outlineLevel="0" collapsed="false">
      <c r="B171" s="209" t="n">
        <f aca="false">'Bulk Order Details'!B181</f>
        <v>168</v>
      </c>
      <c r="C171" s="209" t="e">
        <f aca="false">IF('bulk order details'!#ref!="","",'bulk order details'!#ref!&amp;" "&amp;'bulk order details'!#ref!)</f>
        <v>#VALUE!</v>
      </c>
      <c r="D171" s="210" t="str">
        <f aca="false">IF('Bulk Order Details'!J181="","",VLOOKUP(1,Price[],3))</f>
        <v/>
      </c>
      <c r="E171" s="211" t="str">
        <f aca="false">IF('Bulk Order Details'!J181="","",Summary!$D$9)</f>
        <v/>
      </c>
      <c r="F171" s="212" t="str">
        <f aca="false">IF('Bulk Order Details'!F181="","",_xlfn.xlookup('Bulk Order Details'!F181,Size[Display],Size[Price]))</f>
        <v/>
      </c>
      <c r="G171" s="212" t="str">
        <f aca="false">IF('Bulk Order Details'!G181="","",_xlfn.xlookup('Bulk Order Details'!G181,Length[Display],Length[Price]))</f>
        <v/>
      </c>
      <c r="H171" s="212" t="str">
        <f aca="false">IF('Bulk Order Details'!H181="","",_xlfn.xlookup('Bulk Order Details'!H181,Collection[Display],Collection[Price]))</f>
        <v/>
      </c>
      <c r="I171" s="212" t="str">
        <f aca="false">IF('Bulk Order Details'!I181="","",_xlfn.xlookup('Bulk Order Details'!I181,Sleeve[Display],Sleeve[Price]))</f>
        <v/>
      </c>
      <c r="J171" s="212" t="str">
        <f aca="false">IF('Bulk Order Details'!J181="","",_xlfn.xlookup('Bulk Order Details'!J181,Collar[Display],Collar[Price]))</f>
        <v/>
      </c>
      <c r="K171" s="212" t="str">
        <f aca="false">IF('Bulk Order Details'!K181="","",_xlfn.xlookup("Name",Name[Name],Name[Price]))</f>
        <v/>
      </c>
      <c r="L171" s="213" t="str">
        <f aca="false">IFERROR(IF('Bulk Order Details'!O181="","",IF(_xlfn.xlookup('Bulk Order Details'!O181,Logos[Display],Logos[Use])="Flat",_xlfn.xlookup('Bulk Order Details'!O181,Logos[Display],Logos[Flat]),ROUND(_xlfn.xlookup('Bulk Order Details'!O181,Logos[Display],Logos[Pct])*$E171,2))),"")</f>
        <v/>
      </c>
      <c r="M171" s="222" t="str">
        <f aca="false">IFERROR(IF('Bulk Order Details'!P181="","",IF(_xlfn.xlookup('Bulk Order Details'!P181,Chest[Display],Chest[Use])="Flat",_xlfn.xlookup('Bulk Order Details'!P181,Chest[Display],Chest[Flat]),ROUND(_xlfn.xlookup('Bulk Order Details'!P181,Chest[Display],Chest[Pct])*$E171,2))),"")</f>
        <v/>
      </c>
      <c r="N171" s="222" t="str">
        <f aca="false">IFERROR(IF('Bulk Order Details'!Q181="","",IF(_xlfn.xlookup('Bulk Order Details'!Q181,Chest[Display],Chest[Use])="Flat",_xlfn.xlookup('Bulk Order Details'!Q181,Chest[Display],Chest[Flat]),ROUND(_xlfn.xlookup('Bulk Order Details'!Q181,Chest[Display],Chest[Pct])*$E171,2))),"")</f>
        <v/>
      </c>
      <c r="O171" s="222" t="str">
        <f aca="false">IFERROR(IF('Bulk Order Details'!R181="","",IF(_xlfn.xlookup('Bulk Order Details'!R181,LeftSleeve[Display],LeftSleeve[Use])="Flat",_xlfn.xlookup('Bulk Order Details'!R181,LeftSleeve[Display],LeftSleeve[Flat]),ROUND(_xlfn.xlookup('Bulk Order Details'!R181,LeftSleeve[Display],LeftSleeve[Pct])*$E171,2))),"")</f>
        <v/>
      </c>
      <c r="P171" s="222" t="str">
        <f aca="false">IFERROR(IF('Bulk Order Details'!S181="","",IF(_xlfn.xlookup('Bulk Order Details'!S181,RightSleeve[Display],RightSleeve[Use])="Flat",_xlfn.xlookup('Bulk Order Details'!S181,RightSleeve[Display],RightSleeve[Flat]),ROUND(_xlfn.xlookup('Bulk Order Details'!S181,RightSleeve[Display],RightSleeve[Pct])*$E171,2))),"")</f>
        <v/>
      </c>
      <c r="Q171" s="214" t="str">
        <f aca="false">IF('Bulk Order Details'!J181="","",SUM(F171:P171))</f>
        <v/>
      </c>
      <c r="R171" s="213" t="str">
        <f aca="false">IFERROR(E171-D171,"")</f>
        <v/>
      </c>
      <c r="S171" s="215" t="str">
        <f aca="false">IFERROR(MIN(IF(Summary!$D$11="Yes",-J171,0),IF(H171&gt;0,-J171,0)),"")</f>
        <v/>
      </c>
      <c r="T171" s="212" t="str">
        <f aca="false">IFERROR(IF(Summary!$D$10="Yes",-K171,""),"")</f>
        <v/>
      </c>
      <c r="U171" s="213" t="str">
        <f aca="false">IFERROR(IF(Summary!$D$12="Yes",-L171,""),"")</f>
        <v/>
      </c>
      <c r="V171" s="216" t="str">
        <f aca="false">IF('Bulk Order Details'!J181="","",SUM(R171:U171))</f>
        <v/>
      </c>
      <c r="W171" s="217" t="str">
        <f aca="false">IF('Bulk Order Details'!J181="","",D171+Q171)</f>
        <v/>
      </c>
      <c r="X171" s="218" t="str">
        <f aca="false">IF('Bulk Order Details'!J181="","",D171+Q171+V171)</f>
        <v/>
      </c>
      <c r="Y171" s="219" t="str">
        <f aca="false">IFERROR((W171-X171)/W171,"")</f>
        <v/>
      </c>
      <c r="Z171" s="220" t="str">
        <f aca="false">IF('Bulk Order Details'!J181="","",MAX(1,'Bulk Order Details'!D181))</f>
        <v/>
      </c>
      <c r="AA171" s="217" t="str">
        <f aca="false">IF(Pricing_Details[[#This Row],[Quantity]]="","",Pricing_Details[[#This Row],[Retail Price]]*Pricing_Details[[#This Row],[Quantity]])</f>
        <v/>
      </c>
      <c r="AB171" s="217" t="str">
        <f aca="false">IF(Pricing_Details[[#This Row],[Quantity]]="","",Pricing_Details[[#This Row],[Total Discount]]*Pricing_Details[[#This Row],[Quantity]])</f>
        <v/>
      </c>
      <c r="AC171" s="221" t="str">
        <f aca="false">IFERROR(ROUND(Pricing_Details[[#This Row],[Actual Price]]*Pricing_Details[[#This Row],[Quantity]],2),"")</f>
        <v/>
      </c>
      <c r="AE171" s="179" t="str">
        <f aca="false">IF('Bulk Order Details'!J181="","",VLOOKUP('Bulk Order Details'!H181,Collection[],3)&amp;VLOOKUP('Bulk Order Details'!J181,Collar[],4)&amp;VLOOKUP('Bulk Order Details'!I181,Sleeve[],4))</f>
        <v/>
      </c>
      <c r="AF171" s="179" t="str">
        <f aca="false">IF('Bulk Order Details'!J181="","",LOOKUP('Bulk Order Details'!E181,Cut[Display],Cut[Code])&amp;LOOKUP('Bulk Order Details'!F181,#REF!,#REF!)&amp;IF('Bulk Order Details'!G181="","",LOOKUP('Bulk Order Details'!G181,Length[Display],Length[Code])))</f>
        <v/>
      </c>
      <c r="AG171" s="179" t="str">
        <f aca="false">IF('Bulk Order Details'!J181="","",IF('Bulk Order Details'!C181="","",'Bulk Order Details'!C181))</f>
        <v/>
      </c>
      <c r="AH171" s="179" t="str">
        <f aca="false">IF('Bulk Order Details'!O181="","","-"&amp;LOOKUP('Bulk Order Details'!O181,#REF!,#REF!))</f>
        <v/>
      </c>
      <c r="AI171" s="179" t="str">
        <f aca="false">IF('Bulk Order Details'!P181="","","-"&amp;LOOKUP('Bulk Order Details'!P181,#REF!,#REF!))</f>
        <v/>
      </c>
      <c r="AJ171" s="179" t="str">
        <f aca="false">IF('Bulk Order Details'!Q181="","","-"&amp;LOOKUP('Bulk Order Details'!Q181,#REF!,#REF!))</f>
        <v/>
      </c>
      <c r="AK171" s="179" t="str">
        <f aca="false">IF('Bulk Order Details'!R181="","","-"&amp;LOOKUP('Bulk Order Details'!R181,#REF!,#REF!))</f>
        <v/>
      </c>
      <c r="AL171" s="179" t="str">
        <f aca="false">IF('Bulk Order Details'!S181="","","-"&amp;LOOKUP('Bulk Order Details'!S181,#REF!,#REF!))</f>
        <v/>
      </c>
      <c r="AM171" s="179" t="str">
        <f aca="false">IF(_xlfn.CONCAT(AH171:AL171)="","","Lo"&amp;_xlfn.CONCAT(AH171:AL171))</f>
        <v/>
      </c>
      <c r="AN171" s="179" t="str">
        <f aca="false">IF('Bulk Order Details'!K181="","","Na-"&amp;'Bulk Order Details'!K181)</f>
        <v/>
      </c>
      <c r="AO171" s="179" t="str">
        <f aca="false">IF('Bulk Order Details'!N181="","","Fo-"&amp;'Bulk Order Details'!N181)</f>
        <v/>
      </c>
      <c r="AP171" s="179" t="str">
        <f aca="false">IF(AE171="","",AE171&amp;"_"&amp;AF171&amp;"_"&amp;AG171&amp;IF(AM171="","","_"&amp;AM171)&amp;IF(AN171="","","_"&amp;AN171)&amp;IF(AO171="","","_"&amp;AO171))</f>
        <v/>
      </c>
      <c r="AQ171" s="218" t="str">
        <f aca="false">IF(X171="","",X171)</f>
        <v/>
      </c>
    </row>
    <row r="172" customFormat="false" ht="15" hidden="false" customHeight="true" outlineLevel="0" collapsed="false">
      <c r="B172" s="209" t="n">
        <f aca="false">'Bulk Order Details'!B182</f>
        <v>169</v>
      </c>
      <c r="C172" s="209" t="e">
        <f aca="false">IF('bulk order details'!#ref!="","",'bulk order details'!#ref!&amp;" "&amp;'bulk order details'!#ref!)</f>
        <v>#VALUE!</v>
      </c>
      <c r="D172" s="210" t="str">
        <f aca="false">IF('Bulk Order Details'!J182="","",VLOOKUP(1,Price[],3))</f>
        <v/>
      </c>
      <c r="E172" s="211" t="str">
        <f aca="false">IF('Bulk Order Details'!J182="","",Summary!$D$9)</f>
        <v/>
      </c>
      <c r="F172" s="212" t="str">
        <f aca="false">IF('Bulk Order Details'!F182="","",_xlfn.xlookup('Bulk Order Details'!F182,Size[Display],Size[Price]))</f>
        <v/>
      </c>
      <c r="G172" s="212" t="str">
        <f aca="false">IF('Bulk Order Details'!G182="","",_xlfn.xlookup('Bulk Order Details'!G182,Length[Display],Length[Price]))</f>
        <v/>
      </c>
      <c r="H172" s="212" t="str">
        <f aca="false">IF('Bulk Order Details'!H182="","",_xlfn.xlookup('Bulk Order Details'!H182,Collection[Display],Collection[Price]))</f>
        <v/>
      </c>
      <c r="I172" s="212" t="str">
        <f aca="false">IF('Bulk Order Details'!I182="","",_xlfn.xlookup('Bulk Order Details'!I182,Sleeve[Display],Sleeve[Price]))</f>
        <v/>
      </c>
      <c r="J172" s="212" t="str">
        <f aca="false">IF('Bulk Order Details'!J182="","",_xlfn.xlookup('Bulk Order Details'!J182,Collar[Display],Collar[Price]))</f>
        <v/>
      </c>
      <c r="K172" s="212" t="str">
        <f aca="false">IF('Bulk Order Details'!K182="","",_xlfn.xlookup("Name",Name[Name],Name[Price]))</f>
        <v/>
      </c>
      <c r="L172" s="213" t="str">
        <f aca="false">IFERROR(IF('Bulk Order Details'!O182="","",IF(_xlfn.xlookup('Bulk Order Details'!O182,Logos[Display],Logos[Use])="Flat",_xlfn.xlookup('Bulk Order Details'!O182,Logos[Display],Logos[Flat]),ROUND(_xlfn.xlookup('Bulk Order Details'!O182,Logos[Display],Logos[Pct])*$E172,2))),"")</f>
        <v/>
      </c>
      <c r="M172" s="222" t="str">
        <f aca="false">IFERROR(IF('Bulk Order Details'!P182="","",IF(_xlfn.xlookup('Bulk Order Details'!P182,Chest[Display],Chest[Use])="Flat",_xlfn.xlookup('Bulk Order Details'!P182,Chest[Display],Chest[Flat]),ROUND(_xlfn.xlookup('Bulk Order Details'!P182,Chest[Display],Chest[Pct])*$E172,2))),"")</f>
        <v/>
      </c>
      <c r="N172" s="222" t="str">
        <f aca="false">IFERROR(IF('Bulk Order Details'!Q182="","",IF(_xlfn.xlookup('Bulk Order Details'!Q182,Chest[Display],Chest[Use])="Flat",_xlfn.xlookup('Bulk Order Details'!Q182,Chest[Display],Chest[Flat]),ROUND(_xlfn.xlookup('Bulk Order Details'!Q182,Chest[Display],Chest[Pct])*$E172,2))),"")</f>
        <v/>
      </c>
      <c r="O172" s="222" t="str">
        <f aca="false">IFERROR(IF('Bulk Order Details'!R182="","",IF(_xlfn.xlookup('Bulk Order Details'!R182,LeftSleeve[Display],LeftSleeve[Use])="Flat",_xlfn.xlookup('Bulk Order Details'!R182,LeftSleeve[Display],LeftSleeve[Flat]),ROUND(_xlfn.xlookup('Bulk Order Details'!R182,LeftSleeve[Display],LeftSleeve[Pct])*$E172,2))),"")</f>
        <v/>
      </c>
      <c r="P172" s="222" t="str">
        <f aca="false">IFERROR(IF('Bulk Order Details'!S182="","",IF(_xlfn.xlookup('Bulk Order Details'!S182,RightSleeve[Display],RightSleeve[Use])="Flat",_xlfn.xlookup('Bulk Order Details'!S182,RightSleeve[Display],RightSleeve[Flat]),ROUND(_xlfn.xlookup('Bulk Order Details'!S182,RightSleeve[Display],RightSleeve[Pct])*$E172,2))),"")</f>
        <v/>
      </c>
      <c r="Q172" s="214" t="str">
        <f aca="false">IF('Bulk Order Details'!J182="","",SUM(F172:P172))</f>
        <v/>
      </c>
      <c r="R172" s="213" t="str">
        <f aca="false">IFERROR(E172-D172,"")</f>
        <v/>
      </c>
      <c r="S172" s="215" t="str">
        <f aca="false">IFERROR(MIN(IF(Summary!$D$11="Yes",-J172,0),IF(H172&gt;0,-J172,0)),"")</f>
        <v/>
      </c>
      <c r="T172" s="212" t="str">
        <f aca="false">IFERROR(IF(Summary!$D$10="Yes",-K172,""),"")</f>
        <v/>
      </c>
      <c r="U172" s="213" t="str">
        <f aca="false">IFERROR(IF(Summary!$D$12="Yes",-L172,""),"")</f>
        <v/>
      </c>
      <c r="V172" s="216" t="str">
        <f aca="false">IF('Bulk Order Details'!J182="","",SUM(R172:U172))</f>
        <v/>
      </c>
      <c r="W172" s="217" t="str">
        <f aca="false">IF('Bulk Order Details'!J182="","",D172+Q172)</f>
        <v/>
      </c>
      <c r="X172" s="218" t="str">
        <f aca="false">IF('Bulk Order Details'!J182="","",D172+Q172+V172)</f>
        <v/>
      </c>
      <c r="Y172" s="219" t="str">
        <f aca="false">IFERROR((W172-X172)/W172,"")</f>
        <v/>
      </c>
      <c r="Z172" s="220" t="str">
        <f aca="false">IF('Bulk Order Details'!J182="","",MAX(1,'Bulk Order Details'!D182))</f>
        <v/>
      </c>
      <c r="AA172" s="217" t="str">
        <f aca="false">IF(Pricing_Details[[#This Row],[Quantity]]="","",Pricing_Details[[#This Row],[Retail Price]]*Pricing_Details[[#This Row],[Quantity]])</f>
        <v/>
      </c>
      <c r="AB172" s="217" t="str">
        <f aca="false">IF(Pricing_Details[[#This Row],[Quantity]]="","",Pricing_Details[[#This Row],[Total Discount]]*Pricing_Details[[#This Row],[Quantity]])</f>
        <v/>
      </c>
      <c r="AC172" s="221" t="str">
        <f aca="false">IFERROR(ROUND(Pricing_Details[[#This Row],[Actual Price]]*Pricing_Details[[#This Row],[Quantity]],2),"")</f>
        <v/>
      </c>
      <c r="AE172" s="179" t="str">
        <f aca="false">IF('Bulk Order Details'!J182="","",VLOOKUP('Bulk Order Details'!H182,Collection[],3)&amp;VLOOKUP('Bulk Order Details'!J182,Collar[],4)&amp;VLOOKUP('Bulk Order Details'!I182,Sleeve[],4))</f>
        <v/>
      </c>
      <c r="AF172" s="179" t="str">
        <f aca="false">IF('Bulk Order Details'!J182="","",LOOKUP('Bulk Order Details'!E182,Cut[Display],Cut[Code])&amp;LOOKUP('Bulk Order Details'!F182,#REF!,#REF!)&amp;IF('Bulk Order Details'!G182="","",LOOKUP('Bulk Order Details'!G182,Length[Display],Length[Code])))</f>
        <v/>
      </c>
      <c r="AG172" s="179" t="str">
        <f aca="false">IF('Bulk Order Details'!J182="","",IF('Bulk Order Details'!C182="","",'Bulk Order Details'!C182))</f>
        <v/>
      </c>
      <c r="AH172" s="179" t="str">
        <f aca="false">IF('Bulk Order Details'!O182="","","-"&amp;LOOKUP('Bulk Order Details'!O182,#REF!,#REF!))</f>
        <v/>
      </c>
      <c r="AI172" s="179" t="str">
        <f aca="false">IF('Bulk Order Details'!P182="","","-"&amp;LOOKUP('Bulk Order Details'!P182,#REF!,#REF!))</f>
        <v/>
      </c>
      <c r="AJ172" s="179" t="str">
        <f aca="false">IF('Bulk Order Details'!Q182="","","-"&amp;LOOKUP('Bulk Order Details'!Q182,#REF!,#REF!))</f>
        <v/>
      </c>
      <c r="AK172" s="179" t="str">
        <f aca="false">IF('Bulk Order Details'!R182="","","-"&amp;LOOKUP('Bulk Order Details'!R182,#REF!,#REF!))</f>
        <v/>
      </c>
      <c r="AL172" s="179" t="str">
        <f aca="false">IF('Bulk Order Details'!S182="","","-"&amp;LOOKUP('Bulk Order Details'!S182,#REF!,#REF!))</f>
        <v/>
      </c>
      <c r="AM172" s="179" t="str">
        <f aca="false">IF(_xlfn.CONCAT(AH172:AL172)="","","Lo"&amp;_xlfn.CONCAT(AH172:AL172))</f>
        <v/>
      </c>
      <c r="AN172" s="179" t="str">
        <f aca="false">IF('Bulk Order Details'!K182="","","Na-"&amp;'Bulk Order Details'!K182)</f>
        <v/>
      </c>
      <c r="AO172" s="179" t="str">
        <f aca="false">IF('Bulk Order Details'!N182="","","Fo-"&amp;'Bulk Order Details'!N182)</f>
        <v/>
      </c>
      <c r="AP172" s="179" t="str">
        <f aca="false">IF(AE172="","",AE172&amp;"_"&amp;AF172&amp;"_"&amp;AG172&amp;IF(AM172="","","_"&amp;AM172)&amp;IF(AN172="","","_"&amp;AN172)&amp;IF(AO172="","","_"&amp;AO172))</f>
        <v/>
      </c>
      <c r="AQ172" s="218" t="str">
        <f aca="false">IF(X172="","",X172)</f>
        <v/>
      </c>
    </row>
    <row r="173" customFormat="false" ht="15" hidden="false" customHeight="true" outlineLevel="0" collapsed="false">
      <c r="B173" s="209" t="n">
        <f aca="false">'Bulk Order Details'!B183</f>
        <v>170</v>
      </c>
      <c r="C173" s="209" t="e">
        <f aca="false">IF('bulk order details'!#ref!="","",'bulk order details'!#ref!&amp;" "&amp;'bulk order details'!#ref!)</f>
        <v>#VALUE!</v>
      </c>
      <c r="D173" s="210" t="str">
        <f aca="false">IF('Bulk Order Details'!J183="","",VLOOKUP(1,Price[],3))</f>
        <v/>
      </c>
      <c r="E173" s="211" t="str">
        <f aca="false">IF('Bulk Order Details'!J183="","",Summary!$D$9)</f>
        <v/>
      </c>
      <c r="F173" s="212" t="str">
        <f aca="false">IF('Bulk Order Details'!F183="","",_xlfn.xlookup('Bulk Order Details'!F183,Size[Display],Size[Price]))</f>
        <v/>
      </c>
      <c r="G173" s="212" t="str">
        <f aca="false">IF('Bulk Order Details'!G183="","",_xlfn.xlookup('Bulk Order Details'!G183,Length[Display],Length[Price]))</f>
        <v/>
      </c>
      <c r="H173" s="212" t="str">
        <f aca="false">IF('Bulk Order Details'!H183="","",_xlfn.xlookup('Bulk Order Details'!H183,Collection[Display],Collection[Price]))</f>
        <v/>
      </c>
      <c r="I173" s="212" t="str">
        <f aca="false">IF('Bulk Order Details'!I183="","",_xlfn.xlookup('Bulk Order Details'!I183,Sleeve[Display],Sleeve[Price]))</f>
        <v/>
      </c>
      <c r="J173" s="212" t="str">
        <f aca="false">IF('Bulk Order Details'!J183="","",_xlfn.xlookup('Bulk Order Details'!J183,Collar[Display],Collar[Price]))</f>
        <v/>
      </c>
      <c r="K173" s="212" t="str">
        <f aca="false">IF('Bulk Order Details'!K183="","",_xlfn.xlookup("Name",Name[Name],Name[Price]))</f>
        <v/>
      </c>
      <c r="L173" s="213" t="str">
        <f aca="false">IFERROR(IF('Bulk Order Details'!O183="","",IF(_xlfn.xlookup('Bulk Order Details'!O183,Logos[Display],Logos[Use])="Flat",_xlfn.xlookup('Bulk Order Details'!O183,Logos[Display],Logos[Flat]),ROUND(_xlfn.xlookup('Bulk Order Details'!O183,Logos[Display],Logos[Pct])*$E173,2))),"")</f>
        <v/>
      </c>
      <c r="M173" s="222" t="str">
        <f aca="false">IFERROR(IF('Bulk Order Details'!P183="","",IF(_xlfn.xlookup('Bulk Order Details'!P183,Chest[Display],Chest[Use])="Flat",_xlfn.xlookup('Bulk Order Details'!P183,Chest[Display],Chest[Flat]),ROUND(_xlfn.xlookup('Bulk Order Details'!P183,Chest[Display],Chest[Pct])*$E173,2))),"")</f>
        <v/>
      </c>
      <c r="N173" s="222" t="str">
        <f aca="false">IFERROR(IF('Bulk Order Details'!Q183="","",IF(_xlfn.xlookup('Bulk Order Details'!Q183,Chest[Display],Chest[Use])="Flat",_xlfn.xlookup('Bulk Order Details'!Q183,Chest[Display],Chest[Flat]),ROUND(_xlfn.xlookup('Bulk Order Details'!Q183,Chest[Display],Chest[Pct])*$E173,2))),"")</f>
        <v/>
      </c>
      <c r="O173" s="222" t="str">
        <f aca="false">IFERROR(IF('Bulk Order Details'!R183="","",IF(_xlfn.xlookup('Bulk Order Details'!R183,LeftSleeve[Display],LeftSleeve[Use])="Flat",_xlfn.xlookup('Bulk Order Details'!R183,LeftSleeve[Display],LeftSleeve[Flat]),ROUND(_xlfn.xlookup('Bulk Order Details'!R183,LeftSleeve[Display],LeftSleeve[Pct])*$E173,2))),"")</f>
        <v/>
      </c>
      <c r="P173" s="222" t="str">
        <f aca="false">IFERROR(IF('Bulk Order Details'!S183="","",IF(_xlfn.xlookup('Bulk Order Details'!S183,RightSleeve[Display],RightSleeve[Use])="Flat",_xlfn.xlookup('Bulk Order Details'!S183,RightSleeve[Display],RightSleeve[Flat]),ROUND(_xlfn.xlookup('Bulk Order Details'!S183,RightSleeve[Display],RightSleeve[Pct])*$E173,2))),"")</f>
        <v/>
      </c>
      <c r="Q173" s="214" t="str">
        <f aca="false">IF('Bulk Order Details'!J183="","",SUM(F173:P173))</f>
        <v/>
      </c>
      <c r="R173" s="213" t="str">
        <f aca="false">IFERROR(E173-D173,"")</f>
        <v/>
      </c>
      <c r="S173" s="215" t="str">
        <f aca="false">IFERROR(MIN(IF(Summary!$D$11="Yes",-J173,0),IF(H173&gt;0,-J173,0)),"")</f>
        <v/>
      </c>
      <c r="T173" s="212" t="str">
        <f aca="false">IFERROR(IF(Summary!$D$10="Yes",-K173,""),"")</f>
        <v/>
      </c>
      <c r="U173" s="213" t="str">
        <f aca="false">IFERROR(IF(Summary!$D$12="Yes",-L173,""),"")</f>
        <v/>
      </c>
      <c r="V173" s="216" t="str">
        <f aca="false">IF('Bulk Order Details'!J183="","",SUM(R173:U173))</f>
        <v/>
      </c>
      <c r="W173" s="217" t="str">
        <f aca="false">IF('Bulk Order Details'!J183="","",D173+Q173)</f>
        <v/>
      </c>
      <c r="X173" s="218" t="str">
        <f aca="false">IF('Bulk Order Details'!J183="","",D173+Q173+V173)</f>
        <v/>
      </c>
      <c r="Y173" s="219" t="str">
        <f aca="false">IFERROR((W173-X173)/W173,"")</f>
        <v/>
      </c>
      <c r="Z173" s="220" t="str">
        <f aca="false">IF('Bulk Order Details'!J183="","",MAX(1,'Bulk Order Details'!D183))</f>
        <v/>
      </c>
      <c r="AA173" s="217" t="str">
        <f aca="false">IF(Pricing_Details[[#This Row],[Quantity]]="","",Pricing_Details[[#This Row],[Retail Price]]*Pricing_Details[[#This Row],[Quantity]])</f>
        <v/>
      </c>
      <c r="AB173" s="217" t="str">
        <f aca="false">IF(Pricing_Details[[#This Row],[Quantity]]="","",Pricing_Details[[#This Row],[Total Discount]]*Pricing_Details[[#This Row],[Quantity]])</f>
        <v/>
      </c>
      <c r="AC173" s="221" t="str">
        <f aca="false">IFERROR(ROUND(Pricing_Details[[#This Row],[Actual Price]]*Pricing_Details[[#This Row],[Quantity]],2),"")</f>
        <v/>
      </c>
      <c r="AE173" s="179" t="str">
        <f aca="false">IF('Bulk Order Details'!J183="","",VLOOKUP('Bulk Order Details'!H183,Collection[],3)&amp;VLOOKUP('Bulk Order Details'!J183,Collar[],4)&amp;VLOOKUP('Bulk Order Details'!I183,Sleeve[],4))</f>
        <v/>
      </c>
      <c r="AF173" s="179" t="str">
        <f aca="false">IF('Bulk Order Details'!J183="","",LOOKUP('Bulk Order Details'!E183,Cut[Display],Cut[Code])&amp;LOOKUP('Bulk Order Details'!F183,#REF!,#REF!)&amp;IF('Bulk Order Details'!G183="","",LOOKUP('Bulk Order Details'!G183,Length[Display],Length[Code])))</f>
        <v/>
      </c>
      <c r="AG173" s="179" t="str">
        <f aca="false">IF('Bulk Order Details'!J183="","",IF('Bulk Order Details'!C183="","",'Bulk Order Details'!C183))</f>
        <v/>
      </c>
      <c r="AH173" s="179" t="str">
        <f aca="false">IF('Bulk Order Details'!O183="","","-"&amp;LOOKUP('Bulk Order Details'!O183,#REF!,#REF!))</f>
        <v/>
      </c>
      <c r="AI173" s="179" t="str">
        <f aca="false">IF('Bulk Order Details'!P183="","","-"&amp;LOOKUP('Bulk Order Details'!P183,#REF!,#REF!))</f>
        <v/>
      </c>
      <c r="AJ173" s="179" t="str">
        <f aca="false">IF('Bulk Order Details'!Q183="","","-"&amp;LOOKUP('Bulk Order Details'!Q183,#REF!,#REF!))</f>
        <v/>
      </c>
      <c r="AK173" s="179" t="str">
        <f aca="false">IF('Bulk Order Details'!R183="","","-"&amp;LOOKUP('Bulk Order Details'!R183,#REF!,#REF!))</f>
        <v/>
      </c>
      <c r="AL173" s="179" t="str">
        <f aca="false">IF('Bulk Order Details'!S183="","","-"&amp;LOOKUP('Bulk Order Details'!S183,#REF!,#REF!))</f>
        <v/>
      </c>
      <c r="AM173" s="179" t="str">
        <f aca="false">IF(_xlfn.CONCAT(AH173:AL173)="","","Lo"&amp;_xlfn.CONCAT(AH173:AL173))</f>
        <v/>
      </c>
      <c r="AN173" s="179" t="str">
        <f aca="false">IF('Bulk Order Details'!K183="","","Na-"&amp;'Bulk Order Details'!K183)</f>
        <v/>
      </c>
      <c r="AO173" s="179" t="str">
        <f aca="false">IF('Bulk Order Details'!N183="","","Fo-"&amp;'Bulk Order Details'!N183)</f>
        <v/>
      </c>
      <c r="AP173" s="179" t="str">
        <f aca="false">IF(AE173="","",AE173&amp;"_"&amp;AF173&amp;"_"&amp;AG173&amp;IF(AM173="","","_"&amp;AM173)&amp;IF(AN173="","","_"&amp;AN173)&amp;IF(AO173="","","_"&amp;AO173))</f>
        <v/>
      </c>
      <c r="AQ173" s="218" t="str">
        <f aca="false">IF(X173="","",X173)</f>
        <v/>
      </c>
    </row>
    <row r="174" customFormat="false" ht="15" hidden="false" customHeight="true" outlineLevel="0" collapsed="false">
      <c r="B174" s="209" t="n">
        <f aca="false">'Bulk Order Details'!B184</f>
        <v>171</v>
      </c>
      <c r="C174" s="209" t="e">
        <f aca="false">IF('bulk order details'!#ref!="","",'bulk order details'!#ref!&amp;" "&amp;'bulk order details'!#ref!)</f>
        <v>#VALUE!</v>
      </c>
      <c r="D174" s="210" t="str">
        <f aca="false">IF('Bulk Order Details'!J184="","",VLOOKUP(1,Price[],3))</f>
        <v/>
      </c>
      <c r="E174" s="211" t="str">
        <f aca="false">IF('Bulk Order Details'!J184="","",Summary!$D$9)</f>
        <v/>
      </c>
      <c r="F174" s="212" t="str">
        <f aca="false">IF('Bulk Order Details'!F184="","",_xlfn.xlookup('Bulk Order Details'!F184,Size[Display],Size[Price]))</f>
        <v/>
      </c>
      <c r="G174" s="212" t="str">
        <f aca="false">IF('Bulk Order Details'!G184="","",_xlfn.xlookup('Bulk Order Details'!G184,Length[Display],Length[Price]))</f>
        <v/>
      </c>
      <c r="H174" s="212" t="str">
        <f aca="false">IF('Bulk Order Details'!H184="","",_xlfn.xlookup('Bulk Order Details'!H184,Collection[Display],Collection[Price]))</f>
        <v/>
      </c>
      <c r="I174" s="212" t="str">
        <f aca="false">IF('Bulk Order Details'!I184="","",_xlfn.xlookup('Bulk Order Details'!I184,Sleeve[Display],Sleeve[Price]))</f>
        <v/>
      </c>
      <c r="J174" s="212" t="str">
        <f aca="false">IF('Bulk Order Details'!J184="","",_xlfn.xlookup('Bulk Order Details'!J184,Collar[Display],Collar[Price]))</f>
        <v/>
      </c>
      <c r="K174" s="212" t="str">
        <f aca="false">IF('Bulk Order Details'!K184="","",_xlfn.xlookup("Name",Name[Name],Name[Price]))</f>
        <v/>
      </c>
      <c r="L174" s="213" t="str">
        <f aca="false">IFERROR(IF('Bulk Order Details'!O184="","",IF(_xlfn.xlookup('Bulk Order Details'!O184,Logos[Display],Logos[Use])="Flat",_xlfn.xlookup('Bulk Order Details'!O184,Logos[Display],Logos[Flat]),ROUND(_xlfn.xlookup('Bulk Order Details'!O184,Logos[Display],Logos[Pct])*$E174,2))),"")</f>
        <v/>
      </c>
      <c r="M174" s="222" t="str">
        <f aca="false">IFERROR(IF('Bulk Order Details'!P184="","",IF(_xlfn.xlookup('Bulk Order Details'!P184,Chest[Display],Chest[Use])="Flat",_xlfn.xlookup('Bulk Order Details'!P184,Chest[Display],Chest[Flat]),ROUND(_xlfn.xlookup('Bulk Order Details'!P184,Chest[Display],Chest[Pct])*$E174,2))),"")</f>
        <v/>
      </c>
      <c r="N174" s="222" t="str">
        <f aca="false">IFERROR(IF('Bulk Order Details'!Q184="","",IF(_xlfn.xlookup('Bulk Order Details'!Q184,Chest[Display],Chest[Use])="Flat",_xlfn.xlookup('Bulk Order Details'!Q184,Chest[Display],Chest[Flat]),ROUND(_xlfn.xlookup('Bulk Order Details'!Q184,Chest[Display],Chest[Pct])*$E174,2))),"")</f>
        <v/>
      </c>
      <c r="O174" s="222" t="str">
        <f aca="false">IFERROR(IF('Bulk Order Details'!R184="","",IF(_xlfn.xlookup('Bulk Order Details'!R184,LeftSleeve[Display],LeftSleeve[Use])="Flat",_xlfn.xlookup('Bulk Order Details'!R184,LeftSleeve[Display],LeftSleeve[Flat]),ROUND(_xlfn.xlookup('Bulk Order Details'!R184,LeftSleeve[Display],LeftSleeve[Pct])*$E174,2))),"")</f>
        <v/>
      </c>
      <c r="P174" s="222" t="str">
        <f aca="false">IFERROR(IF('Bulk Order Details'!S184="","",IF(_xlfn.xlookup('Bulk Order Details'!S184,RightSleeve[Display],RightSleeve[Use])="Flat",_xlfn.xlookup('Bulk Order Details'!S184,RightSleeve[Display],RightSleeve[Flat]),ROUND(_xlfn.xlookup('Bulk Order Details'!S184,RightSleeve[Display],RightSleeve[Pct])*$E174,2))),"")</f>
        <v/>
      </c>
      <c r="Q174" s="214" t="str">
        <f aca="false">IF('Bulk Order Details'!J184="","",SUM(F174:P174))</f>
        <v/>
      </c>
      <c r="R174" s="213" t="str">
        <f aca="false">IFERROR(E174-D174,"")</f>
        <v/>
      </c>
      <c r="S174" s="215" t="str">
        <f aca="false">IFERROR(MIN(IF(Summary!$D$11="Yes",-J174,0),IF(H174&gt;0,-J174,0)),"")</f>
        <v/>
      </c>
      <c r="T174" s="212" t="str">
        <f aca="false">IFERROR(IF(Summary!$D$10="Yes",-K174,""),"")</f>
        <v/>
      </c>
      <c r="U174" s="213" t="str">
        <f aca="false">IFERROR(IF(Summary!$D$12="Yes",-L174,""),"")</f>
        <v/>
      </c>
      <c r="V174" s="216" t="str">
        <f aca="false">IF('Bulk Order Details'!J184="","",SUM(R174:U174))</f>
        <v/>
      </c>
      <c r="W174" s="217" t="str">
        <f aca="false">IF('Bulk Order Details'!J184="","",D174+Q174)</f>
        <v/>
      </c>
      <c r="X174" s="218" t="str">
        <f aca="false">IF('Bulk Order Details'!J184="","",D174+Q174+V174)</f>
        <v/>
      </c>
      <c r="Y174" s="219" t="str">
        <f aca="false">IFERROR((W174-X174)/W174,"")</f>
        <v/>
      </c>
      <c r="Z174" s="220" t="str">
        <f aca="false">IF('Bulk Order Details'!J184="","",MAX(1,'Bulk Order Details'!D184))</f>
        <v/>
      </c>
      <c r="AA174" s="217" t="str">
        <f aca="false">IF(Pricing_Details[[#This Row],[Quantity]]="","",Pricing_Details[[#This Row],[Retail Price]]*Pricing_Details[[#This Row],[Quantity]])</f>
        <v/>
      </c>
      <c r="AB174" s="217" t="str">
        <f aca="false">IF(Pricing_Details[[#This Row],[Quantity]]="","",Pricing_Details[[#This Row],[Total Discount]]*Pricing_Details[[#This Row],[Quantity]])</f>
        <v/>
      </c>
      <c r="AC174" s="221" t="str">
        <f aca="false">IFERROR(ROUND(Pricing_Details[[#This Row],[Actual Price]]*Pricing_Details[[#This Row],[Quantity]],2),"")</f>
        <v/>
      </c>
      <c r="AE174" s="179" t="str">
        <f aca="false">IF('Bulk Order Details'!J184="","",VLOOKUP('Bulk Order Details'!H184,Collection[],3)&amp;VLOOKUP('Bulk Order Details'!J184,Collar[],4)&amp;VLOOKUP('Bulk Order Details'!I184,Sleeve[],4))</f>
        <v/>
      </c>
      <c r="AF174" s="179" t="str">
        <f aca="false">IF('Bulk Order Details'!J184="","",LOOKUP('Bulk Order Details'!E184,Cut[Display],Cut[Code])&amp;LOOKUP('Bulk Order Details'!F184,#REF!,#REF!)&amp;IF('Bulk Order Details'!G184="","",LOOKUP('Bulk Order Details'!G184,Length[Display],Length[Code])))</f>
        <v/>
      </c>
      <c r="AG174" s="179" t="str">
        <f aca="false">IF('Bulk Order Details'!J184="","",IF('Bulk Order Details'!C184="","",'Bulk Order Details'!C184))</f>
        <v/>
      </c>
      <c r="AH174" s="179" t="str">
        <f aca="false">IF('Bulk Order Details'!O184="","","-"&amp;LOOKUP('Bulk Order Details'!O184,#REF!,#REF!))</f>
        <v/>
      </c>
      <c r="AI174" s="179" t="str">
        <f aca="false">IF('Bulk Order Details'!P184="","","-"&amp;LOOKUP('Bulk Order Details'!P184,#REF!,#REF!))</f>
        <v/>
      </c>
      <c r="AJ174" s="179" t="str">
        <f aca="false">IF('Bulk Order Details'!Q184="","","-"&amp;LOOKUP('Bulk Order Details'!Q184,#REF!,#REF!))</f>
        <v/>
      </c>
      <c r="AK174" s="179" t="str">
        <f aca="false">IF('Bulk Order Details'!R184="","","-"&amp;LOOKUP('Bulk Order Details'!R184,#REF!,#REF!))</f>
        <v/>
      </c>
      <c r="AL174" s="179" t="str">
        <f aca="false">IF('Bulk Order Details'!S184="","","-"&amp;LOOKUP('Bulk Order Details'!S184,#REF!,#REF!))</f>
        <v/>
      </c>
      <c r="AM174" s="179" t="str">
        <f aca="false">IF(_xlfn.CONCAT(AH174:AL174)="","","Lo"&amp;_xlfn.CONCAT(AH174:AL174))</f>
        <v/>
      </c>
      <c r="AN174" s="179" t="str">
        <f aca="false">IF('Bulk Order Details'!K184="","","Na-"&amp;'Bulk Order Details'!K184)</f>
        <v/>
      </c>
      <c r="AO174" s="179" t="str">
        <f aca="false">IF('Bulk Order Details'!N184="","","Fo-"&amp;'Bulk Order Details'!N184)</f>
        <v/>
      </c>
      <c r="AP174" s="179" t="str">
        <f aca="false">IF(AE174="","",AE174&amp;"_"&amp;AF174&amp;"_"&amp;AG174&amp;IF(AM174="","","_"&amp;AM174)&amp;IF(AN174="","","_"&amp;AN174)&amp;IF(AO174="","","_"&amp;AO174))</f>
        <v/>
      </c>
      <c r="AQ174" s="218" t="str">
        <f aca="false">IF(X174="","",X174)</f>
        <v/>
      </c>
    </row>
    <row r="175" customFormat="false" ht="15" hidden="false" customHeight="true" outlineLevel="0" collapsed="false">
      <c r="B175" s="209" t="n">
        <f aca="false">'Bulk Order Details'!B185</f>
        <v>172</v>
      </c>
      <c r="C175" s="209" t="e">
        <f aca="false">IF('bulk order details'!#ref!="","",'bulk order details'!#ref!&amp;" "&amp;'bulk order details'!#ref!)</f>
        <v>#VALUE!</v>
      </c>
      <c r="D175" s="210" t="str">
        <f aca="false">IF('Bulk Order Details'!J185="","",VLOOKUP(1,Price[],3))</f>
        <v/>
      </c>
      <c r="E175" s="211" t="str">
        <f aca="false">IF('Bulk Order Details'!J185="","",Summary!$D$9)</f>
        <v/>
      </c>
      <c r="F175" s="212" t="str">
        <f aca="false">IF('Bulk Order Details'!F185="","",_xlfn.xlookup('Bulk Order Details'!F185,Size[Display],Size[Price]))</f>
        <v/>
      </c>
      <c r="G175" s="212" t="str">
        <f aca="false">IF('Bulk Order Details'!G185="","",_xlfn.xlookup('Bulk Order Details'!G185,Length[Display],Length[Price]))</f>
        <v/>
      </c>
      <c r="H175" s="212" t="str">
        <f aca="false">IF('Bulk Order Details'!H185="","",_xlfn.xlookup('Bulk Order Details'!H185,Collection[Display],Collection[Price]))</f>
        <v/>
      </c>
      <c r="I175" s="212" t="str">
        <f aca="false">IF('Bulk Order Details'!I185="","",_xlfn.xlookup('Bulk Order Details'!I185,Sleeve[Display],Sleeve[Price]))</f>
        <v/>
      </c>
      <c r="J175" s="212" t="str">
        <f aca="false">IF('Bulk Order Details'!J185="","",_xlfn.xlookup('Bulk Order Details'!J185,Collar[Display],Collar[Price]))</f>
        <v/>
      </c>
      <c r="K175" s="212" t="str">
        <f aca="false">IF('Bulk Order Details'!K185="","",_xlfn.xlookup("Name",Name[Name],Name[Price]))</f>
        <v/>
      </c>
      <c r="L175" s="213" t="str">
        <f aca="false">IFERROR(IF('Bulk Order Details'!O185="","",IF(_xlfn.xlookup('Bulk Order Details'!O185,Logos[Display],Logos[Use])="Flat",_xlfn.xlookup('Bulk Order Details'!O185,Logos[Display],Logos[Flat]),ROUND(_xlfn.xlookup('Bulk Order Details'!O185,Logos[Display],Logos[Pct])*$E175,2))),"")</f>
        <v/>
      </c>
      <c r="M175" s="222" t="str">
        <f aca="false">IFERROR(IF('Bulk Order Details'!P185="","",IF(_xlfn.xlookup('Bulk Order Details'!P185,Chest[Display],Chest[Use])="Flat",_xlfn.xlookup('Bulk Order Details'!P185,Chest[Display],Chest[Flat]),ROUND(_xlfn.xlookup('Bulk Order Details'!P185,Chest[Display],Chest[Pct])*$E175,2))),"")</f>
        <v/>
      </c>
      <c r="N175" s="222" t="str">
        <f aca="false">IFERROR(IF('Bulk Order Details'!Q185="","",IF(_xlfn.xlookup('Bulk Order Details'!Q185,Chest[Display],Chest[Use])="Flat",_xlfn.xlookup('Bulk Order Details'!Q185,Chest[Display],Chest[Flat]),ROUND(_xlfn.xlookup('Bulk Order Details'!Q185,Chest[Display],Chest[Pct])*$E175,2))),"")</f>
        <v/>
      </c>
      <c r="O175" s="222" t="str">
        <f aca="false">IFERROR(IF('Bulk Order Details'!R185="","",IF(_xlfn.xlookup('Bulk Order Details'!R185,LeftSleeve[Display],LeftSleeve[Use])="Flat",_xlfn.xlookup('Bulk Order Details'!R185,LeftSleeve[Display],LeftSleeve[Flat]),ROUND(_xlfn.xlookup('Bulk Order Details'!R185,LeftSleeve[Display],LeftSleeve[Pct])*$E175,2))),"")</f>
        <v/>
      </c>
      <c r="P175" s="222" t="str">
        <f aca="false">IFERROR(IF('Bulk Order Details'!S185="","",IF(_xlfn.xlookup('Bulk Order Details'!S185,RightSleeve[Display],RightSleeve[Use])="Flat",_xlfn.xlookup('Bulk Order Details'!S185,RightSleeve[Display],RightSleeve[Flat]),ROUND(_xlfn.xlookup('Bulk Order Details'!S185,RightSleeve[Display],RightSleeve[Pct])*$E175,2))),"")</f>
        <v/>
      </c>
      <c r="Q175" s="214" t="str">
        <f aca="false">IF('Bulk Order Details'!J185="","",SUM(F175:P175))</f>
        <v/>
      </c>
      <c r="R175" s="213" t="str">
        <f aca="false">IFERROR(E175-D175,"")</f>
        <v/>
      </c>
      <c r="S175" s="215" t="str">
        <f aca="false">IFERROR(MIN(IF(Summary!$D$11="Yes",-J175,0),IF(H175&gt;0,-J175,0)),"")</f>
        <v/>
      </c>
      <c r="T175" s="212" t="str">
        <f aca="false">IFERROR(IF(Summary!$D$10="Yes",-K175,""),"")</f>
        <v/>
      </c>
      <c r="U175" s="213" t="str">
        <f aca="false">IFERROR(IF(Summary!$D$12="Yes",-L175,""),"")</f>
        <v/>
      </c>
      <c r="V175" s="216" t="str">
        <f aca="false">IF('Bulk Order Details'!J185="","",SUM(R175:U175))</f>
        <v/>
      </c>
      <c r="W175" s="217" t="str">
        <f aca="false">IF('Bulk Order Details'!J185="","",D175+Q175)</f>
        <v/>
      </c>
      <c r="X175" s="218" t="str">
        <f aca="false">IF('Bulk Order Details'!J185="","",D175+Q175+V175)</f>
        <v/>
      </c>
      <c r="Y175" s="219" t="str">
        <f aca="false">IFERROR((W175-X175)/W175,"")</f>
        <v/>
      </c>
      <c r="Z175" s="220" t="str">
        <f aca="false">IF('Bulk Order Details'!J185="","",MAX(1,'Bulk Order Details'!D185))</f>
        <v/>
      </c>
      <c r="AA175" s="217" t="str">
        <f aca="false">IF(Pricing_Details[[#This Row],[Quantity]]="","",Pricing_Details[[#This Row],[Retail Price]]*Pricing_Details[[#This Row],[Quantity]])</f>
        <v/>
      </c>
      <c r="AB175" s="217" t="str">
        <f aca="false">IF(Pricing_Details[[#This Row],[Quantity]]="","",Pricing_Details[[#This Row],[Total Discount]]*Pricing_Details[[#This Row],[Quantity]])</f>
        <v/>
      </c>
      <c r="AC175" s="221" t="str">
        <f aca="false">IFERROR(ROUND(Pricing_Details[[#This Row],[Actual Price]]*Pricing_Details[[#This Row],[Quantity]],2),"")</f>
        <v/>
      </c>
      <c r="AE175" s="179" t="str">
        <f aca="false">IF('Bulk Order Details'!J185="","",VLOOKUP('Bulk Order Details'!H185,Collection[],3)&amp;VLOOKUP('Bulk Order Details'!J185,Collar[],4)&amp;VLOOKUP('Bulk Order Details'!I185,Sleeve[],4))</f>
        <v/>
      </c>
      <c r="AF175" s="179" t="str">
        <f aca="false">IF('Bulk Order Details'!J185="","",LOOKUP('Bulk Order Details'!E185,Cut[Display],Cut[Code])&amp;LOOKUP('Bulk Order Details'!F185,#REF!,#REF!)&amp;IF('Bulk Order Details'!G185="","",LOOKUP('Bulk Order Details'!G185,Length[Display],Length[Code])))</f>
        <v/>
      </c>
      <c r="AG175" s="179" t="str">
        <f aca="false">IF('Bulk Order Details'!J185="","",IF('Bulk Order Details'!C185="","",'Bulk Order Details'!C185))</f>
        <v/>
      </c>
      <c r="AH175" s="179" t="str">
        <f aca="false">IF('Bulk Order Details'!O185="","","-"&amp;LOOKUP('Bulk Order Details'!O185,#REF!,#REF!))</f>
        <v/>
      </c>
      <c r="AI175" s="179" t="str">
        <f aca="false">IF('Bulk Order Details'!P185="","","-"&amp;LOOKUP('Bulk Order Details'!P185,#REF!,#REF!))</f>
        <v/>
      </c>
      <c r="AJ175" s="179" t="str">
        <f aca="false">IF('Bulk Order Details'!Q185="","","-"&amp;LOOKUP('Bulk Order Details'!Q185,#REF!,#REF!))</f>
        <v/>
      </c>
      <c r="AK175" s="179" t="str">
        <f aca="false">IF('Bulk Order Details'!R185="","","-"&amp;LOOKUP('Bulk Order Details'!R185,#REF!,#REF!))</f>
        <v/>
      </c>
      <c r="AL175" s="179" t="str">
        <f aca="false">IF('Bulk Order Details'!S185="","","-"&amp;LOOKUP('Bulk Order Details'!S185,#REF!,#REF!))</f>
        <v/>
      </c>
      <c r="AM175" s="179" t="str">
        <f aca="false">IF(_xlfn.CONCAT(AH175:AL175)="","","Lo"&amp;_xlfn.CONCAT(AH175:AL175))</f>
        <v/>
      </c>
      <c r="AN175" s="179" t="str">
        <f aca="false">IF('Bulk Order Details'!K185="","","Na-"&amp;'Bulk Order Details'!K185)</f>
        <v/>
      </c>
      <c r="AO175" s="179" t="str">
        <f aca="false">IF('Bulk Order Details'!N185="","","Fo-"&amp;'Bulk Order Details'!N185)</f>
        <v/>
      </c>
      <c r="AP175" s="179" t="str">
        <f aca="false">IF(AE175="","",AE175&amp;"_"&amp;AF175&amp;"_"&amp;AG175&amp;IF(AM175="","","_"&amp;AM175)&amp;IF(AN175="","","_"&amp;AN175)&amp;IF(AO175="","","_"&amp;AO175))</f>
        <v/>
      </c>
      <c r="AQ175" s="218" t="str">
        <f aca="false">IF(X175="","",X175)</f>
        <v/>
      </c>
    </row>
    <row r="176" customFormat="false" ht="15" hidden="false" customHeight="true" outlineLevel="0" collapsed="false">
      <c r="B176" s="209" t="n">
        <f aca="false">'Bulk Order Details'!B186</f>
        <v>173</v>
      </c>
      <c r="C176" s="209" t="e">
        <f aca="false">IF('bulk order details'!#ref!="","",'bulk order details'!#ref!&amp;" "&amp;'bulk order details'!#ref!)</f>
        <v>#VALUE!</v>
      </c>
      <c r="D176" s="210" t="str">
        <f aca="false">IF('Bulk Order Details'!J186="","",VLOOKUP(1,Price[],3))</f>
        <v/>
      </c>
      <c r="E176" s="211" t="str">
        <f aca="false">IF('Bulk Order Details'!J186="","",Summary!$D$9)</f>
        <v/>
      </c>
      <c r="F176" s="212" t="str">
        <f aca="false">IF('Bulk Order Details'!F186="","",_xlfn.xlookup('Bulk Order Details'!F186,Size[Display],Size[Price]))</f>
        <v/>
      </c>
      <c r="G176" s="212" t="str">
        <f aca="false">IF('Bulk Order Details'!G186="","",_xlfn.xlookup('Bulk Order Details'!G186,Length[Display],Length[Price]))</f>
        <v/>
      </c>
      <c r="H176" s="212" t="str">
        <f aca="false">IF('Bulk Order Details'!H186="","",_xlfn.xlookup('Bulk Order Details'!H186,Collection[Display],Collection[Price]))</f>
        <v/>
      </c>
      <c r="I176" s="212" t="str">
        <f aca="false">IF('Bulk Order Details'!I186="","",_xlfn.xlookup('Bulk Order Details'!I186,Sleeve[Display],Sleeve[Price]))</f>
        <v/>
      </c>
      <c r="J176" s="212" t="str">
        <f aca="false">IF('Bulk Order Details'!J186="","",_xlfn.xlookup('Bulk Order Details'!J186,Collar[Display],Collar[Price]))</f>
        <v/>
      </c>
      <c r="K176" s="212" t="str">
        <f aca="false">IF('Bulk Order Details'!K186="","",_xlfn.xlookup("Name",Name[Name],Name[Price]))</f>
        <v/>
      </c>
      <c r="L176" s="213" t="str">
        <f aca="false">IFERROR(IF('Bulk Order Details'!O186="","",IF(_xlfn.xlookup('Bulk Order Details'!O186,Logos[Display],Logos[Use])="Flat",_xlfn.xlookup('Bulk Order Details'!O186,Logos[Display],Logos[Flat]),ROUND(_xlfn.xlookup('Bulk Order Details'!O186,Logos[Display],Logos[Pct])*$E176,2))),"")</f>
        <v/>
      </c>
      <c r="M176" s="222" t="str">
        <f aca="false">IFERROR(IF('Bulk Order Details'!P186="","",IF(_xlfn.xlookup('Bulk Order Details'!P186,Chest[Display],Chest[Use])="Flat",_xlfn.xlookup('Bulk Order Details'!P186,Chest[Display],Chest[Flat]),ROUND(_xlfn.xlookup('Bulk Order Details'!P186,Chest[Display],Chest[Pct])*$E176,2))),"")</f>
        <v/>
      </c>
      <c r="N176" s="222" t="str">
        <f aca="false">IFERROR(IF('Bulk Order Details'!Q186="","",IF(_xlfn.xlookup('Bulk Order Details'!Q186,Chest[Display],Chest[Use])="Flat",_xlfn.xlookup('Bulk Order Details'!Q186,Chest[Display],Chest[Flat]),ROUND(_xlfn.xlookup('Bulk Order Details'!Q186,Chest[Display],Chest[Pct])*$E176,2))),"")</f>
        <v/>
      </c>
      <c r="O176" s="222" t="str">
        <f aca="false">IFERROR(IF('Bulk Order Details'!R186="","",IF(_xlfn.xlookup('Bulk Order Details'!R186,LeftSleeve[Display],LeftSleeve[Use])="Flat",_xlfn.xlookup('Bulk Order Details'!R186,LeftSleeve[Display],LeftSleeve[Flat]),ROUND(_xlfn.xlookup('Bulk Order Details'!R186,LeftSleeve[Display],LeftSleeve[Pct])*$E176,2))),"")</f>
        <v/>
      </c>
      <c r="P176" s="222" t="str">
        <f aca="false">IFERROR(IF('Bulk Order Details'!S186="","",IF(_xlfn.xlookup('Bulk Order Details'!S186,RightSleeve[Display],RightSleeve[Use])="Flat",_xlfn.xlookup('Bulk Order Details'!S186,RightSleeve[Display],RightSleeve[Flat]),ROUND(_xlfn.xlookup('Bulk Order Details'!S186,RightSleeve[Display],RightSleeve[Pct])*$E176,2))),"")</f>
        <v/>
      </c>
      <c r="Q176" s="214" t="str">
        <f aca="false">IF('Bulk Order Details'!J186="","",SUM(F176:P176))</f>
        <v/>
      </c>
      <c r="R176" s="213" t="str">
        <f aca="false">IFERROR(E176-D176,"")</f>
        <v/>
      </c>
      <c r="S176" s="215" t="str">
        <f aca="false">IFERROR(MIN(IF(Summary!$D$11="Yes",-J176,0),IF(H176&gt;0,-J176,0)),"")</f>
        <v/>
      </c>
      <c r="T176" s="212" t="str">
        <f aca="false">IFERROR(IF(Summary!$D$10="Yes",-K176,""),"")</f>
        <v/>
      </c>
      <c r="U176" s="213" t="str">
        <f aca="false">IFERROR(IF(Summary!$D$12="Yes",-L176,""),"")</f>
        <v/>
      </c>
      <c r="V176" s="216" t="str">
        <f aca="false">IF('Bulk Order Details'!J186="","",SUM(R176:U176))</f>
        <v/>
      </c>
      <c r="W176" s="217" t="str">
        <f aca="false">IF('Bulk Order Details'!J186="","",D176+Q176)</f>
        <v/>
      </c>
      <c r="X176" s="218" t="str">
        <f aca="false">IF('Bulk Order Details'!J186="","",D176+Q176+V176)</f>
        <v/>
      </c>
      <c r="Y176" s="219" t="str">
        <f aca="false">IFERROR((W176-X176)/W176,"")</f>
        <v/>
      </c>
      <c r="Z176" s="220" t="str">
        <f aca="false">IF('Bulk Order Details'!J186="","",MAX(1,'Bulk Order Details'!D186))</f>
        <v/>
      </c>
      <c r="AA176" s="217" t="str">
        <f aca="false">IF(Pricing_Details[[#This Row],[Quantity]]="","",Pricing_Details[[#This Row],[Retail Price]]*Pricing_Details[[#This Row],[Quantity]])</f>
        <v/>
      </c>
      <c r="AB176" s="217" t="str">
        <f aca="false">IF(Pricing_Details[[#This Row],[Quantity]]="","",Pricing_Details[[#This Row],[Total Discount]]*Pricing_Details[[#This Row],[Quantity]])</f>
        <v/>
      </c>
      <c r="AC176" s="221" t="str">
        <f aca="false">IFERROR(ROUND(Pricing_Details[[#This Row],[Actual Price]]*Pricing_Details[[#This Row],[Quantity]],2),"")</f>
        <v/>
      </c>
      <c r="AE176" s="179" t="str">
        <f aca="false">IF('Bulk Order Details'!J186="","",VLOOKUP('Bulk Order Details'!H186,Collection[],3)&amp;VLOOKUP('Bulk Order Details'!J186,Collar[],4)&amp;VLOOKUP('Bulk Order Details'!I186,Sleeve[],4))</f>
        <v/>
      </c>
      <c r="AF176" s="179" t="str">
        <f aca="false">IF('Bulk Order Details'!J186="","",LOOKUP('Bulk Order Details'!E186,Cut[Display],Cut[Code])&amp;LOOKUP('Bulk Order Details'!F186,#REF!,#REF!)&amp;IF('Bulk Order Details'!G186="","",LOOKUP('Bulk Order Details'!G186,Length[Display],Length[Code])))</f>
        <v/>
      </c>
      <c r="AG176" s="179" t="str">
        <f aca="false">IF('Bulk Order Details'!J186="","",IF('Bulk Order Details'!C186="","",'Bulk Order Details'!C186))</f>
        <v/>
      </c>
      <c r="AH176" s="179" t="str">
        <f aca="false">IF('Bulk Order Details'!O186="","","-"&amp;LOOKUP('Bulk Order Details'!O186,#REF!,#REF!))</f>
        <v/>
      </c>
      <c r="AI176" s="179" t="str">
        <f aca="false">IF('Bulk Order Details'!P186="","","-"&amp;LOOKUP('Bulk Order Details'!P186,#REF!,#REF!))</f>
        <v/>
      </c>
      <c r="AJ176" s="179" t="str">
        <f aca="false">IF('Bulk Order Details'!Q186="","","-"&amp;LOOKUP('Bulk Order Details'!Q186,#REF!,#REF!))</f>
        <v/>
      </c>
      <c r="AK176" s="179" t="str">
        <f aca="false">IF('Bulk Order Details'!R186="","","-"&amp;LOOKUP('Bulk Order Details'!R186,#REF!,#REF!))</f>
        <v/>
      </c>
      <c r="AL176" s="179" t="str">
        <f aca="false">IF('Bulk Order Details'!S186="","","-"&amp;LOOKUP('Bulk Order Details'!S186,#REF!,#REF!))</f>
        <v/>
      </c>
      <c r="AM176" s="179" t="str">
        <f aca="false">IF(_xlfn.CONCAT(AH176:AL176)="","","Lo"&amp;_xlfn.CONCAT(AH176:AL176))</f>
        <v/>
      </c>
      <c r="AN176" s="179" t="str">
        <f aca="false">IF('Bulk Order Details'!K186="","","Na-"&amp;'Bulk Order Details'!K186)</f>
        <v/>
      </c>
      <c r="AO176" s="179" t="str">
        <f aca="false">IF('Bulk Order Details'!N186="","","Fo-"&amp;'Bulk Order Details'!N186)</f>
        <v/>
      </c>
      <c r="AP176" s="179" t="str">
        <f aca="false">IF(AE176="","",AE176&amp;"_"&amp;AF176&amp;"_"&amp;AG176&amp;IF(AM176="","","_"&amp;AM176)&amp;IF(AN176="","","_"&amp;AN176)&amp;IF(AO176="","","_"&amp;AO176))</f>
        <v/>
      </c>
      <c r="AQ176" s="218" t="str">
        <f aca="false">IF(X176="","",X176)</f>
        <v/>
      </c>
    </row>
    <row r="177" customFormat="false" ht="15" hidden="false" customHeight="true" outlineLevel="0" collapsed="false">
      <c r="B177" s="209" t="n">
        <f aca="false">'Bulk Order Details'!B187</f>
        <v>174</v>
      </c>
      <c r="C177" s="209" t="e">
        <f aca="false">IF('bulk order details'!#ref!="","",'bulk order details'!#ref!&amp;" "&amp;'bulk order details'!#ref!)</f>
        <v>#VALUE!</v>
      </c>
      <c r="D177" s="210" t="str">
        <f aca="false">IF('Bulk Order Details'!J187="","",VLOOKUP(1,Price[],3))</f>
        <v/>
      </c>
      <c r="E177" s="211" t="str">
        <f aca="false">IF('Bulk Order Details'!J187="","",Summary!$D$9)</f>
        <v/>
      </c>
      <c r="F177" s="212" t="str">
        <f aca="false">IF('Bulk Order Details'!F187="","",_xlfn.xlookup('Bulk Order Details'!F187,Size[Display],Size[Price]))</f>
        <v/>
      </c>
      <c r="G177" s="212" t="str">
        <f aca="false">IF('Bulk Order Details'!G187="","",_xlfn.xlookup('Bulk Order Details'!G187,Length[Display],Length[Price]))</f>
        <v/>
      </c>
      <c r="H177" s="212" t="str">
        <f aca="false">IF('Bulk Order Details'!H187="","",_xlfn.xlookup('Bulk Order Details'!H187,Collection[Display],Collection[Price]))</f>
        <v/>
      </c>
      <c r="I177" s="212" t="str">
        <f aca="false">IF('Bulk Order Details'!I187="","",_xlfn.xlookup('Bulk Order Details'!I187,Sleeve[Display],Sleeve[Price]))</f>
        <v/>
      </c>
      <c r="J177" s="212" t="str">
        <f aca="false">IF('Bulk Order Details'!J187="","",_xlfn.xlookup('Bulk Order Details'!J187,Collar[Display],Collar[Price]))</f>
        <v/>
      </c>
      <c r="K177" s="212" t="str">
        <f aca="false">IF('Bulk Order Details'!K187="","",_xlfn.xlookup("Name",Name[Name],Name[Price]))</f>
        <v/>
      </c>
      <c r="L177" s="213" t="str">
        <f aca="false">IFERROR(IF('Bulk Order Details'!O187="","",IF(_xlfn.xlookup('Bulk Order Details'!O187,Logos[Display],Logos[Use])="Flat",_xlfn.xlookup('Bulk Order Details'!O187,Logos[Display],Logos[Flat]),ROUND(_xlfn.xlookup('Bulk Order Details'!O187,Logos[Display],Logos[Pct])*$E177,2))),"")</f>
        <v/>
      </c>
      <c r="M177" s="222" t="str">
        <f aca="false">IFERROR(IF('Bulk Order Details'!P187="","",IF(_xlfn.xlookup('Bulk Order Details'!P187,Chest[Display],Chest[Use])="Flat",_xlfn.xlookup('Bulk Order Details'!P187,Chest[Display],Chest[Flat]),ROUND(_xlfn.xlookup('Bulk Order Details'!P187,Chest[Display],Chest[Pct])*$E177,2))),"")</f>
        <v/>
      </c>
      <c r="N177" s="222" t="str">
        <f aca="false">IFERROR(IF('Bulk Order Details'!Q187="","",IF(_xlfn.xlookup('Bulk Order Details'!Q187,Chest[Display],Chest[Use])="Flat",_xlfn.xlookup('Bulk Order Details'!Q187,Chest[Display],Chest[Flat]),ROUND(_xlfn.xlookup('Bulk Order Details'!Q187,Chest[Display],Chest[Pct])*$E177,2))),"")</f>
        <v/>
      </c>
      <c r="O177" s="222" t="str">
        <f aca="false">IFERROR(IF('Bulk Order Details'!R187="","",IF(_xlfn.xlookup('Bulk Order Details'!R187,LeftSleeve[Display],LeftSleeve[Use])="Flat",_xlfn.xlookup('Bulk Order Details'!R187,LeftSleeve[Display],LeftSleeve[Flat]),ROUND(_xlfn.xlookup('Bulk Order Details'!R187,LeftSleeve[Display],LeftSleeve[Pct])*$E177,2))),"")</f>
        <v/>
      </c>
      <c r="P177" s="222" t="str">
        <f aca="false">IFERROR(IF('Bulk Order Details'!S187="","",IF(_xlfn.xlookup('Bulk Order Details'!S187,RightSleeve[Display],RightSleeve[Use])="Flat",_xlfn.xlookup('Bulk Order Details'!S187,RightSleeve[Display],RightSleeve[Flat]),ROUND(_xlfn.xlookup('Bulk Order Details'!S187,RightSleeve[Display],RightSleeve[Pct])*$E177,2))),"")</f>
        <v/>
      </c>
      <c r="Q177" s="214" t="str">
        <f aca="false">IF('Bulk Order Details'!J187="","",SUM(F177:P177))</f>
        <v/>
      </c>
      <c r="R177" s="213" t="str">
        <f aca="false">IFERROR(E177-D177,"")</f>
        <v/>
      </c>
      <c r="S177" s="215" t="str">
        <f aca="false">IFERROR(MIN(IF(Summary!$D$11="Yes",-J177,0),IF(H177&gt;0,-J177,0)),"")</f>
        <v/>
      </c>
      <c r="T177" s="212" t="str">
        <f aca="false">IFERROR(IF(Summary!$D$10="Yes",-K177,""),"")</f>
        <v/>
      </c>
      <c r="U177" s="213" t="str">
        <f aca="false">IFERROR(IF(Summary!$D$12="Yes",-L177,""),"")</f>
        <v/>
      </c>
      <c r="V177" s="216" t="str">
        <f aca="false">IF('Bulk Order Details'!J187="","",SUM(R177:U177))</f>
        <v/>
      </c>
      <c r="W177" s="217" t="str">
        <f aca="false">IF('Bulk Order Details'!J187="","",D177+Q177)</f>
        <v/>
      </c>
      <c r="X177" s="218" t="str">
        <f aca="false">IF('Bulk Order Details'!J187="","",D177+Q177+V177)</f>
        <v/>
      </c>
      <c r="Y177" s="219" t="str">
        <f aca="false">IFERROR((W177-X177)/W177,"")</f>
        <v/>
      </c>
      <c r="Z177" s="220" t="str">
        <f aca="false">IF('Bulk Order Details'!J187="","",MAX(1,'Bulk Order Details'!D187))</f>
        <v/>
      </c>
      <c r="AA177" s="217" t="str">
        <f aca="false">IF(Pricing_Details[[#This Row],[Quantity]]="","",Pricing_Details[[#This Row],[Retail Price]]*Pricing_Details[[#This Row],[Quantity]])</f>
        <v/>
      </c>
      <c r="AB177" s="217" t="str">
        <f aca="false">IF(Pricing_Details[[#This Row],[Quantity]]="","",Pricing_Details[[#This Row],[Total Discount]]*Pricing_Details[[#This Row],[Quantity]])</f>
        <v/>
      </c>
      <c r="AC177" s="221" t="str">
        <f aca="false">IFERROR(ROUND(Pricing_Details[[#This Row],[Actual Price]]*Pricing_Details[[#This Row],[Quantity]],2),"")</f>
        <v/>
      </c>
      <c r="AE177" s="179" t="str">
        <f aca="false">IF('Bulk Order Details'!J187="","",VLOOKUP('Bulk Order Details'!H187,Collection[],3)&amp;VLOOKUP('Bulk Order Details'!J187,Collar[],4)&amp;VLOOKUP('Bulk Order Details'!I187,Sleeve[],4))</f>
        <v/>
      </c>
      <c r="AF177" s="179" t="str">
        <f aca="false">IF('Bulk Order Details'!J187="","",LOOKUP('Bulk Order Details'!E187,Cut[Display],Cut[Code])&amp;LOOKUP('Bulk Order Details'!F187,#REF!,#REF!)&amp;IF('Bulk Order Details'!G187="","",LOOKUP('Bulk Order Details'!G187,Length[Display],Length[Code])))</f>
        <v/>
      </c>
      <c r="AG177" s="179" t="str">
        <f aca="false">IF('Bulk Order Details'!J187="","",IF('Bulk Order Details'!C187="","",'Bulk Order Details'!C187))</f>
        <v/>
      </c>
      <c r="AH177" s="179" t="str">
        <f aca="false">IF('Bulk Order Details'!O187="","","-"&amp;LOOKUP('Bulk Order Details'!O187,#REF!,#REF!))</f>
        <v/>
      </c>
      <c r="AI177" s="179" t="str">
        <f aca="false">IF('Bulk Order Details'!P187="","","-"&amp;LOOKUP('Bulk Order Details'!P187,#REF!,#REF!))</f>
        <v/>
      </c>
      <c r="AJ177" s="179" t="str">
        <f aca="false">IF('Bulk Order Details'!Q187="","","-"&amp;LOOKUP('Bulk Order Details'!Q187,#REF!,#REF!))</f>
        <v/>
      </c>
      <c r="AK177" s="179" t="str">
        <f aca="false">IF('Bulk Order Details'!R187="","","-"&amp;LOOKUP('Bulk Order Details'!R187,#REF!,#REF!))</f>
        <v/>
      </c>
      <c r="AL177" s="179" t="str">
        <f aca="false">IF('Bulk Order Details'!S187="","","-"&amp;LOOKUP('Bulk Order Details'!S187,#REF!,#REF!))</f>
        <v/>
      </c>
      <c r="AM177" s="179" t="str">
        <f aca="false">IF(_xlfn.CONCAT(AH177:AL177)="","","Lo"&amp;_xlfn.CONCAT(AH177:AL177))</f>
        <v/>
      </c>
      <c r="AN177" s="179" t="str">
        <f aca="false">IF('Bulk Order Details'!K187="","","Na-"&amp;'Bulk Order Details'!K187)</f>
        <v/>
      </c>
      <c r="AO177" s="179" t="str">
        <f aca="false">IF('Bulk Order Details'!N187="","","Fo-"&amp;'Bulk Order Details'!N187)</f>
        <v/>
      </c>
      <c r="AP177" s="179" t="str">
        <f aca="false">IF(AE177="","",AE177&amp;"_"&amp;AF177&amp;"_"&amp;AG177&amp;IF(AM177="","","_"&amp;AM177)&amp;IF(AN177="","","_"&amp;AN177)&amp;IF(AO177="","","_"&amp;AO177))</f>
        <v/>
      </c>
      <c r="AQ177" s="218" t="str">
        <f aca="false">IF(X177="","",X177)</f>
        <v/>
      </c>
    </row>
    <row r="178" customFormat="false" ht="15" hidden="false" customHeight="true" outlineLevel="0" collapsed="false">
      <c r="B178" s="209" t="n">
        <f aca="false">'Bulk Order Details'!B188</f>
        <v>175</v>
      </c>
      <c r="C178" s="209" t="e">
        <f aca="false">IF('bulk order details'!#ref!="","",'bulk order details'!#ref!&amp;" "&amp;'bulk order details'!#ref!)</f>
        <v>#VALUE!</v>
      </c>
      <c r="D178" s="210" t="str">
        <f aca="false">IF('Bulk Order Details'!J188="","",VLOOKUP(1,Price[],3))</f>
        <v/>
      </c>
      <c r="E178" s="211" t="str">
        <f aca="false">IF('Bulk Order Details'!J188="","",Summary!$D$9)</f>
        <v/>
      </c>
      <c r="F178" s="212" t="str">
        <f aca="false">IF('Bulk Order Details'!F188="","",_xlfn.xlookup('Bulk Order Details'!F188,Size[Display],Size[Price]))</f>
        <v/>
      </c>
      <c r="G178" s="212" t="str">
        <f aca="false">IF('Bulk Order Details'!G188="","",_xlfn.xlookup('Bulk Order Details'!G188,Length[Display],Length[Price]))</f>
        <v/>
      </c>
      <c r="H178" s="212" t="str">
        <f aca="false">IF('Bulk Order Details'!H188="","",_xlfn.xlookup('Bulk Order Details'!H188,Collection[Display],Collection[Price]))</f>
        <v/>
      </c>
      <c r="I178" s="212" t="str">
        <f aca="false">IF('Bulk Order Details'!I188="","",_xlfn.xlookup('Bulk Order Details'!I188,Sleeve[Display],Sleeve[Price]))</f>
        <v/>
      </c>
      <c r="J178" s="212" t="str">
        <f aca="false">IF('Bulk Order Details'!J188="","",_xlfn.xlookup('Bulk Order Details'!J188,Collar[Display],Collar[Price]))</f>
        <v/>
      </c>
      <c r="K178" s="212" t="str">
        <f aca="false">IF('Bulk Order Details'!K188="","",_xlfn.xlookup("Name",Name[Name],Name[Price]))</f>
        <v/>
      </c>
      <c r="L178" s="213" t="str">
        <f aca="false">IFERROR(IF('Bulk Order Details'!O188="","",IF(_xlfn.xlookup('Bulk Order Details'!O188,Logos[Display],Logos[Use])="Flat",_xlfn.xlookup('Bulk Order Details'!O188,Logos[Display],Logos[Flat]),ROUND(_xlfn.xlookup('Bulk Order Details'!O188,Logos[Display],Logos[Pct])*$E178,2))),"")</f>
        <v/>
      </c>
      <c r="M178" s="222" t="str">
        <f aca="false">IFERROR(IF('Bulk Order Details'!P188="","",IF(_xlfn.xlookup('Bulk Order Details'!P188,Chest[Display],Chest[Use])="Flat",_xlfn.xlookup('Bulk Order Details'!P188,Chest[Display],Chest[Flat]),ROUND(_xlfn.xlookup('Bulk Order Details'!P188,Chest[Display],Chest[Pct])*$E178,2))),"")</f>
        <v/>
      </c>
      <c r="N178" s="222" t="str">
        <f aca="false">IFERROR(IF('Bulk Order Details'!Q188="","",IF(_xlfn.xlookup('Bulk Order Details'!Q188,Chest[Display],Chest[Use])="Flat",_xlfn.xlookup('Bulk Order Details'!Q188,Chest[Display],Chest[Flat]),ROUND(_xlfn.xlookup('Bulk Order Details'!Q188,Chest[Display],Chest[Pct])*$E178,2))),"")</f>
        <v/>
      </c>
      <c r="O178" s="222" t="str">
        <f aca="false">IFERROR(IF('Bulk Order Details'!R188="","",IF(_xlfn.xlookup('Bulk Order Details'!R188,LeftSleeve[Display],LeftSleeve[Use])="Flat",_xlfn.xlookup('Bulk Order Details'!R188,LeftSleeve[Display],LeftSleeve[Flat]),ROUND(_xlfn.xlookup('Bulk Order Details'!R188,LeftSleeve[Display],LeftSleeve[Pct])*$E178,2))),"")</f>
        <v/>
      </c>
      <c r="P178" s="222" t="str">
        <f aca="false">IFERROR(IF('Bulk Order Details'!S188="","",IF(_xlfn.xlookup('Bulk Order Details'!S188,RightSleeve[Display],RightSleeve[Use])="Flat",_xlfn.xlookup('Bulk Order Details'!S188,RightSleeve[Display],RightSleeve[Flat]),ROUND(_xlfn.xlookup('Bulk Order Details'!S188,RightSleeve[Display],RightSleeve[Pct])*$E178,2))),"")</f>
        <v/>
      </c>
      <c r="Q178" s="214" t="str">
        <f aca="false">IF('Bulk Order Details'!J188="","",SUM(F178:P178))</f>
        <v/>
      </c>
      <c r="R178" s="213" t="str">
        <f aca="false">IFERROR(E178-D178,"")</f>
        <v/>
      </c>
      <c r="S178" s="215" t="str">
        <f aca="false">IFERROR(MIN(IF(Summary!$D$11="Yes",-J178,0),IF(H178&gt;0,-J178,0)),"")</f>
        <v/>
      </c>
      <c r="T178" s="212" t="str">
        <f aca="false">IFERROR(IF(Summary!$D$10="Yes",-K178,""),"")</f>
        <v/>
      </c>
      <c r="U178" s="213" t="str">
        <f aca="false">IFERROR(IF(Summary!$D$12="Yes",-L178,""),"")</f>
        <v/>
      </c>
      <c r="V178" s="216" t="str">
        <f aca="false">IF('Bulk Order Details'!J188="","",SUM(R178:U178))</f>
        <v/>
      </c>
      <c r="W178" s="217" t="str">
        <f aca="false">IF('Bulk Order Details'!J188="","",D178+Q178)</f>
        <v/>
      </c>
      <c r="X178" s="218" t="str">
        <f aca="false">IF('Bulk Order Details'!J188="","",D178+Q178+V178)</f>
        <v/>
      </c>
      <c r="Y178" s="219" t="str">
        <f aca="false">IFERROR((W178-X178)/W178,"")</f>
        <v/>
      </c>
      <c r="Z178" s="220" t="str">
        <f aca="false">IF('Bulk Order Details'!J188="","",MAX(1,'Bulk Order Details'!D188))</f>
        <v/>
      </c>
      <c r="AA178" s="217" t="str">
        <f aca="false">IF(Pricing_Details[[#This Row],[Quantity]]="","",Pricing_Details[[#This Row],[Retail Price]]*Pricing_Details[[#This Row],[Quantity]])</f>
        <v/>
      </c>
      <c r="AB178" s="217" t="str">
        <f aca="false">IF(Pricing_Details[[#This Row],[Quantity]]="","",Pricing_Details[[#This Row],[Total Discount]]*Pricing_Details[[#This Row],[Quantity]])</f>
        <v/>
      </c>
      <c r="AC178" s="221" t="str">
        <f aca="false">IFERROR(ROUND(Pricing_Details[[#This Row],[Actual Price]]*Pricing_Details[[#This Row],[Quantity]],2),"")</f>
        <v/>
      </c>
      <c r="AE178" s="179" t="str">
        <f aca="false">IF('Bulk Order Details'!J188="","",VLOOKUP('Bulk Order Details'!H188,Collection[],3)&amp;VLOOKUP('Bulk Order Details'!J188,Collar[],4)&amp;VLOOKUP('Bulk Order Details'!I188,Sleeve[],4))</f>
        <v/>
      </c>
      <c r="AF178" s="179" t="str">
        <f aca="false">IF('Bulk Order Details'!J188="","",LOOKUP('Bulk Order Details'!E188,Cut[Display],Cut[Code])&amp;LOOKUP('Bulk Order Details'!F188,#REF!,#REF!)&amp;IF('Bulk Order Details'!G188="","",LOOKUP('Bulk Order Details'!G188,Length[Display],Length[Code])))</f>
        <v/>
      </c>
      <c r="AG178" s="179" t="str">
        <f aca="false">IF('Bulk Order Details'!J188="","",IF('Bulk Order Details'!C188="","",'Bulk Order Details'!C188))</f>
        <v/>
      </c>
      <c r="AH178" s="179" t="str">
        <f aca="false">IF('Bulk Order Details'!O188="","","-"&amp;LOOKUP('Bulk Order Details'!O188,#REF!,#REF!))</f>
        <v/>
      </c>
      <c r="AI178" s="179" t="str">
        <f aca="false">IF('Bulk Order Details'!P188="","","-"&amp;LOOKUP('Bulk Order Details'!P188,#REF!,#REF!))</f>
        <v/>
      </c>
      <c r="AJ178" s="179" t="str">
        <f aca="false">IF('Bulk Order Details'!Q188="","","-"&amp;LOOKUP('Bulk Order Details'!Q188,#REF!,#REF!))</f>
        <v/>
      </c>
      <c r="AK178" s="179" t="str">
        <f aca="false">IF('Bulk Order Details'!R188="","","-"&amp;LOOKUP('Bulk Order Details'!R188,#REF!,#REF!))</f>
        <v/>
      </c>
      <c r="AL178" s="179" t="str">
        <f aca="false">IF('Bulk Order Details'!S188="","","-"&amp;LOOKUP('Bulk Order Details'!S188,#REF!,#REF!))</f>
        <v/>
      </c>
      <c r="AM178" s="179" t="str">
        <f aca="false">IF(_xlfn.CONCAT(AH178:AL178)="","","Lo"&amp;_xlfn.CONCAT(AH178:AL178))</f>
        <v/>
      </c>
      <c r="AN178" s="179" t="str">
        <f aca="false">IF('Bulk Order Details'!K188="","","Na-"&amp;'Bulk Order Details'!K188)</f>
        <v/>
      </c>
      <c r="AO178" s="179" t="str">
        <f aca="false">IF('Bulk Order Details'!N188="","","Fo-"&amp;'Bulk Order Details'!N188)</f>
        <v/>
      </c>
      <c r="AP178" s="179" t="str">
        <f aca="false">IF(AE178="","",AE178&amp;"_"&amp;AF178&amp;"_"&amp;AG178&amp;IF(AM178="","","_"&amp;AM178)&amp;IF(AN178="","","_"&amp;AN178)&amp;IF(AO178="","","_"&amp;AO178))</f>
        <v/>
      </c>
      <c r="AQ178" s="218" t="str">
        <f aca="false">IF(X178="","",X178)</f>
        <v/>
      </c>
    </row>
    <row r="179" customFormat="false" ht="15" hidden="false" customHeight="true" outlineLevel="0" collapsed="false">
      <c r="B179" s="209" t="n">
        <f aca="false">'Bulk Order Details'!B189</f>
        <v>176</v>
      </c>
      <c r="C179" s="209" t="e">
        <f aca="false">IF('bulk order details'!#ref!="","",'bulk order details'!#ref!&amp;" "&amp;'bulk order details'!#ref!)</f>
        <v>#VALUE!</v>
      </c>
      <c r="D179" s="210" t="str">
        <f aca="false">IF('Bulk Order Details'!J189="","",VLOOKUP(1,Price[],3))</f>
        <v/>
      </c>
      <c r="E179" s="211" t="str">
        <f aca="false">IF('Bulk Order Details'!J189="","",Summary!$D$9)</f>
        <v/>
      </c>
      <c r="F179" s="212" t="str">
        <f aca="false">IF('Bulk Order Details'!F189="","",_xlfn.xlookup('Bulk Order Details'!F189,Size[Display],Size[Price]))</f>
        <v/>
      </c>
      <c r="G179" s="212" t="str">
        <f aca="false">IF('Bulk Order Details'!G189="","",_xlfn.xlookup('Bulk Order Details'!G189,Length[Display],Length[Price]))</f>
        <v/>
      </c>
      <c r="H179" s="212" t="str">
        <f aca="false">IF('Bulk Order Details'!H189="","",_xlfn.xlookup('Bulk Order Details'!H189,Collection[Display],Collection[Price]))</f>
        <v/>
      </c>
      <c r="I179" s="212" t="str">
        <f aca="false">IF('Bulk Order Details'!I189="","",_xlfn.xlookup('Bulk Order Details'!I189,Sleeve[Display],Sleeve[Price]))</f>
        <v/>
      </c>
      <c r="J179" s="212" t="str">
        <f aca="false">IF('Bulk Order Details'!J189="","",_xlfn.xlookup('Bulk Order Details'!J189,Collar[Display],Collar[Price]))</f>
        <v/>
      </c>
      <c r="K179" s="212" t="str">
        <f aca="false">IF('Bulk Order Details'!K189="","",_xlfn.xlookup("Name",Name[Name],Name[Price]))</f>
        <v/>
      </c>
      <c r="L179" s="213" t="str">
        <f aca="false">IFERROR(IF('Bulk Order Details'!O189="","",IF(_xlfn.xlookup('Bulk Order Details'!O189,Logos[Display],Logos[Use])="Flat",_xlfn.xlookup('Bulk Order Details'!O189,Logos[Display],Logos[Flat]),ROUND(_xlfn.xlookup('Bulk Order Details'!O189,Logos[Display],Logos[Pct])*$E179,2))),"")</f>
        <v/>
      </c>
      <c r="M179" s="222" t="str">
        <f aca="false">IFERROR(IF('Bulk Order Details'!P189="","",IF(_xlfn.xlookup('Bulk Order Details'!P189,Chest[Display],Chest[Use])="Flat",_xlfn.xlookup('Bulk Order Details'!P189,Chest[Display],Chest[Flat]),ROUND(_xlfn.xlookup('Bulk Order Details'!P189,Chest[Display],Chest[Pct])*$E179,2))),"")</f>
        <v/>
      </c>
      <c r="N179" s="222" t="str">
        <f aca="false">IFERROR(IF('Bulk Order Details'!Q189="","",IF(_xlfn.xlookup('Bulk Order Details'!Q189,Chest[Display],Chest[Use])="Flat",_xlfn.xlookup('Bulk Order Details'!Q189,Chest[Display],Chest[Flat]),ROUND(_xlfn.xlookup('Bulk Order Details'!Q189,Chest[Display],Chest[Pct])*$E179,2))),"")</f>
        <v/>
      </c>
      <c r="O179" s="222" t="str">
        <f aca="false">IFERROR(IF('Bulk Order Details'!R189="","",IF(_xlfn.xlookup('Bulk Order Details'!R189,LeftSleeve[Display],LeftSleeve[Use])="Flat",_xlfn.xlookup('Bulk Order Details'!R189,LeftSleeve[Display],LeftSleeve[Flat]),ROUND(_xlfn.xlookup('Bulk Order Details'!R189,LeftSleeve[Display],LeftSleeve[Pct])*$E179,2))),"")</f>
        <v/>
      </c>
      <c r="P179" s="222" t="str">
        <f aca="false">IFERROR(IF('Bulk Order Details'!S189="","",IF(_xlfn.xlookup('Bulk Order Details'!S189,RightSleeve[Display],RightSleeve[Use])="Flat",_xlfn.xlookup('Bulk Order Details'!S189,RightSleeve[Display],RightSleeve[Flat]),ROUND(_xlfn.xlookup('Bulk Order Details'!S189,RightSleeve[Display],RightSleeve[Pct])*$E179,2))),"")</f>
        <v/>
      </c>
      <c r="Q179" s="214" t="str">
        <f aca="false">IF('Bulk Order Details'!J189="","",SUM(F179:P179))</f>
        <v/>
      </c>
      <c r="R179" s="213" t="str">
        <f aca="false">IFERROR(E179-D179,"")</f>
        <v/>
      </c>
      <c r="S179" s="215" t="str">
        <f aca="false">IFERROR(MIN(IF(Summary!$D$11="Yes",-J179,0),IF(H179&gt;0,-J179,0)),"")</f>
        <v/>
      </c>
      <c r="T179" s="212" t="str">
        <f aca="false">IFERROR(IF(Summary!$D$10="Yes",-K179,""),"")</f>
        <v/>
      </c>
      <c r="U179" s="213" t="str">
        <f aca="false">IFERROR(IF(Summary!$D$12="Yes",-L179,""),"")</f>
        <v/>
      </c>
      <c r="V179" s="216" t="str">
        <f aca="false">IF('Bulk Order Details'!J189="","",SUM(R179:U179))</f>
        <v/>
      </c>
      <c r="W179" s="217" t="str">
        <f aca="false">IF('Bulk Order Details'!J189="","",D179+Q179)</f>
        <v/>
      </c>
      <c r="X179" s="218" t="str">
        <f aca="false">IF('Bulk Order Details'!J189="","",D179+Q179+V179)</f>
        <v/>
      </c>
      <c r="Y179" s="219" t="str">
        <f aca="false">IFERROR((W179-X179)/W179,"")</f>
        <v/>
      </c>
      <c r="Z179" s="220" t="str">
        <f aca="false">IF('Bulk Order Details'!J189="","",MAX(1,'Bulk Order Details'!D189))</f>
        <v/>
      </c>
      <c r="AA179" s="217" t="str">
        <f aca="false">IF(Pricing_Details[[#This Row],[Quantity]]="","",Pricing_Details[[#This Row],[Retail Price]]*Pricing_Details[[#This Row],[Quantity]])</f>
        <v/>
      </c>
      <c r="AB179" s="217" t="str">
        <f aca="false">IF(Pricing_Details[[#This Row],[Quantity]]="","",Pricing_Details[[#This Row],[Total Discount]]*Pricing_Details[[#This Row],[Quantity]])</f>
        <v/>
      </c>
      <c r="AC179" s="221" t="str">
        <f aca="false">IFERROR(ROUND(Pricing_Details[[#This Row],[Actual Price]]*Pricing_Details[[#This Row],[Quantity]],2),"")</f>
        <v/>
      </c>
      <c r="AE179" s="179" t="str">
        <f aca="false">IF('Bulk Order Details'!J189="","",VLOOKUP('Bulk Order Details'!H189,Collection[],3)&amp;VLOOKUP('Bulk Order Details'!J189,Collar[],4)&amp;VLOOKUP('Bulk Order Details'!I189,Sleeve[],4))</f>
        <v/>
      </c>
      <c r="AF179" s="179" t="str">
        <f aca="false">IF('Bulk Order Details'!J189="","",LOOKUP('Bulk Order Details'!E189,Cut[Display],Cut[Code])&amp;LOOKUP('Bulk Order Details'!F189,#REF!,#REF!)&amp;IF('Bulk Order Details'!G189="","",LOOKUP('Bulk Order Details'!G189,Length[Display],Length[Code])))</f>
        <v/>
      </c>
      <c r="AG179" s="179" t="str">
        <f aca="false">IF('Bulk Order Details'!J189="","",IF('Bulk Order Details'!C189="","",'Bulk Order Details'!C189))</f>
        <v/>
      </c>
      <c r="AH179" s="179" t="str">
        <f aca="false">IF('Bulk Order Details'!O189="","","-"&amp;LOOKUP('Bulk Order Details'!O189,#REF!,#REF!))</f>
        <v/>
      </c>
      <c r="AI179" s="179" t="str">
        <f aca="false">IF('Bulk Order Details'!P189="","","-"&amp;LOOKUP('Bulk Order Details'!P189,#REF!,#REF!))</f>
        <v/>
      </c>
      <c r="AJ179" s="179" t="str">
        <f aca="false">IF('Bulk Order Details'!Q189="","","-"&amp;LOOKUP('Bulk Order Details'!Q189,#REF!,#REF!))</f>
        <v/>
      </c>
      <c r="AK179" s="179" t="str">
        <f aca="false">IF('Bulk Order Details'!R189="","","-"&amp;LOOKUP('Bulk Order Details'!R189,#REF!,#REF!))</f>
        <v/>
      </c>
      <c r="AL179" s="179" t="str">
        <f aca="false">IF('Bulk Order Details'!S189="","","-"&amp;LOOKUP('Bulk Order Details'!S189,#REF!,#REF!))</f>
        <v/>
      </c>
      <c r="AM179" s="179" t="str">
        <f aca="false">IF(_xlfn.CONCAT(AH179:AL179)="","","Lo"&amp;_xlfn.CONCAT(AH179:AL179))</f>
        <v/>
      </c>
      <c r="AN179" s="179" t="str">
        <f aca="false">IF('Bulk Order Details'!K189="","","Na-"&amp;'Bulk Order Details'!K189)</f>
        <v/>
      </c>
      <c r="AO179" s="179" t="str">
        <f aca="false">IF('Bulk Order Details'!N189="","","Fo-"&amp;'Bulk Order Details'!N189)</f>
        <v/>
      </c>
      <c r="AP179" s="179" t="str">
        <f aca="false">IF(AE179="","",AE179&amp;"_"&amp;AF179&amp;"_"&amp;AG179&amp;IF(AM179="","","_"&amp;AM179)&amp;IF(AN179="","","_"&amp;AN179)&amp;IF(AO179="","","_"&amp;AO179))</f>
        <v/>
      </c>
      <c r="AQ179" s="218" t="str">
        <f aca="false">IF(X179="","",X179)</f>
        <v/>
      </c>
    </row>
    <row r="180" customFormat="false" ht="15" hidden="false" customHeight="true" outlineLevel="0" collapsed="false">
      <c r="B180" s="209" t="n">
        <f aca="false">'Bulk Order Details'!B190</f>
        <v>177</v>
      </c>
      <c r="C180" s="209" t="e">
        <f aca="false">IF('bulk order details'!#ref!="","",'bulk order details'!#ref!&amp;" "&amp;'bulk order details'!#ref!)</f>
        <v>#VALUE!</v>
      </c>
      <c r="D180" s="210" t="str">
        <f aca="false">IF('Bulk Order Details'!J190="","",VLOOKUP(1,Price[],3))</f>
        <v/>
      </c>
      <c r="E180" s="211" t="str">
        <f aca="false">IF('Bulk Order Details'!J190="","",Summary!$D$9)</f>
        <v/>
      </c>
      <c r="F180" s="212" t="str">
        <f aca="false">IF('Bulk Order Details'!F190="","",_xlfn.xlookup('Bulk Order Details'!F190,Size[Display],Size[Price]))</f>
        <v/>
      </c>
      <c r="G180" s="212" t="str">
        <f aca="false">IF('Bulk Order Details'!G190="","",_xlfn.xlookup('Bulk Order Details'!G190,Length[Display],Length[Price]))</f>
        <v/>
      </c>
      <c r="H180" s="212" t="str">
        <f aca="false">IF('Bulk Order Details'!H190="","",_xlfn.xlookup('Bulk Order Details'!H190,Collection[Display],Collection[Price]))</f>
        <v/>
      </c>
      <c r="I180" s="212" t="str">
        <f aca="false">IF('Bulk Order Details'!I190="","",_xlfn.xlookup('Bulk Order Details'!I190,Sleeve[Display],Sleeve[Price]))</f>
        <v/>
      </c>
      <c r="J180" s="212" t="str">
        <f aca="false">IF('Bulk Order Details'!J190="","",_xlfn.xlookup('Bulk Order Details'!J190,Collar[Display],Collar[Price]))</f>
        <v/>
      </c>
      <c r="K180" s="212" t="str">
        <f aca="false">IF('Bulk Order Details'!K190="","",_xlfn.xlookup("Name",Name[Name],Name[Price]))</f>
        <v/>
      </c>
      <c r="L180" s="213" t="str">
        <f aca="false">IFERROR(IF('Bulk Order Details'!O190="","",IF(_xlfn.xlookup('Bulk Order Details'!O190,Logos[Display],Logos[Use])="Flat",_xlfn.xlookup('Bulk Order Details'!O190,Logos[Display],Logos[Flat]),ROUND(_xlfn.xlookup('Bulk Order Details'!O190,Logos[Display],Logos[Pct])*$E180,2))),"")</f>
        <v/>
      </c>
      <c r="M180" s="222" t="str">
        <f aca="false">IFERROR(IF('Bulk Order Details'!P190="","",IF(_xlfn.xlookup('Bulk Order Details'!P190,Chest[Display],Chest[Use])="Flat",_xlfn.xlookup('Bulk Order Details'!P190,Chest[Display],Chest[Flat]),ROUND(_xlfn.xlookup('Bulk Order Details'!P190,Chest[Display],Chest[Pct])*$E180,2))),"")</f>
        <v/>
      </c>
      <c r="N180" s="222" t="str">
        <f aca="false">IFERROR(IF('Bulk Order Details'!Q190="","",IF(_xlfn.xlookup('Bulk Order Details'!Q190,Chest[Display],Chest[Use])="Flat",_xlfn.xlookup('Bulk Order Details'!Q190,Chest[Display],Chest[Flat]),ROUND(_xlfn.xlookup('Bulk Order Details'!Q190,Chest[Display],Chest[Pct])*$E180,2))),"")</f>
        <v/>
      </c>
      <c r="O180" s="222" t="str">
        <f aca="false">IFERROR(IF('Bulk Order Details'!R190="","",IF(_xlfn.xlookup('Bulk Order Details'!R190,LeftSleeve[Display],LeftSleeve[Use])="Flat",_xlfn.xlookup('Bulk Order Details'!R190,LeftSleeve[Display],LeftSleeve[Flat]),ROUND(_xlfn.xlookup('Bulk Order Details'!R190,LeftSleeve[Display],LeftSleeve[Pct])*$E180,2))),"")</f>
        <v/>
      </c>
      <c r="P180" s="222" t="str">
        <f aca="false">IFERROR(IF('Bulk Order Details'!S190="","",IF(_xlfn.xlookup('Bulk Order Details'!S190,RightSleeve[Display],RightSleeve[Use])="Flat",_xlfn.xlookup('Bulk Order Details'!S190,RightSleeve[Display],RightSleeve[Flat]),ROUND(_xlfn.xlookup('Bulk Order Details'!S190,RightSleeve[Display],RightSleeve[Pct])*$E180,2))),"")</f>
        <v/>
      </c>
      <c r="Q180" s="214" t="str">
        <f aca="false">IF('Bulk Order Details'!J190="","",SUM(F180:P180))</f>
        <v/>
      </c>
      <c r="R180" s="213" t="str">
        <f aca="false">IFERROR(E180-D180,"")</f>
        <v/>
      </c>
      <c r="S180" s="215" t="str">
        <f aca="false">IFERROR(MIN(IF(Summary!$D$11="Yes",-J180,0),IF(H180&gt;0,-J180,0)),"")</f>
        <v/>
      </c>
      <c r="T180" s="212" t="str">
        <f aca="false">IFERROR(IF(Summary!$D$10="Yes",-K180,""),"")</f>
        <v/>
      </c>
      <c r="U180" s="213" t="str">
        <f aca="false">IFERROR(IF(Summary!$D$12="Yes",-L180,""),"")</f>
        <v/>
      </c>
      <c r="V180" s="216" t="str">
        <f aca="false">IF('Bulk Order Details'!J190="","",SUM(R180:U180))</f>
        <v/>
      </c>
      <c r="W180" s="217" t="str">
        <f aca="false">IF('Bulk Order Details'!J190="","",D180+Q180)</f>
        <v/>
      </c>
      <c r="X180" s="218" t="str">
        <f aca="false">IF('Bulk Order Details'!J190="","",D180+Q180+V180)</f>
        <v/>
      </c>
      <c r="Y180" s="219" t="str">
        <f aca="false">IFERROR((W180-X180)/W180,"")</f>
        <v/>
      </c>
      <c r="Z180" s="220" t="str">
        <f aca="false">IF('Bulk Order Details'!J190="","",MAX(1,'Bulk Order Details'!D190))</f>
        <v/>
      </c>
      <c r="AA180" s="217" t="str">
        <f aca="false">IF(Pricing_Details[[#This Row],[Quantity]]="","",Pricing_Details[[#This Row],[Retail Price]]*Pricing_Details[[#This Row],[Quantity]])</f>
        <v/>
      </c>
      <c r="AB180" s="217" t="str">
        <f aca="false">IF(Pricing_Details[[#This Row],[Quantity]]="","",Pricing_Details[[#This Row],[Total Discount]]*Pricing_Details[[#This Row],[Quantity]])</f>
        <v/>
      </c>
      <c r="AC180" s="221" t="str">
        <f aca="false">IFERROR(ROUND(Pricing_Details[[#This Row],[Actual Price]]*Pricing_Details[[#This Row],[Quantity]],2),"")</f>
        <v/>
      </c>
      <c r="AE180" s="179" t="str">
        <f aca="false">IF('Bulk Order Details'!J190="","",VLOOKUP('Bulk Order Details'!H190,Collection[],3)&amp;VLOOKUP('Bulk Order Details'!J190,Collar[],4)&amp;VLOOKUP('Bulk Order Details'!I190,Sleeve[],4))</f>
        <v/>
      </c>
      <c r="AF180" s="179" t="str">
        <f aca="false">IF('Bulk Order Details'!J190="","",LOOKUP('Bulk Order Details'!E190,Cut[Display],Cut[Code])&amp;LOOKUP('Bulk Order Details'!F190,#REF!,#REF!)&amp;IF('Bulk Order Details'!G190="","",LOOKUP('Bulk Order Details'!G190,Length[Display],Length[Code])))</f>
        <v/>
      </c>
      <c r="AG180" s="179" t="str">
        <f aca="false">IF('Bulk Order Details'!J190="","",IF('Bulk Order Details'!C190="","",'Bulk Order Details'!C190))</f>
        <v/>
      </c>
      <c r="AH180" s="179" t="str">
        <f aca="false">IF('Bulk Order Details'!O190="","","-"&amp;LOOKUP('Bulk Order Details'!O190,#REF!,#REF!))</f>
        <v/>
      </c>
      <c r="AI180" s="179" t="str">
        <f aca="false">IF('Bulk Order Details'!P190="","","-"&amp;LOOKUP('Bulk Order Details'!P190,#REF!,#REF!))</f>
        <v/>
      </c>
      <c r="AJ180" s="179" t="str">
        <f aca="false">IF('Bulk Order Details'!Q190="","","-"&amp;LOOKUP('Bulk Order Details'!Q190,#REF!,#REF!))</f>
        <v/>
      </c>
      <c r="AK180" s="179" t="str">
        <f aca="false">IF('Bulk Order Details'!R190="","","-"&amp;LOOKUP('Bulk Order Details'!R190,#REF!,#REF!))</f>
        <v/>
      </c>
      <c r="AL180" s="179" t="str">
        <f aca="false">IF('Bulk Order Details'!S190="","","-"&amp;LOOKUP('Bulk Order Details'!S190,#REF!,#REF!))</f>
        <v/>
      </c>
      <c r="AM180" s="179" t="str">
        <f aca="false">IF(_xlfn.CONCAT(AH180:AL180)="","","Lo"&amp;_xlfn.CONCAT(AH180:AL180))</f>
        <v/>
      </c>
      <c r="AN180" s="179" t="str">
        <f aca="false">IF('Bulk Order Details'!K190="","","Na-"&amp;'Bulk Order Details'!K190)</f>
        <v/>
      </c>
      <c r="AO180" s="179" t="str">
        <f aca="false">IF('Bulk Order Details'!N190="","","Fo-"&amp;'Bulk Order Details'!N190)</f>
        <v/>
      </c>
      <c r="AP180" s="179" t="str">
        <f aca="false">IF(AE180="","",AE180&amp;"_"&amp;AF180&amp;"_"&amp;AG180&amp;IF(AM180="","","_"&amp;AM180)&amp;IF(AN180="","","_"&amp;AN180)&amp;IF(AO180="","","_"&amp;AO180))</f>
        <v/>
      </c>
      <c r="AQ180" s="218" t="str">
        <f aca="false">IF(X180="","",X180)</f>
        <v/>
      </c>
    </row>
    <row r="181" customFormat="false" ht="15" hidden="false" customHeight="true" outlineLevel="0" collapsed="false">
      <c r="B181" s="209" t="n">
        <f aca="false">'Bulk Order Details'!B191</f>
        <v>178</v>
      </c>
      <c r="C181" s="209" t="e">
        <f aca="false">IF('bulk order details'!#ref!="","",'bulk order details'!#ref!&amp;" "&amp;'bulk order details'!#ref!)</f>
        <v>#VALUE!</v>
      </c>
      <c r="D181" s="210" t="str">
        <f aca="false">IF('Bulk Order Details'!J191="","",VLOOKUP(1,Price[],3))</f>
        <v/>
      </c>
      <c r="E181" s="211" t="str">
        <f aca="false">IF('Bulk Order Details'!J191="","",Summary!$D$9)</f>
        <v/>
      </c>
      <c r="F181" s="212" t="str">
        <f aca="false">IF('Bulk Order Details'!F191="","",_xlfn.xlookup('Bulk Order Details'!F191,Size[Display],Size[Price]))</f>
        <v/>
      </c>
      <c r="G181" s="212" t="str">
        <f aca="false">IF('Bulk Order Details'!G191="","",_xlfn.xlookup('Bulk Order Details'!G191,Length[Display],Length[Price]))</f>
        <v/>
      </c>
      <c r="H181" s="212" t="str">
        <f aca="false">IF('Bulk Order Details'!H191="","",_xlfn.xlookup('Bulk Order Details'!H191,Collection[Display],Collection[Price]))</f>
        <v/>
      </c>
      <c r="I181" s="212" t="str">
        <f aca="false">IF('Bulk Order Details'!I191="","",_xlfn.xlookup('Bulk Order Details'!I191,Sleeve[Display],Sleeve[Price]))</f>
        <v/>
      </c>
      <c r="J181" s="212" t="str">
        <f aca="false">IF('Bulk Order Details'!J191="","",_xlfn.xlookup('Bulk Order Details'!J191,Collar[Display],Collar[Price]))</f>
        <v/>
      </c>
      <c r="K181" s="212" t="str">
        <f aca="false">IF('Bulk Order Details'!K191="","",_xlfn.xlookup("Name",Name[Name],Name[Price]))</f>
        <v/>
      </c>
      <c r="L181" s="213" t="str">
        <f aca="false">IFERROR(IF('Bulk Order Details'!O191="","",IF(_xlfn.xlookup('Bulk Order Details'!O191,Logos[Display],Logos[Use])="Flat",_xlfn.xlookup('Bulk Order Details'!O191,Logos[Display],Logos[Flat]),ROUND(_xlfn.xlookup('Bulk Order Details'!O191,Logos[Display],Logos[Pct])*$E181,2))),"")</f>
        <v/>
      </c>
      <c r="M181" s="222" t="str">
        <f aca="false">IFERROR(IF('Bulk Order Details'!P191="","",IF(_xlfn.xlookup('Bulk Order Details'!P191,Chest[Display],Chest[Use])="Flat",_xlfn.xlookup('Bulk Order Details'!P191,Chest[Display],Chest[Flat]),ROUND(_xlfn.xlookup('Bulk Order Details'!P191,Chest[Display],Chest[Pct])*$E181,2))),"")</f>
        <v/>
      </c>
      <c r="N181" s="222" t="str">
        <f aca="false">IFERROR(IF('Bulk Order Details'!Q191="","",IF(_xlfn.xlookup('Bulk Order Details'!Q191,Chest[Display],Chest[Use])="Flat",_xlfn.xlookup('Bulk Order Details'!Q191,Chest[Display],Chest[Flat]),ROUND(_xlfn.xlookup('Bulk Order Details'!Q191,Chest[Display],Chest[Pct])*$E181,2))),"")</f>
        <v/>
      </c>
      <c r="O181" s="222" t="str">
        <f aca="false">IFERROR(IF('Bulk Order Details'!R191="","",IF(_xlfn.xlookup('Bulk Order Details'!R191,LeftSleeve[Display],LeftSleeve[Use])="Flat",_xlfn.xlookup('Bulk Order Details'!R191,LeftSleeve[Display],LeftSleeve[Flat]),ROUND(_xlfn.xlookup('Bulk Order Details'!R191,LeftSleeve[Display],LeftSleeve[Pct])*$E181,2))),"")</f>
        <v/>
      </c>
      <c r="P181" s="222" t="str">
        <f aca="false">IFERROR(IF('Bulk Order Details'!S191="","",IF(_xlfn.xlookup('Bulk Order Details'!S191,RightSleeve[Display],RightSleeve[Use])="Flat",_xlfn.xlookup('Bulk Order Details'!S191,RightSleeve[Display],RightSleeve[Flat]),ROUND(_xlfn.xlookup('Bulk Order Details'!S191,RightSleeve[Display],RightSleeve[Pct])*$E181,2))),"")</f>
        <v/>
      </c>
      <c r="Q181" s="214" t="str">
        <f aca="false">IF('Bulk Order Details'!J191="","",SUM(F181:P181))</f>
        <v/>
      </c>
      <c r="R181" s="213" t="str">
        <f aca="false">IFERROR(E181-D181,"")</f>
        <v/>
      </c>
      <c r="S181" s="215" t="str">
        <f aca="false">IFERROR(MIN(IF(Summary!$D$11="Yes",-J181,0),IF(H181&gt;0,-J181,0)),"")</f>
        <v/>
      </c>
      <c r="T181" s="212" t="str">
        <f aca="false">IFERROR(IF(Summary!$D$10="Yes",-K181,""),"")</f>
        <v/>
      </c>
      <c r="U181" s="213" t="str">
        <f aca="false">IFERROR(IF(Summary!$D$12="Yes",-L181,""),"")</f>
        <v/>
      </c>
      <c r="V181" s="216" t="str">
        <f aca="false">IF('Bulk Order Details'!J191="","",SUM(R181:U181))</f>
        <v/>
      </c>
      <c r="W181" s="217" t="str">
        <f aca="false">IF('Bulk Order Details'!J191="","",D181+Q181)</f>
        <v/>
      </c>
      <c r="X181" s="218" t="str">
        <f aca="false">IF('Bulk Order Details'!J191="","",D181+Q181+V181)</f>
        <v/>
      </c>
      <c r="Y181" s="219" t="str">
        <f aca="false">IFERROR((W181-X181)/W181,"")</f>
        <v/>
      </c>
      <c r="Z181" s="220" t="str">
        <f aca="false">IF('Bulk Order Details'!J191="","",MAX(1,'Bulk Order Details'!D191))</f>
        <v/>
      </c>
      <c r="AA181" s="217" t="str">
        <f aca="false">IF(Pricing_Details[[#This Row],[Quantity]]="","",Pricing_Details[[#This Row],[Retail Price]]*Pricing_Details[[#This Row],[Quantity]])</f>
        <v/>
      </c>
      <c r="AB181" s="217" t="str">
        <f aca="false">IF(Pricing_Details[[#This Row],[Quantity]]="","",Pricing_Details[[#This Row],[Total Discount]]*Pricing_Details[[#This Row],[Quantity]])</f>
        <v/>
      </c>
      <c r="AC181" s="221" t="str">
        <f aca="false">IFERROR(ROUND(Pricing_Details[[#This Row],[Actual Price]]*Pricing_Details[[#This Row],[Quantity]],2),"")</f>
        <v/>
      </c>
      <c r="AE181" s="179" t="str">
        <f aca="false">IF('Bulk Order Details'!J191="","",VLOOKUP('Bulk Order Details'!H191,Collection[],3)&amp;VLOOKUP('Bulk Order Details'!J191,Collar[],4)&amp;VLOOKUP('Bulk Order Details'!I191,Sleeve[],4))</f>
        <v/>
      </c>
      <c r="AF181" s="179" t="str">
        <f aca="false">IF('Bulk Order Details'!J191="","",LOOKUP('Bulk Order Details'!E191,Cut[Display],Cut[Code])&amp;LOOKUP('Bulk Order Details'!F191,#REF!,#REF!)&amp;IF('Bulk Order Details'!G191="","",LOOKUP('Bulk Order Details'!G191,Length[Display],Length[Code])))</f>
        <v/>
      </c>
      <c r="AG181" s="179" t="str">
        <f aca="false">IF('Bulk Order Details'!J191="","",IF('Bulk Order Details'!C191="","",'Bulk Order Details'!C191))</f>
        <v/>
      </c>
      <c r="AH181" s="179" t="str">
        <f aca="false">IF('Bulk Order Details'!O191="","","-"&amp;LOOKUP('Bulk Order Details'!O191,#REF!,#REF!))</f>
        <v/>
      </c>
      <c r="AI181" s="179" t="str">
        <f aca="false">IF('Bulk Order Details'!P191="","","-"&amp;LOOKUP('Bulk Order Details'!P191,#REF!,#REF!))</f>
        <v/>
      </c>
      <c r="AJ181" s="179" t="str">
        <f aca="false">IF('Bulk Order Details'!Q191="","","-"&amp;LOOKUP('Bulk Order Details'!Q191,#REF!,#REF!))</f>
        <v/>
      </c>
      <c r="AK181" s="179" t="str">
        <f aca="false">IF('Bulk Order Details'!R191="","","-"&amp;LOOKUP('Bulk Order Details'!R191,#REF!,#REF!))</f>
        <v/>
      </c>
      <c r="AL181" s="179" t="str">
        <f aca="false">IF('Bulk Order Details'!S191="","","-"&amp;LOOKUP('Bulk Order Details'!S191,#REF!,#REF!))</f>
        <v/>
      </c>
      <c r="AM181" s="179" t="str">
        <f aca="false">IF(_xlfn.CONCAT(AH181:AL181)="","","Lo"&amp;_xlfn.CONCAT(AH181:AL181))</f>
        <v/>
      </c>
      <c r="AN181" s="179" t="str">
        <f aca="false">IF('Bulk Order Details'!K191="","","Na-"&amp;'Bulk Order Details'!K191)</f>
        <v/>
      </c>
      <c r="AO181" s="179" t="str">
        <f aca="false">IF('Bulk Order Details'!N191="","","Fo-"&amp;'Bulk Order Details'!N191)</f>
        <v/>
      </c>
      <c r="AP181" s="179" t="str">
        <f aca="false">IF(AE181="","",AE181&amp;"_"&amp;AF181&amp;"_"&amp;AG181&amp;IF(AM181="","","_"&amp;AM181)&amp;IF(AN181="","","_"&amp;AN181)&amp;IF(AO181="","","_"&amp;AO181))</f>
        <v/>
      </c>
      <c r="AQ181" s="218" t="str">
        <f aca="false">IF(X181="","",X181)</f>
        <v/>
      </c>
    </row>
    <row r="182" customFormat="false" ht="15" hidden="false" customHeight="true" outlineLevel="0" collapsed="false">
      <c r="B182" s="209" t="n">
        <f aca="false">'Bulk Order Details'!B192</f>
        <v>179</v>
      </c>
      <c r="C182" s="209" t="e">
        <f aca="false">IF('bulk order details'!#ref!="","",'bulk order details'!#ref!&amp;" "&amp;'bulk order details'!#ref!)</f>
        <v>#VALUE!</v>
      </c>
      <c r="D182" s="210" t="str">
        <f aca="false">IF('Bulk Order Details'!J192="","",VLOOKUP(1,Price[],3))</f>
        <v/>
      </c>
      <c r="E182" s="211" t="str">
        <f aca="false">IF('Bulk Order Details'!J192="","",Summary!$D$9)</f>
        <v/>
      </c>
      <c r="F182" s="212" t="str">
        <f aca="false">IF('Bulk Order Details'!F192="","",_xlfn.xlookup('Bulk Order Details'!F192,Size[Display],Size[Price]))</f>
        <v/>
      </c>
      <c r="G182" s="212" t="str">
        <f aca="false">IF('Bulk Order Details'!G192="","",_xlfn.xlookup('Bulk Order Details'!G192,Length[Display],Length[Price]))</f>
        <v/>
      </c>
      <c r="H182" s="212" t="str">
        <f aca="false">IF('Bulk Order Details'!H192="","",_xlfn.xlookup('Bulk Order Details'!H192,Collection[Display],Collection[Price]))</f>
        <v/>
      </c>
      <c r="I182" s="212" t="str">
        <f aca="false">IF('Bulk Order Details'!I192="","",_xlfn.xlookup('Bulk Order Details'!I192,Sleeve[Display],Sleeve[Price]))</f>
        <v/>
      </c>
      <c r="J182" s="212" t="str">
        <f aca="false">IF('Bulk Order Details'!J192="","",_xlfn.xlookup('Bulk Order Details'!J192,Collar[Display],Collar[Price]))</f>
        <v/>
      </c>
      <c r="K182" s="212" t="str">
        <f aca="false">IF('Bulk Order Details'!K192="","",_xlfn.xlookup("Name",Name[Name],Name[Price]))</f>
        <v/>
      </c>
      <c r="L182" s="213" t="str">
        <f aca="false">IFERROR(IF('Bulk Order Details'!O192="","",IF(_xlfn.xlookup('Bulk Order Details'!O192,Logos[Display],Logos[Use])="Flat",_xlfn.xlookup('Bulk Order Details'!O192,Logos[Display],Logos[Flat]),ROUND(_xlfn.xlookup('Bulk Order Details'!O192,Logos[Display],Logos[Pct])*$E182,2))),"")</f>
        <v/>
      </c>
      <c r="M182" s="222" t="str">
        <f aca="false">IFERROR(IF('Bulk Order Details'!P192="","",IF(_xlfn.xlookup('Bulk Order Details'!P192,Chest[Display],Chest[Use])="Flat",_xlfn.xlookup('Bulk Order Details'!P192,Chest[Display],Chest[Flat]),ROUND(_xlfn.xlookup('Bulk Order Details'!P192,Chest[Display],Chest[Pct])*$E182,2))),"")</f>
        <v/>
      </c>
      <c r="N182" s="222" t="str">
        <f aca="false">IFERROR(IF('Bulk Order Details'!Q192="","",IF(_xlfn.xlookup('Bulk Order Details'!Q192,Chest[Display],Chest[Use])="Flat",_xlfn.xlookup('Bulk Order Details'!Q192,Chest[Display],Chest[Flat]),ROUND(_xlfn.xlookup('Bulk Order Details'!Q192,Chest[Display],Chest[Pct])*$E182,2))),"")</f>
        <v/>
      </c>
      <c r="O182" s="222" t="str">
        <f aca="false">IFERROR(IF('Bulk Order Details'!R192="","",IF(_xlfn.xlookup('Bulk Order Details'!R192,LeftSleeve[Display],LeftSleeve[Use])="Flat",_xlfn.xlookup('Bulk Order Details'!R192,LeftSleeve[Display],LeftSleeve[Flat]),ROUND(_xlfn.xlookup('Bulk Order Details'!R192,LeftSleeve[Display],LeftSleeve[Pct])*$E182,2))),"")</f>
        <v/>
      </c>
      <c r="P182" s="222" t="str">
        <f aca="false">IFERROR(IF('Bulk Order Details'!S192="","",IF(_xlfn.xlookup('Bulk Order Details'!S192,RightSleeve[Display],RightSleeve[Use])="Flat",_xlfn.xlookup('Bulk Order Details'!S192,RightSleeve[Display],RightSleeve[Flat]),ROUND(_xlfn.xlookup('Bulk Order Details'!S192,RightSleeve[Display],RightSleeve[Pct])*$E182,2))),"")</f>
        <v/>
      </c>
      <c r="Q182" s="214" t="str">
        <f aca="false">IF('Bulk Order Details'!J192="","",SUM(F182:P182))</f>
        <v/>
      </c>
      <c r="R182" s="213" t="str">
        <f aca="false">IFERROR(E182-D182,"")</f>
        <v/>
      </c>
      <c r="S182" s="215" t="str">
        <f aca="false">IFERROR(MIN(IF(Summary!$D$11="Yes",-J182,0),IF(H182&gt;0,-J182,0)),"")</f>
        <v/>
      </c>
      <c r="T182" s="212" t="str">
        <f aca="false">IFERROR(IF(Summary!$D$10="Yes",-K182,""),"")</f>
        <v/>
      </c>
      <c r="U182" s="213" t="str">
        <f aca="false">IFERROR(IF(Summary!$D$12="Yes",-L182,""),"")</f>
        <v/>
      </c>
      <c r="V182" s="216" t="str">
        <f aca="false">IF('Bulk Order Details'!J192="","",SUM(R182:U182))</f>
        <v/>
      </c>
      <c r="W182" s="217" t="str">
        <f aca="false">IF('Bulk Order Details'!J192="","",D182+Q182)</f>
        <v/>
      </c>
      <c r="X182" s="218" t="str">
        <f aca="false">IF('Bulk Order Details'!J192="","",D182+Q182+V182)</f>
        <v/>
      </c>
      <c r="Y182" s="219" t="str">
        <f aca="false">IFERROR((W182-X182)/W182,"")</f>
        <v/>
      </c>
      <c r="Z182" s="220" t="str">
        <f aca="false">IF('Bulk Order Details'!J192="","",MAX(1,'Bulk Order Details'!D192))</f>
        <v/>
      </c>
      <c r="AA182" s="217" t="str">
        <f aca="false">IF(Pricing_Details[[#This Row],[Quantity]]="","",Pricing_Details[[#This Row],[Retail Price]]*Pricing_Details[[#This Row],[Quantity]])</f>
        <v/>
      </c>
      <c r="AB182" s="217" t="str">
        <f aca="false">IF(Pricing_Details[[#This Row],[Quantity]]="","",Pricing_Details[[#This Row],[Total Discount]]*Pricing_Details[[#This Row],[Quantity]])</f>
        <v/>
      </c>
      <c r="AC182" s="221" t="str">
        <f aca="false">IFERROR(ROUND(Pricing_Details[[#This Row],[Actual Price]]*Pricing_Details[[#This Row],[Quantity]],2),"")</f>
        <v/>
      </c>
      <c r="AE182" s="179" t="str">
        <f aca="false">IF('Bulk Order Details'!J192="","",VLOOKUP('Bulk Order Details'!H192,Collection[],3)&amp;VLOOKUP('Bulk Order Details'!J192,Collar[],4)&amp;VLOOKUP('Bulk Order Details'!I192,Sleeve[],4))</f>
        <v/>
      </c>
      <c r="AF182" s="179" t="str">
        <f aca="false">IF('Bulk Order Details'!J192="","",LOOKUP('Bulk Order Details'!E192,Cut[Display],Cut[Code])&amp;LOOKUP('Bulk Order Details'!F192,#REF!,#REF!)&amp;IF('Bulk Order Details'!G192="","",LOOKUP('Bulk Order Details'!G192,Length[Display],Length[Code])))</f>
        <v/>
      </c>
      <c r="AG182" s="179" t="str">
        <f aca="false">IF('Bulk Order Details'!J192="","",IF('Bulk Order Details'!C192="","",'Bulk Order Details'!C192))</f>
        <v/>
      </c>
      <c r="AH182" s="179" t="str">
        <f aca="false">IF('Bulk Order Details'!O192="","","-"&amp;LOOKUP('Bulk Order Details'!O192,#REF!,#REF!))</f>
        <v/>
      </c>
      <c r="AI182" s="179" t="str">
        <f aca="false">IF('Bulk Order Details'!P192="","","-"&amp;LOOKUP('Bulk Order Details'!P192,#REF!,#REF!))</f>
        <v/>
      </c>
      <c r="AJ182" s="179" t="str">
        <f aca="false">IF('Bulk Order Details'!Q192="","","-"&amp;LOOKUP('Bulk Order Details'!Q192,#REF!,#REF!))</f>
        <v/>
      </c>
      <c r="AK182" s="179" t="str">
        <f aca="false">IF('Bulk Order Details'!R192="","","-"&amp;LOOKUP('Bulk Order Details'!R192,#REF!,#REF!))</f>
        <v/>
      </c>
      <c r="AL182" s="179" t="str">
        <f aca="false">IF('Bulk Order Details'!S192="","","-"&amp;LOOKUP('Bulk Order Details'!S192,#REF!,#REF!))</f>
        <v/>
      </c>
      <c r="AM182" s="179" t="str">
        <f aca="false">IF(_xlfn.CONCAT(AH182:AL182)="","","Lo"&amp;_xlfn.CONCAT(AH182:AL182))</f>
        <v/>
      </c>
      <c r="AN182" s="179" t="str">
        <f aca="false">IF('Bulk Order Details'!K192="","","Na-"&amp;'Bulk Order Details'!K192)</f>
        <v/>
      </c>
      <c r="AO182" s="179" t="str">
        <f aca="false">IF('Bulk Order Details'!N192="","","Fo-"&amp;'Bulk Order Details'!N192)</f>
        <v/>
      </c>
      <c r="AP182" s="179" t="str">
        <f aca="false">IF(AE182="","",AE182&amp;"_"&amp;AF182&amp;"_"&amp;AG182&amp;IF(AM182="","","_"&amp;AM182)&amp;IF(AN182="","","_"&amp;AN182)&amp;IF(AO182="","","_"&amp;AO182))</f>
        <v/>
      </c>
      <c r="AQ182" s="218" t="str">
        <f aca="false">IF(X182="","",X182)</f>
        <v/>
      </c>
    </row>
    <row r="183" customFormat="false" ht="15" hidden="false" customHeight="true" outlineLevel="0" collapsed="false">
      <c r="B183" s="209" t="n">
        <f aca="false">'Bulk Order Details'!B193</f>
        <v>180</v>
      </c>
      <c r="C183" s="209" t="e">
        <f aca="false">IF('bulk order details'!#ref!="","",'bulk order details'!#ref!&amp;" "&amp;'bulk order details'!#ref!)</f>
        <v>#VALUE!</v>
      </c>
      <c r="D183" s="210" t="str">
        <f aca="false">IF('Bulk Order Details'!J193="","",VLOOKUP(1,Price[],3))</f>
        <v/>
      </c>
      <c r="E183" s="211" t="str">
        <f aca="false">IF('Bulk Order Details'!J193="","",Summary!$D$9)</f>
        <v/>
      </c>
      <c r="F183" s="212" t="str">
        <f aca="false">IF('Bulk Order Details'!F193="","",_xlfn.xlookup('Bulk Order Details'!F193,Size[Display],Size[Price]))</f>
        <v/>
      </c>
      <c r="G183" s="212" t="str">
        <f aca="false">IF('Bulk Order Details'!G193="","",_xlfn.xlookup('Bulk Order Details'!G193,Length[Display],Length[Price]))</f>
        <v/>
      </c>
      <c r="H183" s="212" t="str">
        <f aca="false">IF('Bulk Order Details'!H193="","",_xlfn.xlookup('Bulk Order Details'!H193,Collection[Display],Collection[Price]))</f>
        <v/>
      </c>
      <c r="I183" s="212" t="str">
        <f aca="false">IF('Bulk Order Details'!I193="","",_xlfn.xlookup('Bulk Order Details'!I193,Sleeve[Display],Sleeve[Price]))</f>
        <v/>
      </c>
      <c r="J183" s="212" t="str">
        <f aca="false">IF('Bulk Order Details'!J193="","",_xlfn.xlookup('Bulk Order Details'!J193,Collar[Display],Collar[Price]))</f>
        <v/>
      </c>
      <c r="K183" s="212" t="str">
        <f aca="false">IF('Bulk Order Details'!K193="","",_xlfn.xlookup("Name",Name[Name],Name[Price]))</f>
        <v/>
      </c>
      <c r="L183" s="213" t="str">
        <f aca="false">IFERROR(IF('Bulk Order Details'!O193="","",IF(_xlfn.xlookup('Bulk Order Details'!O193,Logos[Display],Logos[Use])="Flat",_xlfn.xlookup('Bulk Order Details'!O193,Logos[Display],Logos[Flat]),ROUND(_xlfn.xlookup('Bulk Order Details'!O193,Logos[Display],Logos[Pct])*$E183,2))),"")</f>
        <v/>
      </c>
      <c r="M183" s="222" t="str">
        <f aca="false">IFERROR(IF('Bulk Order Details'!P193="","",IF(_xlfn.xlookup('Bulk Order Details'!P193,Chest[Display],Chest[Use])="Flat",_xlfn.xlookup('Bulk Order Details'!P193,Chest[Display],Chest[Flat]),ROUND(_xlfn.xlookup('Bulk Order Details'!P193,Chest[Display],Chest[Pct])*$E183,2))),"")</f>
        <v/>
      </c>
      <c r="N183" s="222" t="str">
        <f aca="false">IFERROR(IF('Bulk Order Details'!Q193="","",IF(_xlfn.xlookup('Bulk Order Details'!Q193,Chest[Display],Chest[Use])="Flat",_xlfn.xlookup('Bulk Order Details'!Q193,Chest[Display],Chest[Flat]),ROUND(_xlfn.xlookup('Bulk Order Details'!Q193,Chest[Display],Chest[Pct])*$E183,2))),"")</f>
        <v/>
      </c>
      <c r="O183" s="222" t="str">
        <f aca="false">IFERROR(IF('Bulk Order Details'!R193="","",IF(_xlfn.xlookup('Bulk Order Details'!R193,LeftSleeve[Display],LeftSleeve[Use])="Flat",_xlfn.xlookup('Bulk Order Details'!R193,LeftSleeve[Display],LeftSleeve[Flat]),ROUND(_xlfn.xlookup('Bulk Order Details'!R193,LeftSleeve[Display],LeftSleeve[Pct])*$E183,2))),"")</f>
        <v/>
      </c>
      <c r="P183" s="222" t="str">
        <f aca="false">IFERROR(IF('Bulk Order Details'!S193="","",IF(_xlfn.xlookup('Bulk Order Details'!S193,RightSleeve[Display],RightSleeve[Use])="Flat",_xlfn.xlookup('Bulk Order Details'!S193,RightSleeve[Display],RightSleeve[Flat]),ROUND(_xlfn.xlookup('Bulk Order Details'!S193,RightSleeve[Display],RightSleeve[Pct])*$E183,2))),"")</f>
        <v/>
      </c>
      <c r="Q183" s="214" t="str">
        <f aca="false">IF('Bulk Order Details'!J193="","",SUM(F183:P183))</f>
        <v/>
      </c>
      <c r="R183" s="213" t="str">
        <f aca="false">IFERROR(E183-D183,"")</f>
        <v/>
      </c>
      <c r="S183" s="215" t="str">
        <f aca="false">IFERROR(MIN(IF(Summary!$D$11="Yes",-J183,0),IF(H183&gt;0,-J183,0)),"")</f>
        <v/>
      </c>
      <c r="T183" s="212" t="str">
        <f aca="false">IFERROR(IF(Summary!$D$10="Yes",-K183,""),"")</f>
        <v/>
      </c>
      <c r="U183" s="213" t="str">
        <f aca="false">IFERROR(IF(Summary!$D$12="Yes",-L183,""),"")</f>
        <v/>
      </c>
      <c r="V183" s="216" t="str">
        <f aca="false">IF('Bulk Order Details'!J193="","",SUM(R183:U183))</f>
        <v/>
      </c>
      <c r="W183" s="217" t="str">
        <f aca="false">IF('Bulk Order Details'!J193="","",D183+Q183)</f>
        <v/>
      </c>
      <c r="X183" s="218" t="str">
        <f aca="false">IF('Bulk Order Details'!J193="","",D183+Q183+V183)</f>
        <v/>
      </c>
      <c r="Y183" s="219" t="str">
        <f aca="false">IFERROR((W183-X183)/W183,"")</f>
        <v/>
      </c>
      <c r="Z183" s="220" t="str">
        <f aca="false">IF('Bulk Order Details'!J193="","",MAX(1,'Bulk Order Details'!D193))</f>
        <v/>
      </c>
      <c r="AA183" s="217" t="str">
        <f aca="false">IF(Pricing_Details[[#This Row],[Quantity]]="","",Pricing_Details[[#This Row],[Retail Price]]*Pricing_Details[[#This Row],[Quantity]])</f>
        <v/>
      </c>
      <c r="AB183" s="217" t="str">
        <f aca="false">IF(Pricing_Details[[#This Row],[Quantity]]="","",Pricing_Details[[#This Row],[Total Discount]]*Pricing_Details[[#This Row],[Quantity]])</f>
        <v/>
      </c>
      <c r="AC183" s="221" t="str">
        <f aca="false">IFERROR(ROUND(Pricing_Details[[#This Row],[Actual Price]]*Pricing_Details[[#This Row],[Quantity]],2),"")</f>
        <v/>
      </c>
      <c r="AE183" s="179" t="str">
        <f aca="false">IF('Bulk Order Details'!J193="","",VLOOKUP('Bulk Order Details'!H193,Collection[],3)&amp;VLOOKUP('Bulk Order Details'!J193,Collar[],4)&amp;VLOOKUP('Bulk Order Details'!I193,Sleeve[],4))</f>
        <v/>
      </c>
      <c r="AF183" s="179" t="str">
        <f aca="false">IF('Bulk Order Details'!J193="","",LOOKUP('Bulk Order Details'!E193,Cut[Display],Cut[Code])&amp;LOOKUP('Bulk Order Details'!F193,#REF!,#REF!)&amp;IF('Bulk Order Details'!G193="","",LOOKUP('Bulk Order Details'!G193,Length[Display],Length[Code])))</f>
        <v/>
      </c>
      <c r="AG183" s="179" t="str">
        <f aca="false">IF('Bulk Order Details'!J193="","",IF('Bulk Order Details'!C193="","",'Bulk Order Details'!C193))</f>
        <v/>
      </c>
      <c r="AH183" s="179" t="str">
        <f aca="false">IF('Bulk Order Details'!O193="","","-"&amp;LOOKUP('Bulk Order Details'!O193,#REF!,#REF!))</f>
        <v/>
      </c>
      <c r="AI183" s="179" t="str">
        <f aca="false">IF('Bulk Order Details'!P193="","","-"&amp;LOOKUP('Bulk Order Details'!P193,#REF!,#REF!))</f>
        <v/>
      </c>
      <c r="AJ183" s="179" t="str">
        <f aca="false">IF('Bulk Order Details'!Q193="","","-"&amp;LOOKUP('Bulk Order Details'!Q193,#REF!,#REF!))</f>
        <v/>
      </c>
      <c r="AK183" s="179" t="str">
        <f aca="false">IF('Bulk Order Details'!R193="","","-"&amp;LOOKUP('Bulk Order Details'!R193,#REF!,#REF!))</f>
        <v/>
      </c>
      <c r="AL183" s="179" t="str">
        <f aca="false">IF('Bulk Order Details'!S193="","","-"&amp;LOOKUP('Bulk Order Details'!S193,#REF!,#REF!))</f>
        <v/>
      </c>
      <c r="AM183" s="179" t="str">
        <f aca="false">IF(_xlfn.CONCAT(AH183:AL183)="","","Lo"&amp;_xlfn.CONCAT(AH183:AL183))</f>
        <v/>
      </c>
      <c r="AN183" s="179" t="str">
        <f aca="false">IF('Bulk Order Details'!K193="","","Na-"&amp;'Bulk Order Details'!K193)</f>
        <v/>
      </c>
      <c r="AO183" s="179" t="str">
        <f aca="false">IF('Bulk Order Details'!N193="","","Fo-"&amp;'Bulk Order Details'!N193)</f>
        <v/>
      </c>
      <c r="AP183" s="179" t="str">
        <f aca="false">IF(AE183="","",AE183&amp;"_"&amp;AF183&amp;"_"&amp;AG183&amp;IF(AM183="","","_"&amp;AM183)&amp;IF(AN183="","","_"&amp;AN183)&amp;IF(AO183="","","_"&amp;AO183))</f>
        <v/>
      </c>
      <c r="AQ183" s="218" t="str">
        <f aca="false">IF(X183="","",X183)</f>
        <v/>
      </c>
    </row>
    <row r="184" customFormat="false" ht="15" hidden="false" customHeight="true" outlineLevel="0" collapsed="false">
      <c r="B184" s="209" t="n">
        <f aca="false">'Bulk Order Details'!B194</f>
        <v>181</v>
      </c>
      <c r="C184" s="209" t="e">
        <f aca="false">IF('bulk order details'!#ref!="","",'bulk order details'!#ref!&amp;" "&amp;'bulk order details'!#ref!)</f>
        <v>#VALUE!</v>
      </c>
      <c r="D184" s="210" t="str">
        <f aca="false">IF('Bulk Order Details'!J194="","",VLOOKUP(1,Price[],3))</f>
        <v/>
      </c>
      <c r="E184" s="211" t="str">
        <f aca="false">IF('Bulk Order Details'!J194="","",Summary!$D$9)</f>
        <v/>
      </c>
      <c r="F184" s="212" t="str">
        <f aca="false">IF('Bulk Order Details'!F194="","",_xlfn.xlookup('Bulk Order Details'!F194,Size[Display],Size[Price]))</f>
        <v/>
      </c>
      <c r="G184" s="212" t="str">
        <f aca="false">IF('Bulk Order Details'!G194="","",_xlfn.xlookup('Bulk Order Details'!G194,Length[Display],Length[Price]))</f>
        <v/>
      </c>
      <c r="H184" s="212" t="str">
        <f aca="false">IF('Bulk Order Details'!H194="","",_xlfn.xlookup('Bulk Order Details'!H194,Collection[Display],Collection[Price]))</f>
        <v/>
      </c>
      <c r="I184" s="212" t="str">
        <f aca="false">IF('Bulk Order Details'!I194="","",_xlfn.xlookup('Bulk Order Details'!I194,Sleeve[Display],Sleeve[Price]))</f>
        <v/>
      </c>
      <c r="J184" s="212" t="str">
        <f aca="false">IF('Bulk Order Details'!J194="","",_xlfn.xlookup('Bulk Order Details'!J194,Collar[Display],Collar[Price]))</f>
        <v/>
      </c>
      <c r="K184" s="212" t="str">
        <f aca="false">IF('Bulk Order Details'!K194="","",_xlfn.xlookup("Name",Name[Name],Name[Price]))</f>
        <v/>
      </c>
      <c r="L184" s="213" t="str">
        <f aca="false">IFERROR(IF('Bulk Order Details'!O194="","",IF(_xlfn.xlookup('Bulk Order Details'!O194,Logos[Display],Logos[Use])="Flat",_xlfn.xlookup('Bulk Order Details'!O194,Logos[Display],Logos[Flat]),ROUND(_xlfn.xlookup('Bulk Order Details'!O194,Logos[Display],Logos[Pct])*$E184,2))),"")</f>
        <v/>
      </c>
      <c r="M184" s="222" t="str">
        <f aca="false">IFERROR(IF('Bulk Order Details'!P194="","",IF(_xlfn.xlookup('Bulk Order Details'!P194,Chest[Display],Chest[Use])="Flat",_xlfn.xlookup('Bulk Order Details'!P194,Chest[Display],Chest[Flat]),ROUND(_xlfn.xlookup('Bulk Order Details'!P194,Chest[Display],Chest[Pct])*$E184,2))),"")</f>
        <v/>
      </c>
      <c r="N184" s="222" t="str">
        <f aca="false">IFERROR(IF('Bulk Order Details'!Q194="","",IF(_xlfn.xlookup('Bulk Order Details'!Q194,Chest[Display],Chest[Use])="Flat",_xlfn.xlookup('Bulk Order Details'!Q194,Chest[Display],Chest[Flat]),ROUND(_xlfn.xlookup('Bulk Order Details'!Q194,Chest[Display],Chest[Pct])*$E184,2))),"")</f>
        <v/>
      </c>
      <c r="O184" s="222" t="str">
        <f aca="false">IFERROR(IF('Bulk Order Details'!R194="","",IF(_xlfn.xlookup('Bulk Order Details'!R194,LeftSleeve[Display],LeftSleeve[Use])="Flat",_xlfn.xlookup('Bulk Order Details'!R194,LeftSleeve[Display],LeftSleeve[Flat]),ROUND(_xlfn.xlookup('Bulk Order Details'!R194,LeftSleeve[Display],LeftSleeve[Pct])*$E184,2))),"")</f>
        <v/>
      </c>
      <c r="P184" s="222" t="str">
        <f aca="false">IFERROR(IF('Bulk Order Details'!S194="","",IF(_xlfn.xlookup('Bulk Order Details'!S194,RightSleeve[Display],RightSleeve[Use])="Flat",_xlfn.xlookup('Bulk Order Details'!S194,RightSleeve[Display],RightSleeve[Flat]),ROUND(_xlfn.xlookup('Bulk Order Details'!S194,RightSleeve[Display],RightSleeve[Pct])*$E184,2))),"")</f>
        <v/>
      </c>
      <c r="Q184" s="214" t="str">
        <f aca="false">IF('Bulk Order Details'!J194="","",SUM(F184:P184))</f>
        <v/>
      </c>
      <c r="R184" s="213" t="str">
        <f aca="false">IFERROR(E184-D184,"")</f>
        <v/>
      </c>
      <c r="S184" s="215" t="str">
        <f aca="false">IFERROR(MIN(IF(Summary!$D$11="Yes",-J184,0),IF(H184&gt;0,-J184,0)),"")</f>
        <v/>
      </c>
      <c r="T184" s="212" t="str">
        <f aca="false">IFERROR(IF(Summary!$D$10="Yes",-K184,""),"")</f>
        <v/>
      </c>
      <c r="U184" s="213" t="str">
        <f aca="false">IFERROR(IF(Summary!$D$12="Yes",-L184,""),"")</f>
        <v/>
      </c>
      <c r="V184" s="216" t="str">
        <f aca="false">IF('Bulk Order Details'!J194="","",SUM(R184:U184))</f>
        <v/>
      </c>
      <c r="W184" s="217" t="str">
        <f aca="false">IF('Bulk Order Details'!J194="","",D184+Q184)</f>
        <v/>
      </c>
      <c r="X184" s="218" t="str">
        <f aca="false">IF('Bulk Order Details'!J194="","",D184+Q184+V184)</f>
        <v/>
      </c>
      <c r="Y184" s="219" t="str">
        <f aca="false">IFERROR((W184-X184)/W184,"")</f>
        <v/>
      </c>
      <c r="Z184" s="220" t="str">
        <f aca="false">IF('Bulk Order Details'!J194="","",MAX(1,'Bulk Order Details'!D194))</f>
        <v/>
      </c>
      <c r="AA184" s="217" t="str">
        <f aca="false">IF(Pricing_Details[[#This Row],[Quantity]]="","",Pricing_Details[[#This Row],[Retail Price]]*Pricing_Details[[#This Row],[Quantity]])</f>
        <v/>
      </c>
      <c r="AB184" s="217" t="str">
        <f aca="false">IF(Pricing_Details[[#This Row],[Quantity]]="","",Pricing_Details[[#This Row],[Total Discount]]*Pricing_Details[[#This Row],[Quantity]])</f>
        <v/>
      </c>
      <c r="AC184" s="221" t="str">
        <f aca="false">IFERROR(ROUND(Pricing_Details[[#This Row],[Actual Price]]*Pricing_Details[[#This Row],[Quantity]],2),"")</f>
        <v/>
      </c>
      <c r="AE184" s="179" t="str">
        <f aca="false">IF('Bulk Order Details'!J194="","",VLOOKUP('Bulk Order Details'!H194,Collection[],3)&amp;VLOOKUP('Bulk Order Details'!J194,Collar[],4)&amp;VLOOKUP('Bulk Order Details'!I194,Sleeve[],4))</f>
        <v/>
      </c>
      <c r="AF184" s="179" t="str">
        <f aca="false">IF('Bulk Order Details'!J194="","",LOOKUP('Bulk Order Details'!E194,Cut[Display],Cut[Code])&amp;LOOKUP('Bulk Order Details'!F194,#REF!,#REF!)&amp;IF('Bulk Order Details'!G194="","",LOOKUP('Bulk Order Details'!G194,Length[Display],Length[Code])))</f>
        <v/>
      </c>
      <c r="AG184" s="179" t="str">
        <f aca="false">IF('Bulk Order Details'!J194="","",IF('Bulk Order Details'!C194="","",'Bulk Order Details'!C194))</f>
        <v/>
      </c>
      <c r="AH184" s="179" t="str">
        <f aca="false">IF('Bulk Order Details'!O194="","","-"&amp;LOOKUP('Bulk Order Details'!O194,#REF!,#REF!))</f>
        <v/>
      </c>
      <c r="AI184" s="179" t="str">
        <f aca="false">IF('Bulk Order Details'!P194="","","-"&amp;LOOKUP('Bulk Order Details'!P194,#REF!,#REF!))</f>
        <v/>
      </c>
      <c r="AJ184" s="179" t="str">
        <f aca="false">IF('Bulk Order Details'!Q194="","","-"&amp;LOOKUP('Bulk Order Details'!Q194,#REF!,#REF!))</f>
        <v/>
      </c>
      <c r="AK184" s="179" t="str">
        <f aca="false">IF('Bulk Order Details'!R194="","","-"&amp;LOOKUP('Bulk Order Details'!R194,#REF!,#REF!))</f>
        <v/>
      </c>
      <c r="AL184" s="179" t="str">
        <f aca="false">IF('Bulk Order Details'!S194="","","-"&amp;LOOKUP('Bulk Order Details'!S194,#REF!,#REF!))</f>
        <v/>
      </c>
      <c r="AM184" s="179" t="str">
        <f aca="false">IF(_xlfn.CONCAT(AH184:AL184)="","","Lo"&amp;_xlfn.CONCAT(AH184:AL184))</f>
        <v/>
      </c>
      <c r="AN184" s="179" t="str">
        <f aca="false">IF('Bulk Order Details'!K194="","","Na-"&amp;'Bulk Order Details'!K194)</f>
        <v/>
      </c>
      <c r="AO184" s="179" t="str">
        <f aca="false">IF('Bulk Order Details'!N194="","","Fo-"&amp;'Bulk Order Details'!N194)</f>
        <v/>
      </c>
      <c r="AP184" s="179" t="str">
        <f aca="false">IF(AE184="","",AE184&amp;"_"&amp;AF184&amp;"_"&amp;AG184&amp;IF(AM184="","","_"&amp;AM184)&amp;IF(AN184="","","_"&amp;AN184)&amp;IF(AO184="","","_"&amp;AO184))</f>
        <v/>
      </c>
      <c r="AQ184" s="218" t="str">
        <f aca="false">IF(X184="","",X184)</f>
        <v/>
      </c>
    </row>
    <row r="185" customFormat="false" ht="15" hidden="false" customHeight="true" outlineLevel="0" collapsed="false">
      <c r="B185" s="209" t="n">
        <f aca="false">'Bulk Order Details'!B195</f>
        <v>182</v>
      </c>
      <c r="C185" s="209" t="e">
        <f aca="false">IF('bulk order details'!#ref!="","",'bulk order details'!#ref!&amp;" "&amp;'bulk order details'!#ref!)</f>
        <v>#VALUE!</v>
      </c>
      <c r="D185" s="210" t="str">
        <f aca="false">IF('Bulk Order Details'!J195="","",VLOOKUP(1,Price[],3))</f>
        <v/>
      </c>
      <c r="E185" s="211" t="str">
        <f aca="false">IF('Bulk Order Details'!J195="","",Summary!$D$9)</f>
        <v/>
      </c>
      <c r="F185" s="212" t="str">
        <f aca="false">IF('Bulk Order Details'!F195="","",_xlfn.xlookup('Bulk Order Details'!F195,Size[Display],Size[Price]))</f>
        <v/>
      </c>
      <c r="G185" s="212" t="str">
        <f aca="false">IF('Bulk Order Details'!G195="","",_xlfn.xlookup('Bulk Order Details'!G195,Length[Display],Length[Price]))</f>
        <v/>
      </c>
      <c r="H185" s="212" t="str">
        <f aca="false">IF('Bulk Order Details'!H195="","",_xlfn.xlookup('Bulk Order Details'!H195,Collection[Display],Collection[Price]))</f>
        <v/>
      </c>
      <c r="I185" s="212" t="str">
        <f aca="false">IF('Bulk Order Details'!I195="","",_xlfn.xlookup('Bulk Order Details'!I195,Sleeve[Display],Sleeve[Price]))</f>
        <v/>
      </c>
      <c r="J185" s="212" t="str">
        <f aca="false">IF('Bulk Order Details'!J195="","",_xlfn.xlookup('Bulk Order Details'!J195,Collar[Display],Collar[Price]))</f>
        <v/>
      </c>
      <c r="K185" s="212" t="str">
        <f aca="false">IF('Bulk Order Details'!K195="","",_xlfn.xlookup("Name",Name[Name],Name[Price]))</f>
        <v/>
      </c>
      <c r="L185" s="213" t="str">
        <f aca="false">IFERROR(IF('Bulk Order Details'!O195="","",IF(_xlfn.xlookup('Bulk Order Details'!O195,Logos[Display],Logos[Use])="Flat",_xlfn.xlookup('Bulk Order Details'!O195,Logos[Display],Logos[Flat]),ROUND(_xlfn.xlookup('Bulk Order Details'!O195,Logos[Display],Logos[Pct])*$E185,2))),"")</f>
        <v/>
      </c>
      <c r="M185" s="222" t="str">
        <f aca="false">IFERROR(IF('Bulk Order Details'!P195="","",IF(_xlfn.xlookup('Bulk Order Details'!P195,Chest[Display],Chest[Use])="Flat",_xlfn.xlookup('Bulk Order Details'!P195,Chest[Display],Chest[Flat]),ROUND(_xlfn.xlookup('Bulk Order Details'!P195,Chest[Display],Chest[Pct])*$E185,2))),"")</f>
        <v/>
      </c>
      <c r="N185" s="222" t="str">
        <f aca="false">IFERROR(IF('Bulk Order Details'!Q195="","",IF(_xlfn.xlookup('Bulk Order Details'!Q195,Chest[Display],Chest[Use])="Flat",_xlfn.xlookup('Bulk Order Details'!Q195,Chest[Display],Chest[Flat]),ROUND(_xlfn.xlookup('Bulk Order Details'!Q195,Chest[Display],Chest[Pct])*$E185,2))),"")</f>
        <v/>
      </c>
      <c r="O185" s="222" t="str">
        <f aca="false">IFERROR(IF('Bulk Order Details'!R195="","",IF(_xlfn.xlookup('Bulk Order Details'!R195,LeftSleeve[Display],LeftSleeve[Use])="Flat",_xlfn.xlookup('Bulk Order Details'!R195,LeftSleeve[Display],LeftSleeve[Flat]),ROUND(_xlfn.xlookup('Bulk Order Details'!R195,LeftSleeve[Display],LeftSleeve[Pct])*$E185,2))),"")</f>
        <v/>
      </c>
      <c r="P185" s="222" t="str">
        <f aca="false">IFERROR(IF('Bulk Order Details'!S195="","",IF(_xlfn.xlookup('Bulk Order Details'!S195,RightSleeve[Display],RightSleeve[Use])="Flat",_xlfn.xlookup('Bulk Order Details'!S195,RightSleeve[Display],RightSleeve[Flat]),ROUND(_xlfn.xlookup('Bulk Order Details'!S195,RightSleeve[Display],RightSleeve[Pct])*$E185,2))),"")</f>
        <v/>
      </c>
      <c r="Q185" s="214" t="str">
        <f aca="false">IF('Bulk Order Details'!J195="","",SUM(F185:P185))</f>
        <v/>
      </c>
      <c r="R185" s="213" t="str">
        <f aca="false">IFERROR(E185-D185,"")</f>
        <v/>
      </c>
      <c r="S185" s="215" t="str">
        <f aca="false">IFERROR(MIN(IF(Summary!$D$11="Yes",-J185,0),IF(H185&gt;0,-J185,0)),"")</f>
        <v/>
      </c>
      <c r="T185" s="212" t="str">
        <f aca="false">IFERROR(IF(Summary!$D$10="Yes",-K185,""),"")</f>
        <v/>
      </c>
      <c r="U185" s="213" t="str">
        <f aca="false">IFERROR(IF(Summary!$D$12="Yes",-L185,""),"")</f>
        <v/>
      </c>
      <c r="V185" s="216" t="str">
        <f aca="false">IF('Bulk Order Details'!J195="","",SUM(R185:U185))</f>
        <v/>
      </c>
      <c r="W185" s="217" t="str">
        <f aca="false">IF('Bulk Order Details'!J195="","",D185+Q185)</f>
        <v/>
      </c>
      <c r="X185" s="218" t="str">
        <f aca="false">IF('Bulk Order Details'!J195="","",D185+Q185+V185)</f>
        <v/>
      </c>
      <c r="Y185" s="219" t="str">
        <f aca="false">IFERROR((W185-X185)/W185,"")</f>
        <v/>
      </c>
      <c r="Z185" s="220" t="str">
        <f aca="false">IF('Bulk Order Details'!J195="","",MAX(1,'Bulk Order Details'!D195))</f>
        <v/>
      </c>
      <c r="AA185" s="217" t="str">
        <f aca="false">IF(Pricing_Details[[#This Row],[Quantity]]="","",Pricing_Details[[#This Row],[Retail Price]]*Pricing_Details[[#This Row],[Quantity]])</f>
        <v/>
      </c>
      <c r="AB185" s="217" t="str">
        <f aca="false">IF(Pricing_Details[[#This Row],[Quantity]]="","",Pricing_Details[[#This Row],[Total Discount]]*Pricing_Details[[#This Row],[Quantity]])</f>
        <v/>
      </c>
      <c r="AC185" s="221" t="str">
        <f aca="false">IFERROR(ROUND(Pricing_Details[[#This Row],[Actual Price]]*Pricing_Details[[#This Row],[Quantity]],2),"")</f>
        <v/>
      </c>
      <c r="AE185" s="179" t="str">
        <f aca="false">IF('Bulk Order Details'!J195="","",VLOOKUP('Bulk Order Details'!H195,Collection[],3)&amp;VLOOKUP('Bulk Order Details'!J195,Collar[],4)&amp;VLOOKUP('Bulk Order Details'!I195,Sleeve[],4))</f>
        <v/>
      </c>
      <c r="AF185" s="179" t="str">
        <f aca="false">IF('Bulk Order Details'!J195="","",LOOKUP('Bulk Order Details'!E195,Cut[Display],Cut[Code])&amp;LOOKUP('Bulk Order Details'!F195,#REF!,#REF!)&amp;IF('Bulk Order Details'!G195="","",LOOKUP('Bulk Order Details'!G195,Length[Display],Length[Code])))</f>
        <v/>
      </c>
      <c r="AG185" s="179" t="str">
        <f aca="false">IF('Bulk Order Details'!J195="","",IF('Bulk Order Details'!C195="","",'Bulk Order Details'!C195))</f>
        <v/>
      </c>
      <c r="AH185" s="179" t="str">
        <f aca="false">IF('Bulk Order Details'!O195="","","-"&amp;LOOKUP('Bulk Order Details'!O195,#REF!,#REF!))</f>
        <v/>
      </c>
      <c r="AI185" s="179" t="str">
        <f aca="false">IF('Bulk Order Details'!P195="","","-"&amp;LOOKUP('Bulk Order Details'!P195,#REF!,#REF!))</f>
        <v/>
      </c>
      <c r="AJ185" s="179" t="str">
        <f aca="false">IF('Bulk Order Details'!Q195="","","-"&amp;LOOKUP('Bulk Order Details'!Q195,#REF!,#REF!))</f>
        <v/>
      </c>
      <c r="AK185" s="179" t="str">
        <f aca="false">IF('Bulk Order Details'!R195="","","-"&amp;LOOKUP('Bulk Order Details'!R195,#REF!,#REF!))</f>
        <v/>
      </c>
      <c r="AL185" s="179" t="str">
        <f aca="false">IF('Bulk Order Details'!S195="","","-"&amp;LOOKUP('Bulk Order Details'!S195,#REF!,#REF!))</f>
        <v/>
      </c>
      <c r="AM185" s="179" t="str">
        <f aca="false">IF(_xlfn.CONCAT(AH185:AL185)="","","Lo"&amp;_xlfn.CONCAT(AH185:AL185))</f>
        <v/>
      </c>
      <c r="AN185" s="179" t="str">
        <f aca="false">IF('Bulk Order Details'!K195="","","Na-"&amp;'Bulk Order Details'!K195)</f>
        <v/>
      </c>
      <c r="AO185" s="179" t="str">
        <f aca="false">IF('Bulk Order Details'!N195="","","Fo-"&amp;'Bulk Order Details'!N195)</f>
        <v/>
      </c>
      <c r="AP185" s="179" t="str">
        <f aca="false">IF(AE185="","",AE185&amp;"_"&amp;AF185&amp;"_"&amp;AG185&amp;IF(AM185="","","_"&amp;AM185)&amp;IF(AN185="","","_"&amp;AN185)&amp;IF(AO185="","","_"&amp;AO185))</f>
        <v/>
      </c>
      <c r="AQ185" s="218" t="str">
        <f aca="false">IF(X185="","",X185)</f>
        <v/>
      </c>
    </row>
    <row r="186" customFormat="false" ht="15" hidden="false" customHeight="true" outlineLevel="0" collapsed="false">
      <c r="B186" s="209" t="n">
        <f aca="false">'Bulk Order Details'!B196</f>
        <v>183</v>
      </c>
      <c r="C186" s="209" t="e">
        <f aca="false">IF('bulk order details'!#ref!="","",'bulk order details'!#ref!&amp;" "&amp;'bulk order details'!#ref!)</f>
        <v>#VALUE!</v>
      </c>
      <c r="D186" s="210" t="str">
        <f aca="false">IF('Bulk Order Details'!J196="","",VLOOKUP(1,Price[],3))</f>
        <v/>
      </c>
      <c r="E186" s="211" t="str">
        <f aca="false">IF('Bulk Order Details'!J196="","",Summary!$D$9)</f>
        <v/>
      </c>
      <c r="F186" s="212" t="str">
        <f aca="false">IF('Bulk Order Details'!F196="","",_xlfn.xlookup('Bulk Order Details'!F196,Size[Display],Size[Price]))</f>
        <v/>
      </c>
      <c r="G186" s="212" t="str">
        <f aca="false">IF('Bulk Order Details'!G196="","",_xlfn.xlookup('Bulk Order Details'!G196,Length[Display],Length[Price]))</f>
        <v/>
      </c>
      <c r="H186" s="212" t="str">
        <f aca="false">IF('Bulk Order Details'!H196="","",_xlfn.xlookup('Bulk Order Details'!H196,Collection[Display],Collection[Price]))</f>
        <v/>
      </c>
      <c r="I186" s="212" t="str">
        <f aca="false">IF('Bulk Order Details'!I196="","",_xlfn.xlookup('Bulk Order Details'!I196,Sleeve[Display],Sleeve[Price]))</f>
        <v/>
      </c>
      <c r="J186" s="212" t="str">
        <f aca="false">IF('Bulk Order Details'!J196="","",_xlfn.xlookup('Bulk Order Details'!J196,Collar[Display],Collar[Price]))</f>
        <v/>
      </c>
      <c r="K186" s="212" t="str">
        <f aca="false">IF('Bulk Order Details'!K196="","",_xlfn.xlookup("Name",Name[Name],Name[Price]))</f>
        <v/>
      </c>
      <c r="L186" s="213" t="str">
        <f aca="false">IFERROR(IF('Bulk Order Details'!O196="","",IF(_xlfn.xlookup('Bulk Order Details'!O196,Logos[Display],Logos[Use])="Flat",_xlfn.xlookup('Bulk Order Details'!O196,Logos[Display],Logos[Flat]),ROUND(_xlfn.xlookup('Bulk Order Details'!O196,Logos[Display],Logos[Pct])*$E186,2))),"")</f>
        <v/>
      </c>
      <c r="M186" s="222" t="str">
        <f aca="false">IFERROR(IF('Bulk Order Details'!P196="","",IF(_xlfn.xlookup('Bulk Order Details'!P196,Chest[Display],Chest[Use])="Flat",_xlfn.xlookup('Bulk Order Details'!P196,Chest[Display],Chest[Flat]),ROUND(_xlfn.xlookup('Bulk Order Details'!P196,Chest[Display],Chest[Pct])*$E186,2))),"")</f>
        <v/>
      </c>
      <c r="N186" s="222" t="str">
        <f aca="false">IFERROR(IF('Bulk Order Details'!Q196="","",IF(_xlfn.xlookup('Bulk Order Details'!Q196,Chest[Display],Chest[Use])="Flat",_xlfn.xlookup('Bulk Order Details'!Q196,Chest[Display],Chest[Flat]),ROUND(_xlfn.xlookup('Bulk Order Details'!Q196,Chest[Display],Chest[Pct])*$E186,2))),"")</f>
        <v/>
      </c>
      <c r="O186" s="222" t="str">
        <f aca="false">IFERROR(IF('Bulk Order Details'!R196="","",IF(_xlfn.xlookup('Bulk Order Details'!R196,LeftSleeve[Display],LeftSleeve[Use])="Flat",_xlfn.xlookup('Bulk Order Details'!R196,LeftSleeve[Display],LeftSleeve[Flat]),ROUND(_xlfn.xlookup('Bulk Order Details'!R196,LeftSleeve[Display],LeftSleeve[Pct])*$E186,2))),"")</f>
        <v/>
      </c>
      <c r="P186" s="222" t="str">
        <f aca="false">IFERROR(IF('Bulk Order Details'!S196="","",IF(_xlfn.xlookup('Bulk Order Details'!S196,RightSleeve[Display],RightSleeve[Use])="Flat",_xlfn.xlookup('Bulk Order Details'!S196,RightSleeve[Display],RightSleeve[Flat]),ROUND(_xlfn.xlookup('Bulk Order Details'!S196,RightSleeve[Display],RightSleeve[Pct])*$E186,2))),"")</f>
        <v/>
      </c>
      <c r="Q186" s="214" t="str">
        <f aca="false">IF('Bulk Order Details'!J196="","",SUM(F186:P186))</f>
        <v/>
      </c>
      <c r="R186" s="213" t="str">
        <f aca="false">IFERROR(E186-D186,"")</f>
        <v/>
      </c>
      <c r="S186" s="215" t="str">
        <f aca="false">IFERROR(MIN(IF(Summary!$D$11="Yes",-J186,0),IF(H186&gt;0,-J186,0)),"")</f>
        <v/>
      </c>
      <c r="T186" s="212" t="str">
        <f aca="false">IFERROR(IF(Summary!$D$10="Yes",-K186,""),"")</f>
        <v/>
      </c>
      <c r="U186" s="213" t="str">
        <f aca="false">IFERROR(IF(Summary!$D$12="Yes",-L186,""),"")</f>
        <v/>
      </c>
      <c r="V186" s="216" t="str">
        <f aca="false">IF('Bulk Order Details'!J196="","",SUM(R186:U186))</f>
        <v/>
      </c>
      <c r="W186" s="217" t="str">
        <f aca="false">IF('Bulk Order Details'!J196="","",D186+Q186)</f>
        <v/>
      </c>
      <c r="X186" s="218" t="str">
        <f aca="false">IF('Bulk Order Details'!J196="","",D186+Q186+V186)</f>
        <v/>
      </c>
      <c r="Y186" s="219" t="str">
        <f aca="false">IFERROR((W186-X186)/W186,"")</f>
        <v/>
      </c>
      <c r="Z186" s="220" t="str">
        <f aca="false">IF('Bulk Order Details'!J196="","",MAX(1,'Bulk Order Details'!D196))</f>
        <v/>
      </c>
      <c r="AA186" s="217" t="str">
        <f aca="false">IF(Pricing_Details[[#This Row],[Quantity]]="","",Pricing_Details[[#This Row],[Retail Price]]*Pricing_Details[[#This Row],[Quantity]])</f>
        <v/>
      </c>
      <c r="AB186" s="217" t="str">
        <f aca="false">IF(Pricing_Details[[#This Row],[Quantity]]="","",Pricing_Details[[#This Row],[Total Discount]]*Pricing_Details[[#This Row],[Quantity]])</f>
        <v/>
      </c>
      <c r="AC186" s="221" t="str">
        <f aca="false">IFERROR(ROUND(Pricing_Details[[#This Row],[Actual Price]]*Pricing_Details[[#This Row],[Quantity]],2),"")</f>
        <v/>
      </c>
      <c r="AE186" s="179" t="str">
        <f aca="false">IF('Bulk Order Details'!J196="","",VLOOKUP('Bulk Order Details'!H196,Collection[],3)&amp;VLOOKUP('Bulk Order Details'!J196,Collar[],4)&amp;VLOOKUP('Bulk Order Details'!I196,Sleeve[],4))</f>
        <v/>
      </c>
      <c r="AF186" s="179" t="str">
        <f aca="false">IF('Bulk Order Details'!J196="","",LOOKUP('Bulk Order Details'!E196,Cut[Display],Cut[Code])&amp;LOOKUP('Bulk Order Details'!F196,#REF!,#REF!)&amp;IF('Bulk Order Details'!G196="","",LOOKUP('Bulk Order Details'!G196,Length[Display],Length[Code])))</f>
        <v/>
      </c>
      <c r="AG186" s="179" t="str">
        <f aca="false">IF('Bulk Order Details'!J196="","",IF('Bulk Order Details'!C196="","",'Bulk Order Details'!C196))</f>
        <v/>
      </c>
      <c r="AH186" s="179" t="str">
        <f aca="false">IF('Bulk Order Details'!O196="","","-"&amp;LOOKUP('Bulk Order Details'!O196,#REF!,#REF!))</f>
        <v/>
      </c>
      <c r="AI186" s="179" t="str">
        <f aca="false">IF('Bulk Order Details'!P196="","","-"&amp;LOOKUP('Bulk Order Details'!P196,#REF!,#REF!))</f>
        <v/>
      </c>
      <c r="AJ186" s="179" t="str">
        <f aca="false">IF('Bulk Order Details'!Q196="","","-"&amp;LOOKUP('Bulk Order Details'!Q196,#REF!,#REF!))</f>
        <v/>
      </c>
      <c r="AK186" s="179" t="str">
        <f aca="false">IF('Bulk Order Details'!R196="","","-"&amp;LOOKUP('Bulk Order Details'!R196,#REF!,#REF!))</f>
        <v/>
      </c>
      <c r="AL186" s="179" t="str">
        <f aca="false">IF('Bulk Order Details'!S196="","","-"&amp;LOOKUP('Bulk Order Details'!S196,#REF!,#REF!))</f>
        <v/>
      </c>
      <c r="AM186" s="179" t="str">
        <f aca="false">IF(_xlfn.CONCAT(AH186:AL186)="","","Lo"&amp;_xlfn.CONCAT(AH186:AL186))</f>
        <v/>
      </c>
      <c r="AN186" s="179" t="str">
        <f aca="false">IF('Bulk Order Details'!K196="","","Na-"&amp;'Bulk Order Details'!K196)</f>
        <v/>
      </c>
      <c r="AO186" s="179" t="str">
        <f aca="false">IF('Bulk Order Details'!N196="","","Fo-"&amp;'Bulk Order Details'!N196)</f>
        <v/>
      </c>
      <c r="AP186" s="179" t="str">
        <f aca="false">IF(AE186="","",AE186&amp;"_"&amp;AF186&amp;"_"&amp;AG186&amp;IF(AM186="","","_"&amp;AM186)&amp;IF(AN186="","","_"&amp;AN186)&amp;IF(AO186="","","_"&amp;AO186))</f>
        <v/>
      </c>
      <c r="AQ186" s="218" t="str">
        <f aca="false">IF(X186="","",X186)</f>
        <v/>
      </c>
    </row>
    <row r="187" customFormat="false" ht="15" hidden="false" customHeight="true" outlineLevel="0" collapsed="false">
      <c r="B187" s="209" t="n">
        <f aca="false">'Bulk Order Details'!B197</f>
        <v>184</v>
      </c>
      <c r="C187" s="209" t="e">
        <f aca="false">IF('bulk order details'!#ref!="","",'bulk order details'!#ref!&amp;" "&amp;'bulk order details'!#ref!)</f>
        <v>#VALUE!</v>
      </c>
      <c r="D187" s="210" t="str">
        <f aca="false">IF('Bulk Order Details'!J197="","",VLOOKUP(1,Price[],3))</f>
        <v/>
      </c>
      <c r="E187" s="211" t="str">
        <f aca="false">IF('Bulk Order Details'!J197="","",Summary!$D$9)</f>
        <v/>
      </c>
      <c r="F187" s="212" t="str">
        <f aca="false">IF('Bulk Order Details'!F197="","",_xlfn.xlookup('Bulk Order Details'!F197,Size[Display],Size[Price]))</f>
        <v/>
      </c>
      <c r="G187" s="212" t="str">
        <f aca="false">IF('Bulk Order Details'!G197="","",_xlfn.xlookup('Bulk Order Details'!G197,Length[Display],Length[Price]))</f>
        <v/>
      </c>
      <c r="H187" s="212" t="str">
        <f aca="false">IF('Bulk Order Details'!H197="","",_xlfn.xlookup('Bulk Order Details'!H197,Collection[Display],Collection[Price]))</f>
        <v/>
      </c>
      <c r="I187" s="212" t="str">
        <f aca="false">IF('Bulk Order Details'!I197="","",_xlfn.xlookup('Bulk Order Details'!I197,Sleeve[Display],Sleeve[Price]))</f>
        <v/>
      </c>
      <c r="J187" s="212" t="str">
        <f aca="false">IF('Bulk Order Details'!J197="","",_xlfn.xlookup('Bulk Order Details'!J197,Collar[Display],Collar[Price]))</f>
        <v/>
      </c>
      <c r="K187" s="212" t="str">
        <f aca="false">IF('Bulk Order Details'!K197="","",_xlfn.xlookup("Name",Name[Name],Name[Price]))</f>
        <v/>
      </c>
      <c r="L187" s="213" t="str">
        <f aca="false">IFERROR(IF('Bulk Order Details'!O197="","",IF(_xlfn.xlookup('Bulk Order Details'!O197,Logos[Display],Logos[Use])="Flat",_xlfn.xlookup('Bulk Order Details'!O197,Logos[Display],Logos[Flat]),ROUND(_xlfn.xlookup('Bulk Order Details'!O197,Logos[Display],Logos[Pct])*$E187,2))),"")</f>
        <v/>
      </c>
      <c r="M187" s="222" t="str">
        <f aca="false">IFERROR(IF('Bulk Order Details'!P197="","",IF(_xlfn.xlookup('Bulk Order Details'!P197,Chest[Display],Chest[Use])="Flat",_xlfn.xlookup('Bulk Order Details'!P197,Chest[Display],Chest[Flat]),ROUND(_xlfn.xlookup('Bulk Order Details'!P197,Chest[Display],Chest[Pct])*$E187,2))),"")</f>
        <v/>
      </c>
      <c r="N187" s="222" t="str">
        <f aca="false">IFERROR(IF('Bulk Order Details'!Q197="","",IF(_xlfn.xlookup('Bulk Order Details'!Q197,Chest[Display],Chest[Use])="Flat",_xlfn.xlookup('Bulk Order Details'!Q197,Chest[Display],Chest[Flat]),ROUND(_xlfn.xlookup('Bulk Order Details'!Q197,Chest[Display],Chest[Pct])*$E187,2))),"")</f>
        <v/>
      </c>
      <c r="O187" s="222" t="str">
        <f aca="false">IFERROR(IF('Bulk Order Details'!R197="","",IF(_xlfn.xlookup('Bulk Order Details'!R197,LeftSleeve[Display],LeftSleeve[Use])="Flat",_xlfn.xlookup('Bulk Order Details'!R197,LeftSleeve[Display],LeftSleeve[Flat]),ROUND(_xlfn.xlookup('Bulk Order Details'!R197,LeftSleeve[Display],LeftSleeve[Pct])*$E187,2))),"")</f>
        <v/>
      </c>
      <c r="P187" s="222" t="str">
        <f aca="false">IFERROR(IF('Bulk Order Details'!S197="","",IF(_xlfn.xlookup('Bulk Order Details'!S197,RightSleeve[Display],RightSleeve[Use])="Flat",_xlfn.xlookup('Bulk Order Details'!S197,RightSleeve[Display],RightSleeve[Flat]),ROUND(_xlfn.xlookup('Bulk Order Details'!S197,RightSleeve[Display],RightSleeve[Pct])*$E187,2))),"")</f>
        <v/>
      </c>
      <c r="Q187" s="214" t="str">
        <f aca="false">IF('Bulk Order Details'!J197="","",SUM(F187:P187))</f>
        <v/>
      </c>
      <c r="R187" s="213" t="str">
        <f aca="false">IFERROR(E187-D187,"")</f>
        <v/>
      </c>
      <c r="S187" s="215" t="str">
        <f aca="false">IFERROR(MIN(IF(Summary!$D$11="Yes",-J187,0),IF(H187&gt;0,-J187,0)),"")</f>
        <v/>
      </c>
      <c r="T187" s="212" t="str">
        <f aca="false">IFERROR(IF(Summary!$D$10="Yes",-K187,""),"")</f>
        <v/>
      </c>
      <c r="U187" s="213" t="str">
        <f aca="false">IFERROR(IF(Summary!$D$12="Yes",-L187,""),"")</f>
        <v/>
      </c>
      <c r="V187" s="216" t="str">
        <f aca="false">IF('Bulk Order Details'!J197="","",SUM(R187:U187))</f>
        <v/>
      </c>
      <c r="W187" s="217" t="str">
        <f aca="false">IF('Bulk Order Details'!J197="","",D187+Q187)</f>
        <v/>
      </c>
      <c r="X187" s="218" t="str">
        <f aca="false">IF('Bulk Order Details'!J197="","",D187+Q187+V187)</f>
        <v/>
      </c>
      <c r="Y187" s="219" t="str">
        <f aca="false">IFERROR((W187-X187)/W187,"")</f>
        <v/>
      </c>
      <c r="Z187" s="220" t="str">
        <f aca="false">IF('Bulk Order Details'!J197="","",MAX(1,'Bulk Order Details'!D197))</f>
        <v/>
      </c>
      <c r="AA187" s="217" t="str">
        <f aca="false">IF(Pricing_Details[[#This Row],[Quantity]]="","",Pricing_Details[[#This Row],[Retail Price]]*Pricing_Details[[#This Row],[Quantity]])</f>
        <v/>
      </c>
      <c r="AB187" s="217" t="str">
        <f aca="false">IF(Pricing_Details[[#This Row],[Quantity]]="","",Pricing_Details[[#This Row],[Total Discount]]*Pricing_Details[[#This Row],[Quantity]])</f>
        <v/>
      </c>
      <c r="AC187" s="221" t="str">
        <f aca="false">IFERROR(ROUND(Pricing_Details[[#This Row],[Actual Price]]*Pricing_Details[[#This Row],[Quantity]],2),"")</f>
        <v/>
      </c>
      <c r="AE187" s="179" t="str">
        <f aca="false">IF('Bulk Order Details'!J197="","",VLOOKUP('Bulk Order Details'!H197,Collection[],3)&amp;VLOOKUP('Bulk Order Details'!J197,Collar[],4)&amp;VLOOKUP('Bulk Order Details'!I197,Sleeve[],4))</f>
        <v/>
      </c>
      <c r="AF187" s="179" t="str">
        <f aca="false">IF('Bulk Order Details'!J197="","",LOOKUP('Bulk Order Details'!E197,Cut[Display],Cut[Code])&amp;LOOKUP('Bulk Order Details'!F197,#REF!,#REF!)&amp;IF('Bulk Order Details'!G197="","",LOOKUP('Bulk Order Details'!G197,Length[Display],Length[Code])))</f>
        <v/>
      </c>
      <c r="AG187" s="179" t="str">
        <f aca="false">IF('Bulk Order Details'!J197="","",IF('Bulk Order Details'!C197="","",'Bulk Order Details'!C197))</f>
        <v/>
      </c>
      <c r="AH187" s="179" t="str">
        <f aca="false">IF('Bulk Order Details'!O197="","","-"&amp;LOOKUP('Bulk Order Details'!O197,#REF!,#REF!))</f>
        <v/>
      </c>
      <c r="AI187" s="179" t="str">
        <f aca="false">IF('Bulk Order Details'!P197="","","-"&amp;LOOKUP('Bulk Order Details'!P197,#REF!,#REF!))</f>
        <v/>
      </c>
      <c r="AJ187" s="179" t="str">
        <f aca="false">IF('Bulk Order Details'!Q197="","","-"&amp;LOOKUP('Bulk Order Details'!Q197,#REF!,#REF!))</f>
        <v/>
      </c>
      <c r="AK187" s="179" t="str">
        <f aca="false">IF('Bulk Order Details'!R197="","","-"&amp;LOOKUP('Bulk Order Details'!R197,#REF!,#REF!))</f>
        <v/>
      </c>
      <c r="AL187" s="179" t="str">
        <f aca="false">IF('Bulk Order Details'!S197="","","-"&amp;LOOKUP('Bulk Order Details'!S197,#REF!,#REF!))</f>
        <v/>
      </c>
      <c r="AM187" s="179" t="str">
        <f aca="false">IF(_xlfn.CONCAT(AH187:AL187)="","","Lo"&amp;_xlfn.CONCAT(AH187:AL187))</f>
        <v/>
      </c>
      <c r="AN187" s="179" t="str">
        <f aca="false">IF('Bulk Order Details'!K197="","","Na-"&amp;'Bulk Order Details'!K197)</f>
        <v/>
      </c>
      <c r="AO187" s="179" t="str">
        <f aca="false">IF('Bulk Order Details'!N197="","","Fo-"&amp;'Bulk Order Details'!N197)</f>
        <v/>
      </c>
      <c r="AP187" s="179" t="str">
        <f aca="false">IF(AE187="","",AE187&amp;"_"&amp;AF187&amp;"_"&amp;AG187&amp;IF(AM187="","","_"&amp;AM187)&amp;IF(AN187="","","_"&amp;AN187)&amp;IF(AO187="","","_"&amp;AO187))</f>
        <v/>
      </c>
      <c r="AQ187" s="218" t="str">
        <f aca="false">IF(X187="","",X187)</f>
        <v/>
      </c>
    </row>
    <row r="188" customFormat="false" ht="15" hidden="false" customHeight="true" outlineLevel="0" collapsed="false">
      <c r="B188" s="209" t="n">
        <f aca="false">'Bulk Order Details'!B198</f>
        <v>185</v>
      </c>
      <c r="C188" s="209" t="e">
        <f aca="false">IF('bulk order details'!#ref!="","",'bulk order details'!#ref!&amp;" "&amp;'bulk order details'!#ref!)</f>
        <v>#VALUE!</v>
      </c>
      <c r="D188" s="210" t="str">
        <f aca="false">IF('Bulk Order Details'!J198="","",VLOOKUP(1,Price[],3))</f>
        <v/>
      </c>
      <c r="E188" s="211" t="str">
        <f aca="false">IF('Bulk Order Details'!J198="","",Summary!$D$9)</f>
        <v/>
      </c>
      <c r="F188" s="212" t="str">
        <f aca="false">IF('Bulk Order Details'!F198="","",_xlfn.xlookup('Bulk Order Details'!F198,Size[Display],Size[Price]))</f>
        <v/>
      </c>
      <c r="G188" s="212" t="str">
        <f aca="false">IF('Bulk Order Details'!G198="","",_xlfn.xlookup('Bulk Order Details'!G198,Length[Display],Length[Price]))</f>
        <v/>
      </c>
      <c r="H188" s="212" t="str">
        <f aca="false">IF('Bulk Order Details'!H198="","",_xlfn.xlookup('Bulk Order Details'!H198,Collection[Display],Collection[Price]))</f>
        <v/>
      </c>
      <c r="I188" s="212" t="str">
        <f aca="false">IF('Bulk Order Details'!I198="","",_xlfn.xlookup('Bulk Order Details'!I198,Sleeve[Display],Sleeve[Price]))</f>
        <v/>
      </c>
      <c r="J188" s="212" t="str">
        <f aca="false">IF('Bulk Order Details'!J198="","",_xlfn.xlookup('Bulk Order Details'!J198,Collar[Display],Collar[Price]))</f>
        <v/>
      </c>
      <c r="K188" s="212" t="str">
        <f aca="false">IF('Bulk Order Details'!K198="","",_xlfn.xlookup("Name",Name[Name],Name[Price]))</f>
        <v/>
      </c>
      <c r="L188" s="213" t="str">
        <f aca="false">IFERROR(IF('Bulk Order Details'!O198="","",IF(_xlfn.xlookup('Bulk Order Details'!O198,Logos[Display],Logos[Use])="Flat",_xlfn.xlookup('Bulk Order Details'!O198,Logos[Display],Logos[Flat]),ROUND(_xlfn.xlookup('Bulk Order Details'!O198,Logos[Display],Logos[Pct])*$E188,2))),"")</f>
        <v/>
      </c>
      <c r="M188" s="222" t="str">
        <f aca="false">IFERROR(IF('Bulk Order Details'!P198="","",IF(_xlfn.xlookup('Bulk Order Details'!P198,Chest[Display],Chest[Use])="Flat",_xlfn.xlookup('Bulk Order Details'!P198,Chest[Display],Chest[Flat]),ROUND(_xlfn.xlookup('Bulk Order Details'!P198,Chest[Display],Chest[Pct])*$E188,2))),"")</f>
        <v/>
      </c>
      <c r="N188" s="222" t="str">
        <f aca="false">IFERROR(IF('Bulk Order Details'!Q198="","",IF(_xlfn.xlookup('Bulk Order Details'!Q198,Chest[Display],Chest[Use])="Flat",_xlfn.xlookup('Bulk Order Details'!Q198,Chest[Display],Chest[Flat]),ROUND(_xlfn.xlookup('Bulk Order Details'!Q198,Chest[Display],Chest[Pct])*$E188,2))),"")</f>
        <v/>
      </c>
      <c r="O188" s="222" t="str">
        <f aca="false">IFERROR(IF('Bulk Order Details'!R198="","",IF(_xlfn.xlookup('Bulk Order Details'!R198,LeftSleeve[Display],LeftSleeve[Use])="Flat",_xlfn.xlookup('Bulk Order Details'!R198,LeftSleeve[Display],LeftSleeve[Flat]),ROUND(_xlfn.xlookup('Bulk Order Details'!R198,LeftSleeve[Display],LeftSleeve[Pct])*$E188,2))),"")</f>
        <v/>
      </c>
      <c r="P188" s="222" t="str">
        <f aca="false">IFERROR(IF('Bulk Order Details'!S198="","",IF(_xlfn.xlookup('Bulk Order Details'!S198,RightSleeve[Display],RightSleeve[Use])="Flat",_xlfn.xlookup('Bulk Order Details'!S198,RightSleeve[Display],RightSleeve[Flat]),ROUND(_xlfn.xlookup('Bulk Order Details'!S198,RightSleeve[Display],RightSleeve[Pct])*$E188,2))),"")</f>
        <v/>
      </c>
      <c r="Q188" s="214" t="str">
        <f aca="false">IF('Bulk Order Details'!J198="","",SUM(F188:P188))</f>
        <v/>
      </c>
      <c r="R188" s="213" t="str">
        <f aca="false">IFERROR(E188-D188,"")</f>
        <v/>
      </c>
      <c r="S188" s="215" t="str">
        <f aca="false">IFERROR(MIN(IF(Summary!$D$11="Yes",-J188,0),IF(H188&gt;0,-J188,0)),"")</f>
        <v/>
      </c>
      <c r="T188" s="212" t="str">
        <f aca="false">IFERROR(IF(Summary!$D$10="Yes",-K188,""),"")</f>
        <v/>
      </c>
      <c r="U188" s="213" t="str">
        <f aca="false">IFERROR(IF(Summary!$D$12="Yes",-L188,""),"")</f>
        <v/>
      </c>
      <c r="V188" s="216" t="str">
        <f aca="false">IF('Bulk Order Details'!J198="","",SUM(R188:U188))</f>
        <v/>
      </c>
      <c r="W188" s="217" t="str">
        <f aca="false">IF('Bulk Order Details'!J198="","",D188+Q188)</f>
        <v/>
      </c>
      <c r="X188" s="218" t="str">
        <f aca="false">IF('Bulk Order Details'!J198="","",D188+Q188+V188)</f>
        <v/>
      </c>
      <c r="Y188" s="219" t="str">
        <f aca="false">IFERROR((W188-X188)/W188,"")</f>
        <v/>
      </c>
      <c r="Z188" s="220" t="str">
        <f aca="false">IF('Bulk Order Details'!J198="","",MAX(1,'Bulk Order Details'!D198))</f>
        <v/>
      </c>
      <c r="AA188" s="217" t="str">
        <f aca="false">IF(Pricing_Details[[#This Row],[Quantity]]="","",Pricing_Details[[#This Row],[Retail Price]]*Pricing_Details[[#This Row],[Quantity]])</f>
        <v/>
      </c>
      <c r="AB188" s="217" t="str">
        <f aca="false">IF(Pricing_Details[[#This Row],[Quantity]]="","",Pricing_Details[[#This Row],[Total Discount]]*Pricing_Details[[#This Row],[Quantity]])</f>
        <v/>
      </c>
      <c r="AC188" s="221" t="str">
        <f aca="false">IFERROR(ROUND(Pricing_Details[[#This Row],[Actual Price]]*Pricing_Details[[#This Row],[Quantity]],2),"")</f>
        <v/>
      </c>
      <c r="AE188" s="179" t="str">
        <f aca="false">IF('Bulk Order Details'!J198="","",VLOOKUP('Bulk Order Details'!H198,Collection[],3)&amp;VLOOKUP('Bulk Order Details'!J198,Collar[],4)&amp;VLOOKUP('Bulk Order Details'!I198,Sleeve[],4))</f>
        <v/>
      </c>
      <c r="AF188" s="179" t="str">
        <f aca="false">IF('Bulk Order Details'!J198="","",LOOKUP('Bulk Order Details'!E198,Cut[Display],Cut[Code])&amp;LOOKUP('Bulk Order Details'!F198,#REF!,#REF!)&amp;IF('Bulk Order Details'!G198="","",LOOKUP('Bulk Order Details'!G198,Length[Display],Length[Code])))</f>
        <v/>
      </c>
      <c r="AG188" s="179" t="str">
        <f aca="false">IF('Bulk Order Details'!J198="","",IF('Bulk Order Details'!C198="","",'Bulk Order Details'!C198))</f>
        <v/>
      </c>
      <c r="AH188" s="179" t="str">
        <f aca="false">IF('Bulk Order Details'!O198="","","-"&amp;LOOKUP('Bulk Order Details'!O198,#REF!,#REF!))</f>
        <v/>
      </c>
      <c r="AI188" s="179" t="str">
        <f aca="false">IF('Bulk Order Details'!P198="","","-"&amp;LOOKUP('Bulk Order Details'!P198,#REF!,#REF!))</f>
        <v/>
      </c>
      <c r="AJ188" s="179" t="str">
        <f aca="false">IF('Bulk Order Details'!Q198="","","-"&amp;LOOKUP('Bulk Order Details'!Q198,#REF!,#REF!))</f>
        <v/>
      </c>
      <c r="AK188" s="179" t="str">
        <f aca="false">IF('Bulk Order Details'!R198="","","-"&amp;LOOKUP('Bulk Order Details'!R198,#REF!,#REF!))</f>
        <v/>
      </c>
      <c r="AL188" s="179" t="str">
        <f aca="false">IF('Bulk Order Details'!S198="","","-"&amp;LOOKUP('Bulk Order Details'!S198,#REF!,#REF!))</f>
        <v/>
      </c>
      <c r="AM188" s="179" t="str">
        <f aca="false">IF(_xlfn.CONCAT(AH188:AL188)="","","Lo"&amp;_xlfn.CONCAT(AH188:AL188))</f>
        <v/>
      </c>
      <c r="AN188" s="179" t="str">
        <f aca="false">IF('Bulk Order Details'!K198="","","Na-"&amp;'Bulk Order Details'!K198)</f>
        <v/>
      </c>
      <c r="AO188" s="179" t="str">
        <f aca="false">IF('Bulk Order Details'!N198="","","Fo-"&amp;'Bulk Order Details'!N198)</f>
        <v/>
      </c>
      <c r="AP188" s="179" t="str">
        <f aca="false">IF(AE188="","",AE188&amp;"_"&amp;AF188&amp;"_"&amp;AG188&amp;IF(AM188="","","_"&amp;AM188)&amp;IF(AN188="","","_"&amp;AN188)&amp;IF(AO188="","","_"&amp;AO188))</f>
        <v/>
      </c>
      <c r="AQ188" s="218" t="str">
        <f aca="false">IF(X188="","",X188)</f>
        <v/>
      </c>
    </row>
    <row r="189" customFormat="false" ht="15" hidden="false" customHeight="true" outlineLevel="0" collapsed="false">
      <c r="B189" s="209" t="n">
        <f aca="false">'Bulk Order Details'!B199</f>
        <v>186</v>
      </c>
      <c r="C189" s="209" t="e">
        <f aca="false">IF('bulk order details'!#ref!="","",'bulk order details'!#ref!&amp;" "&amp;'bulk order details'!#ref!)</f>
        <v>#VALUE!</v>
      </c>
      <c r="D189" s="210" t="str">
        <f aca="false">IF('Bulk Order Details'!J199="","",VLOOKUP(1,Price[],3))</f>
        <v/>
      </c>
      <c r="E189" s="211" t="str">
        <f aca="false">IF('Bulk Order Details'!J199="","",Summary!$D$9)</f>
        <v/>
      </c>
      <c r="F189" s="212" t="str">
        <f aca="false">IF('Bulk Order Details'!F199="","",_xlfn.xlookup('Bulk Order Details'!F199,Size[Display],Size[Price]))</f>
        <v/>
      </c>
      <c r="G189" s="212" t="str">
        <f aca="false">IF('Bulk Order Details'!G199="","",_xlfn.xlookup('Bulk Order Details'!G199,Length[Display],Length[Price]))</f>
        <v/>
      </c>
      <c r="H189" s="212" t="str">
        <f aca="false">IF('Bulk Order Details'!H199="","",_xlfn.xlookup('Bulk Order Details'!H199,Collection[Display],Collection[Price]))</f>
        <v/>
      </c>
      <c r="I189" s="212" t="str">
        <f aca="false">IF('Bulk Order Details'!I199="","",_xlfn.xlookup('Bulk Order Details'!I199,Sleeve[Display],Sleeve[Price]))</f>
        <v/>
      </c>
      <c r="J189" s="212" t="str">
        <f aca="false">IF('Bulk Order Details'!J199="","",_xlfn.xlookup('Bulk Order Details'!J199,Collar[Display],Collar[Price]))</f>
        <v/>
      </c>
      <c r="K189" s="212" t="str">
        <f aca="false">IF('Bulk Order Details'!K199="","",_xlfn.xlookup("Name",Name[Name],Name[Price]))</f>
        <v/>
      </c>
      <c r="L189" s="213" t="str">
        <f aca="false">IFERROR(IF('Bulk Order Details'!O199="","",IF(_xlfn.xlookup('Bulk Order Details'!O199,Logos[Display],Logos[Use])="Flat",_xlfn.xlookup('Bulk Order Details'!O199,Logos[Display],Logos[Flat]),ROUND(_xlfn.xlookup('Bulk Order Details'!O199,Logos[Display],Logos[Pct])*$E189,2))),"")</f>
        <v/>
      </c>
      <c r="M189" s="222" t="str">
        <f aca="false">IFERROR(IF('Bulk Order Details'!P199="","",IF(_xlfn.xlookup('Bulk Order Details'!P199,Chest[Display],Chest[Use])="Flat",_xlfn.xlookup('Bulk Order Details'!P199,Chest[Display],Chest[Flat]),ROUND(_xlfn.xlookup('Bulk Order Details'!P199,Chest[Display],Chest[Pct])*$E189,2))),"")</f>
        <v/>
      </c>
      <c r="N189" s="222" t="str">
        <f aca="false">IFERROR(IF('Bulk Order Details'!Q199="","",IF(_xlfn.xlookup('Bulk Order Details'!Q199,Chest[Display],Chest[Use])="Flat",_xlfn.xlookup('Bulk Order Details'!Q199,Chest[Display],Chest[Flat]),ROUND(_xlfn.xlookup('Bulk Order Details'!Q199,Chest[Display],Chest[Pct])*$E189,2))),"")</f>
        <v/>
      </c>
      <c r="O189" s="222" t="str">
        <f aca="false">IFERROR(IF('Bulk Order Details'!R199="","",IF(_xlfn.xlookup('Bulk Order Details'!R199,LeftSleeve[Display],LeftSleeve[Use])="Flat",_xlfn.xlookup('Bulk Order Details'!R199,LeftSleeve[Display],LeftSleeve[Flat]),ROUND(_xlfn.xlookup('Bulk Order Details'!R199,LeftSleeve[Display],LeftSleeve[Pct])*$E189,2))),"")</f>
        <v/>
      </c>
      <c r="P189" s="222" t="str">
        <f aca="false">IFERROR(IF('Bulk Order Details'!S199="","",IF(_xlfn.xlookup('Bulk Order Details'!S199,RightSleeve[Display],RightSleeve[Use])="Flat",_xlfn.xlookup('Bulk Order Details'!S199,RightSleeve[Display],RightSleeve[Flat]),ROUND(_xlfn.xlookup('Bulk Order Details'!S199,RightSleeve[Display],RightSleeve[Pct])*$E189,2))),"")</f>
        <v/>
      </c>
      <c r="Q189" s="214" t="str">
        <f aca="false">IF('Bulk Order Details'!J199="","",SUM(F189:P189))</f>
        <v/>
      </c>
      <c r="R189" s="213" t="str">
        <f aca="false">IFERROR(E189-D189,"")</f>
        <v/>
      </c>
      <c r="S189" s="215" t="str">
        <f aca="false">IFERROR(MIN(IF(Summary!$D$11="Yes",-J189,0),IF(H189&gt;0,-J189,0)),"")</f>
        <v/>
      </c>
      <c r="T189" s="212" t="str">
        <f aca="false">IFERROR(IF(Summary!$D$10="Yes",-K189,""),"")</f>
        <v/>
      </c>
      <c r="U189" s="213" t="str">
        <f aca="false">IFERROR(IF(Summary!$D$12="Yes",-L189,""),"")</f>
        <v/>
      </c>
      <c r="V189" s="216" t="str">
        <f aca="false">IF('Bulk Order Details'!J199="","",SUM(R189:U189))</f>
        <v/>
      </c>
      <c r="W189" s="217" t="str">
        <f aca="false">IF('Bulk Order Details'!J199="","",D189+Q189)</f>
        <v/>
      </c>
      <c r="X189" s="218" t="str">
        <f aca="false">IF('Bulk Order Details'!J199="","",D189+Q189+V189)</f>
        <v/>
      </c>
      <c r="Y189" s="219" t="str">
        <f aca="false">IFERROR((W189-X189)/W189,"")</f>
        <v/>
      </c>
      <c r="Z189" s="220" t="str">
        <f aca="false">IF('Bulk Order Details'!J199="","",MAX(1,'Bulk Order Details'!D199))</f>
        <v/>
      </c>
      <c r="AA189" s="217" t="str">
        <f aca="false">IF(Pricing_Details[[#This Row],[Quantity]]="","",Pricing_Details[[#This Row],[Retail Price]]*Pricing_Details[[#This Row],[Quantity]])</f>
        <v/>
      </c>
      <c r="AB189" s="217" t="str">
        <f aca="false">IF(Pricing_Details[[#This Row],[Quantity]]="","",Pricing_Details[[#This Row],[Total Discount]]*Pricing_Details[[#This Row],[Quantity]])</f>
        <v/>
      </c>
      <c r="AC189" s="221" t="str">
        <f aca="false">IFERROR(ROUND(Pricing_Details[[#This Row],[Actual Price]]*Pricing_Details[[#This Row],[Quantity]],2),"")</f>
        <v/>
      </c>
      <c r="AE189" s="179" t="str">
        <f aca="false">IF('Bulk Order Details'!J199="","",VLOOKUP('Bulk Order Details'!H199,Collection[],3)&amp;VLOOKUP('Bulk Order Details'!J199,Collar[],4)&amp;VLOOKUP('Bulk Order Details'!I199,Sleeve[],4))</f>
        <v/>
      </c>
      <c r="AF189" s="179" t="str">
        <f aca="false">IF('Bulk Order Details'!J199="","",LOOKUP('Bulk Order Details'!E199,Cut[Display],Cut[Code])&amp;LOOKUP('Bulk Order Details'!F199,#REF!,#REF!)&amp;IF('Bulk Order Details'!G199="","",LOOKUP('Bulk Order Details'!G199,Length[Display],Length[Code])))</f>
        <v/>
      </c>
      <c r="AG189" s="179" t="str">
        <f aca="false">IF('Bulk Order Details'!J199="","",IF('Bulk Order Details'!C199="","",'Bulk Order Details'!C199))</f>
        <v/>
      </c>
      <c r="AH189" s="179" t="str">
        <f aca="false">IF('Bulk Order Details'!O199="","","-"&amp;LOOKUP('Bulk Order Details'!O199,#REF!,#REF!))</f>
        <v/>
      </c>
      <c r="AI189" s="179" t="str">
        <f aca="false">IF('Bulk Order Details'!P199="","","-"&amp;LOOKUP('Bulk Order Details'!P199,#REF!,#REF!))</f>
        <v/>
      </c>
      <c r="AJ189" s="179" t="str">
        <f aca="false">IF('Bulk Order Details'!Q199="","","-"&amp;LOOKUP('Bulk Order Details'!Q199,#REF!,#REF!))</f>
        <v/>
      </c>
      <c r="AK189" s="179" t="str">
        <f aca="false">IF('Bulk Order Details'!R199="","","-"&amp;LOOKUP('Bulk Order Details'!R199,#REF!,#REF!))</f>
        <v/>
      </c>
      <c r="AL189" s="179" t="str">
        <f aca="false">IF('Bulk Order Details'!S199="","","-"&amp;LOOKUP('Bulk Order Details'!S199,#REF!,#REF!))</f>
        <v/>
      </c>
      <c r="AM189" s="179" t="str">
        <f aca="false">IF(_xlfn.CONCAT(AH189:AL189)="","","Lo"&amp;_xlfn.CONCAT(AH189:AL189))</f>
        <v/>
      </c>
      <c r="AN189" s="179" t="str">
        <f aca="false">IF('Bulk Order Details'!K199="","","Na-"&amp;'Bulk Order Details'!K199)</f>
        <v/>
      </c>
      <c r="AO189" s="179" t="str">
        <f aca="false">IF('Bulk Order Details'!N199="","","Fo-"&amp;'Bulk Order Details'!N199)</f>
        <v/>
      </c>
      <c r="AP189" s="179" t="str">
        <f aca="false">IF(AE189="","",AE189&amp;"_"&amp;AF189&amp;"_"&amp;AG189&amp;IF(AM189="","","_"&amp;AM189)&amp;IF(AN189="","","_"&amp;AN189)&amp;IF(AO189="","","_"&amp;AO189))</f>
        <v/>
      </c>
      <c r="AQ189" s="218" t="str">
        <f aca="false">IF(X189="","",X189)</f>
        <v/>
      </c>
    </row>
    <row r="190" customFormat="false" ht="15" hidden="false" customHeight="true" outlineLevel="0" collapsed="false">
      <c r="B190" s="209" t="n">
        <f aca="false">'Bulk Order Details'!B200</f>
        <v>187</v>
      </c>
      <c r="C190" s="209" t="e">
        <f aca="false">IF('bulk order details'!#ref!="","",'bulk order details'!#ref!&amp;" "&amp;'bulk order details'!#ref!)</f>
        <v>#VALUE!</v>
      </c>
      <c r="D190" s="210" t="str">
        <f aca="false">IF('Bulk Order Details'!J200="","",VLOOKUP(1,Price[],3))</f>
        <v/>
      </c>
      <c r="E190" s="211" t="str">
        <f aca="false">IF('Bulk Order Details'!J200="","",Summary!$D$9)</f>
        <v/>
      </c>
      <c r="F190" s="212" t="str">
        <f aca="false">IF('Bulk Order Details'!F200="","",_xlfn.xlookup('Bulk Order Details'!F200,Size[Display],Size[Price]))</f>
        <v/>
      </c>
      <c r="G190" s="212" t="str">
        <f aca="false">IF('Bulk Order Details'!G200="","",_xlfn.xlookup('Bulk Order Details'!G200,Length[Display],Length[Price]))</f>
        <v/>
      </c>
      <c r="H190" s="212" t="str">
        <f aca="false">IF('Bulk Order Details'!H200="","",_xlfn.xlookup('Bulk Order Details'!H200,Collection[Display],Collection[Price]))</f>
        <v/>
      </c>
      <c r="I190" s="212" t="str">
        <f aca="false">IF('Bulk Order Details'!I200="","",_xlfn.xlookup('Bulk Order Details'!I200,Sleeve[Display],Sleeve[Price]))</f>
        <v/>
      </c>
      <c r="J190" s="212" t="str">
        <f aca="false">IF('Bulk Order Details'!J200="","",_xlfn.xlookup('Bulk Order Details'!J200,Collar[Display],Collar[Price]))</f>
        <v/>
      </c>
      <c r="K190" s="212" t="str">
        <f aca="false">IF('Bulk Order Details'!K200="","",_xlfn.xlookup("Name",Name[Name],Name[Price]))</f>
        <v/>
      </c>
      <c r="L190" s="213" t="str">
        <f aca="false">IFERROR(IF('Bulk Order Details'!O200="","",IF(_xlfn.xlookup('Bulk Order Details'!O200,Logos[Display],Logos[Use])="Flat",_xlfn.xlookup('Bulk Order Details'!O200,Logos[Display],Logos[Flat]),ROUND(_xlfn.xlookup('Bulk Order Details'!O200,Logos[Display],Logos[Pct])*$E190,2))),"")</f>
        <v/>
      </c>
      <c r="M190" s="222" t="str">
        <f aca="false">IFERROR(IF('Bulk Order Details'!P200="","",IF(_xlfn.xlookup('Bulk Order Details'!P200,Chest[Display],Chest[Use])="Flat",_xlfn.xlookup('Bulk Order Details'!P200,Chest[Display],Chest[Flat]),ROUND(_xlfn.xlookup('Bulk Order Details'!P200,Chest[Display],Chest[Pct])*$E190,2))),"")</f>
        <v/>
      </c>
      <c r="N190" s="222" t="str">
        <f aca="false">IFERROR(IF('Bulk Order Details'!Q200="","",IF(_xlfn.xlookup('Bulk Order Details'!Q200,Chest[Display],Chest[Use])="Flat",_xlfn.xlookup('Bulk Order Details'!Q200,Chest[Display],Chest[Flat]),ROUND(_xlfn.xlookup('Bulk Order Details'!Q200,Chest[Display],Chest[Pct])*$E190,2))),"")</f>
        <v/>
      </c>
      <c r="O190" s="222" t="str">
        <f aca="false">IFERROR(IF('Bulk Order Details'!R200="","",IF(_xlfn.xlookup('Bulk Order Details'!R200,LeftSleeve[Display],LeftSleeve[Use])="Flat",_xlfn.xlookup('Bulk Order Details'!R200,LeftSleeve[Display],LeftSleeve[Flat]),ROUND(_xlfn.xlookup('Bulk Order Details'!R200,LeftSleeve[Display],LeftSleeve[Pct])*$E190,2))),"")</f>
        <v/>
      </c>
      <c r="P190" s="222" t="str">
        <f aca="false">IFERROR(IF('Bulk Order Details'!S200="","",IF(_xlfn.xlookup('Bulk Order Details'!S200,RightSleeve[Display],RightSleeve[Use])="Flat",_xlfn.xlookup('Bulk Order Details'!S200,RightSleeve[Display],RightSleeve[Flat]),ROUND(_xlfn.xlookup('Bulk Order Details'!S200,RightSleeve[Display],RightSleeve[Pct])*$E190,2))),"")</f>
        <v/>
      </c>
      <c r="Q190" s="214" t="str">
        <f aca="false">IF('Bulk Order Details'!J200="","",SUM(F190:P190))</f>
        <v/>
      </c>
      <c r="R190" s="213" t="str">
        <f aca="false">IFERROR(E190-D190,"")</f>
        <v/>
      </c>
      <c r="S190" s="215" t="str">
        <f aca="false">IFERROR(MIN(IF(Summary!$D$11="Yes",-J190,0),IF(H190&gt;0,-J190,0)),"")</f>
        <v/>
      </c>
      <c r="T190" s="212" t="str">
        <f aca="false">IFERROR(IF(Summary!$D$10="Yes",-K190,""),"")</f>
        <v/>
      </c>
      <c r="U190" s="213" t="str">
        <f aca="false">IFERROR(IF(Summary!$D$12="Yes",-L190,""),"")</f>
        <v/>
      </c>
      <c r="V190" s="216" t="str">
        <f aca="false">IF('Bulk Order Details'!J200="","",SUM(R190:U190))</f>
        <v/>
      </c>
      <c r="W190" s="217" t="str">
        <f aca="false">IF('Bulk Order Details'!J200="","",D190+Q190)</f>
        <v/>
      </c>
      <c r="X190" s="218" t="str">
        <f aca="false">IF('Bulk Order Details'!J200="","",D190+Q190+V190)</f>
        <v/>
      </c>
      <c r="Y190" s="219" t="str">
        <f aca="false">IFERROR((W190-X190)/W190,"")</f>
        <v/>
      </c>
      <c r="Z190" s="220" t="str">
        <f aca="false">IF('Bulk Order Details'!J200="","",MAX(1,'Bulk Order Details'!D200))</f>
        <v/>
      </c>
      <c r="AA190" s="217" t="str">
        <f aca="false">IF(Pricing_Details[[#This Row],[Quantity]]="","",Pricing_Details[[#This Row],[Retail Price]]*Pricing_Details[[#This Row],[Quantity]])</f>
        <v/>
      </c>
      <c r="AB190" s="217" t="str">
        <f aca="false">IF(Pricing_Details[[#This Row],[Quantity]]="","",Pricing_Details[[#This Row],[Total Discount]]*Pricing_Details[[#This Row],[Quantity]])</f>
        <v/>
      </c>
      <c r="AC190" s="221" t="str">
        <f aca="false">IFERROR(ROUND(Pricing_Details[[#This Row],[Actual Price]]*Pricing_Details[[#This Row],[Quantity]],2),"")</f>
        <v/>
      </c>
      <c r="AE190" s="179" t="str">
        <f aca="false">IF('Bulk Order Details'!J200="","",VLOOKUP('Bulk Order Details'!H200,Collection[],3)&amp;VLOOKUP('Bulk Order Details'!J200,Collar[],4)&amp;VLOOKUP('Bulk Order Details'!I200,Sleeve[],4))</f>
        <v/>
      </c>
      <c r="AF190" s="179" t="str">
        <f aca="false">IF('Bulk Order Details'!J200="","",LOOKUP('Bulk Order Details'!E200,Cut[Display],Cut[Code])&amp;LOOKUP('Bulk Order Details'!F200,#REF!,#REF!)&amp;IF('Bulk Order Details'!G200="","",LOOKUP('Bulk Order Details'!G200,Length[Display],Length[Code])))</f>
        <v/>
      </c>
      <c r="AG190" s="179" t="str">
        <f aca="false">IF('Bulk Order Details'!J200="","",IF('Bulk Order Details'!C200="","",'Bulk Order Details'!C200))</f>
        <v/>
      </c>
      <c r="AH190" s="179" t="str">
        <f aca="false">IF('Bulk Order Details'!O200="","","-"&amp;LOOKUP('Bulk Order Details'!O200,#REF!,#REF!))</f>
        <v/>
      </c>
      <c r="AI190" s="179" t="str">
        <f aca="false">IF('Bulk Order Details'!P200="","","-"&amp;LOOKUP('Bulk Order Details'!P200,#REF!,#REF!))</f>
        <v/>
      </c>
      <c r="AJ190" s="179" t="str">
        <f aca="false">IF('Bulk Order Details'!Q200="","","-"&amp;LOOKUP('Bulk Order Details'!Q200,#REF!,#REF!))</f>
        <v/>
      </c>
      <c r="AK190" s="179" t="str">
        <f aca="false">IF('Bulk Order Details'!R200="","","-"&amp;LOOKUP('Bulk Order Details'!R200,#REF!,#REF!))</f>
        <v/>
      </c>
      <c r="AL190" s="179" t="str">
        <f aca="false">IF('Bulk Order Details'!S200="","","-"&amp;LOOKUP('Bulk Order Details'!S200,#REF!,#REF!))</f>
        <v/>
      </c>
      <c r="AM190" s="179" t="str">
        <f aca="false">IF(_xlfn.CONCAT(AH190:AL190)="","","Lo"&amp;_xlfn.CONCAT(AH190:AL190))</f>
        <v/>
      </c>
      <c r="AN190" s="179" t="str">
        <f aca="false">IF('Bulk Order Details'!K200="","","Na-"&amp;'Bulk Order Details'!K200)</f>
        <v/>
      </c>
      <c r="AO190" s="179" t="str">
        <f aca="false">IF('Bulk Order Details'!N200="","","Fo-"&amp;'Bulk Order Details'!N200)</f>
        <v/>
      </c>
      <c r="AP190" s="179" t="str">
        <f aca="false">IF(AE190="","",AE190&amp;"_"&amp;AF190&amp;"_"&amp;AG190&amp;IF(AM190="","","_"&amp;AM190)&amp;IF(AN190="","","_"&amp;AN190)&amp;IF(AO190="","","_"&amp;AO190))</f>
        <v/>
      </c>
      <c r="AQ190" s="218" t="str">
        <f aca="false">IF(X190="","",X190)</f>
        <v/>
      </c>
    </row>
    <row r="191" customFormat="false" ht="15" hidden="false" customHeight="true" outlineLevel="0" collapsed="false">
      <c r="B191" s="209" t="n">
        <f aca="false">'Bulk Order Details'!B201</f>
        <v>188</v>
      </c>
      <c r="C191" s="209" t="e">
        <f aca="false">IF('bulk order details'!#ref!="","",'bulk order details'!#ref!&amp;" "&amp;'bulk order details'!#ref!)</f>
        <v>#VALUE!</v>
      </c>
      <c r="D191" s="210" t="str">
        <f aca="false">IF('Bulk Order Details'!J201="","",VLOOKUP(1,Price[],3))</f>
        <v/>
      </c>
      <c r="E191" s="211" t="str">
        <f aca="false">IF('Bulk Order Details'!J201="","",Summary!$D$9)</f>
        <v/>
      </c>
      <c r="F191" s="212" t="str">
        <f aca="false">IF('Bulk Order Details'!F201="","",_xlfn.xlookup('Bulk Order Details'!F201,Size[Display],Size[Price]))</f>
        <v/>
      </c>
      <c r="G191" s="212" t="str">
        <f aca="false">IF('Bulk Order Details'!G201="","",_xlfn.xlookup('Bulk Order Details'!G201,Length[Display],Length[Price]))</f>
        <v/>
      </c>
      <c r="H191" s="212" t="str">
        <f aca="false">IF('Bulk Order Details'!H201="","",_xlfn.xlookup('Bulk Order Details'!H201,Collection[Display],Collection[Price]))</f>
        <v/>
      </c>
      <c r="I191" s="212" t="str">
        <f aca="false">IF('Bulk Order Details'!I201="","",_xlfn.xlookup('Bulk Order Details'!I201,Sleeve[Display],Sleeve[Price]))</f>
        <v/>
      </c>
      <c r="J191" s="212" t="str">
        <f aca="false">IF('Bulk Order Details'!J201="","",_xlfn.xlookup('Bulk Order Details'!J201,Collar[Display],Collar[Price]))</f>
        <v/>
      </c>
      <c r="K191" s="212" t="str">
        <f aca="false">IF('Bulk Order Details'!K201="","",_xlfn.xlookup("Name",Name[Name],Name[Price]))</f>
        <v/>
      </c>
      <c r="L191" s="213" t="str">
        <f aca="false">IFERROR(IF('Bulk Order Details'!O201="","",IF(_xlfn.xlookup('Bulk Order Details'!O201,Logos[Display],Logos[Use])="Flat",_xlfn.xlookup('Bulk Order Details'!O201,Logos[Display],Logos[Flat]),ROUND(_xlfn.xlookup('Bulk Order Details'!O201,Logos[Display],Logos[Pct])*$E191,2))),"")</f>
        <v/>
      </c>
      <c r="M191" s="222" t="str">
        <f aca="false">IFERROR(IF('Bulk Order Details'!P201="","",IF(_xlfn.xlookup('Bulk Order Details'!P201,Chest[Display],Chest[Use])="Flat",_xlfn.xlookup('Bulk Order Details'!P201,Chest[Display],Chest[Flat]),ROUND(_xlfn.xlookup('Bulk Order Details'!P201,Chest[Display],Chest[Pct])*$E191,2))),"")</f>
        <v/>
      </c>
      <c r="N191" s="222" t="str">
        <f aca="false">IFERROR(IF('Bulk Order Details'!Q201="","",IF(_xlfn.xlookup('Bulk Order Details'!Q201,Chest[Display],Chest[Use])="Flat",_xlfn.xlookup('Bulk Order Details'!Q201,Chest[Display],Chest[Flat]),ROUND(_xlfn.xlookup('Bulk Order Details'!Q201,Chest[Display],Chest[Pct])*$E191,2))),"")</f>
        <v/>
      </c>
      <c r="O191" s="222" t="str">
        <f aca="false">IFERROR(IF('Bulk Order Details'!R201="","",IF(_xlfn.xlookup('Bulk Order Details'!R201,LeftSleeve[Display],LeftSleeve[Use])="Flat",_xlfn.xlookup('Bulk Order Details'!R201,LeftSleeve[Display],LeftSleeve[Flat]),ROUND(_xlfn.xlookup('Bulk Order Details'!R201,LeftSleeve[Display],LeftSleeve[Pct])*$E191,2))),"")</f>
        <v/>
      </c>
      <c r="P191" s="222" t="str">
        <f aca="false">IFERROR(IF('Bulk Order Details'!S201="","",IF(_xlfn.xlookup('Bulk Order Details'!S201,RightSleeve[Display],RightSleeve[Use])="Flat",_xlfn.xlookup('Bulk Order Details'!S201,RightSleeve[Display],RightSleeve[Flat]),ROUND(_xlfn.xlookup('Bulk Order Details'!S201,RightSleeve[Display],RightSleeve[Pct])*$E191,2))),"")</f>
        <v/>
      </c>
      <c r="Q191" s="214" t="str">
        <f aca="false">IF('Bulk Order Details'!J201="","",SUM(F191:P191))</f>
        <v/>
      </c>
      <c r="R191" s="213" t="str">
        <f aca="false">IFERROR(E191-D191,"")</f>
        <v/>
      </c>
      <c r="S191" s="215" t="str">
        <f aca="false">IFERROR(MIN(IF(Summary!$D$11="Yes",-J191,0),IF(H191&gt;0,-J191,0)),"")</f>
        <v/>
      </c>
      <c r="T191" s="212" t="str">
        <f aca="false">IFERROR(IF(Summary!$D$10="Yes",-K191,""),"")</f>
        <v/>
      </c>
      <c r="U191" s="213" t="str">
        <f aca="false">IFERROR(IF(Summary!$D$12="Yes",-L191,""),"")</f>
        <v/>
      </c>
      <c r="V191" s="216" t="str">
        <f aca="false">IF('Bulk Order Details'!J201="","",SUM(R191:U191))</f>
        <v/>
      </c>
      <c r="W191" s="217" t="str">
        <f aca="false">IF('Bulk Order Details'!J201="","",D191+Q191)</f>
        <v/>
      </c>
      <c r="X191" s="218" t="str">
        <f aca="false">IF('Bulk Order Details'!J201="","",D191+Q191+V191)</f>
        <v/>
      </c>
      <c r="Y191" s="219" t="str">
        <f aca="false">IFERROR((W191-X191)/W191,"")</f>
        <v/>
      </c>
      <c r="Z191" s="220" t="str">
        <f aca="false">IF('Bulk Order Details'!J201="","",MAX(1,'Bulk Order Details'!D201))</f>
        <v/>
      </c>
      <c r="AA191" s="217" t="str">
        <f aca="false">IF(Pricing_Details[[#This Row],[Quantity]]="","",Pricing_Details[[#This Row],[Retail Price]]*Pricing_Details[[#This Row],[Quantity]])</f>
        <v/>
      </c>
      <c r="AB191" s="217" t="str">
        <f aca="false">IF(Pricing_Details[[#This Row],[Quantity]]="","",Pricing_Details[[#This Row],[Total Discount]]*Pricing_Details[[#This Row],[Quantity]])</f>
        <v/>
      </c>
      <c r="AC191" s="221" t="str">
        <f aca="false">IFERROR(ROUND(Pricing_Details[[#This Row],[Actual Price]]*Pricing_Details[[#This Row],[Quantity]],2),"")</f>
        <v/>
      </c>
      <c r="AE191" s="179" t="str">
        <f aca="false">IF('Bulk Order Details'!J201="","",VLOOKUP('Bulk Order Details'!H201,Collection[],3)&amp;VLOOKUP('Bulk Order Details'!J201,Collar[],4)&amp;VLOOKUP('Bulk Order Details'!I201,Sleeve[],4))</f>
        <v/>
      </c>
      <c r="AF191" s="179" t="str">
        <f aca="false">IF('Bulk Order Details'!J201="","",LOOKUP('Bulk Order Details'!E201,Cut[Display],Cut[Code])&amp;LOOKUP('Bulk Order Details'!F201,#REF!,#REF!)&amp;IF('Bulk Order Details'!G201="","",LOOKUP('Bulk Order Details'!G201,Length[Display],Length[Code])))</f>
        <v/>
      </c>
      <c r="AG191" s="179" t="str">
        <f aca="false">IF('Bulk Order Details'!J201="","",IF('Bulk Order Details'!C201="","",'Bulk Order Details'!C201))</f>
        <v/>
      </c>
      <c r="AH191" s="179" t="str">
        <f aca="false">IF('Bulk Order Details'!O201="","","-"&amp;LOOKUP('Bulk Order Details'!O201,#REF!,#REF!))</f>
        <v/>
      </c>
      <c r="AI191" s="179" t="str">
        <f aca="false">IF('Bulk Order Details'!P201="","","-"&amp;LOOKUP('Bulk Order Details'!P201,#REF!,#REF!))</f>
        <v/>
      </c>
      <c r="AJ191" s="179" t="str">
        <f aca="false">IF('Bulk Order Details'!Q201="","","-"&amp;LOOKUP('Bulk Order Details'!Q201,#REF!,#REF!))</f>
        <v/>
      </c>
      <c r="AK191" s="179" t="str">
        <f aca="false">IF('Bulk Order Details'!R201="","","-"&amp;LOOKUP('Bulk Order Details'!R201,#REF!,#REF!))</f>
        <v/>
      </c>
      <c r="AL191" s="179" t="str">
        <f aca="false">IF('Bulk Order Details'!S201="","","-"&amp;LOOKUP('Bulk Order Details'!S201,#REF!,#REF!))</f>
        <v/>
      </c>
      <c r="AM191" s="179" t="str">
        <f aca="false">IF(_xlfn.CONCAT(AH191:AL191)="","","Lo"&amp;_xlfn.CONCAT(AH191:AL191))</f>
        <v/>
      </c>
      <c r="AN191" s="179" t="str">
        <f aca="false">IF('Bulk Order Details'!K201="","","Na-"&amp;'Bulk Order Details'!K201)</f>
        <v/>
      </c>
      <c r="AO191" s="179" t="str">
        <f aca="false">IF('Bulk Order Details'!N201="","","Fo-"&amp;'Bulk Order Details'!N201)</f>
        <v/>
      </c>
      <c r="AP191" s="179" t="str">
        <f aca="false">IF(AE191="","",AE191&amp;"_"&amp;AF191&amp;"_"&amp;AG191&amp;IF(AM191="","","_"&amp;AM191)&amp;IF(AN191="","","_"&amp;AN191)&amp;IF(AO191="","","_"&amp;AO191))</f>
        <v/>
      </c>
      <c r="AQ191" s="218" t="str">
        <f aca="false">IF(X191="","",X191)</f>
        <v/>
      </c>
    </row>
    <row r="192" customFormat="false" ht="15" hidden="false" customHeight="true" outlineLevel="0" collapsed="false">
      <c r="B192" s="209" t="n">
        <f aca="false">'Bulk Order Details'!B202</f>
        <v>189</v>
      </c>
      <c r="C192" s="209" t="e">
        <f aca="false">IF('bulk order details'!#ref!="","",'bulk order details'!#ref!&amp;" "&amp;'bulk order details'!#ref!)</f>
        <v>#VALUE!</v>
      </c>
      <c r="D192" s="210" t="str">
        <f aca="false">IF('Bulk Order Details'!J202="","",VLOOKUP(1,Price[],3))</f>
        <v/>
      </c>
      <c r="E192" s="211" t="str">
        <f aca="false">IF('Bulk Order Details'!J202="","",Summary!$D$9)</f>
        <v/>
      </c>
      <c r="F192" s="212" t="str">
        <f aca="false">IF('Bulk Order Details'!F202="","",_xlfn.xlookup('Bulk Order Details'!F202,Size[Display],Size[Price]))</f>
        <v/>
      </c>
      <c r="G192" s="212" t="str">
        <f aca="false">IF('Bulk Order Details'!G202="","",_xlfn.xlookup('Bulk Order Details'!G202,Length[Display],Length[Price]))</f>
        <v/>
      </c>
      <c r="H192" s="212" t="str">
        <f aca="false">IF('Bulk Order Details'!H202="","",_xlfn.xlookup('Bulk Order Details'!H202,Collection[Display],Collection[Price]))</f>
        <v/>
      </c>
      <c r="I192" s="212" t="str">
        <f aca="false">IF('Bulk Order Details'!I202="","",_xlfn.xlookup('Bulk Order Details'!I202,Sleeve[Display],Sleeve[Price]))</f>
        <v/>
      </c>
      <c r="J192" s="212" t="str">
        <f aca="false">IF('Bulk Order Details'!J202="","",_xlfn.xlookup('Bulk Order Details'!J202,Collar[Display],Collar[Price]))</f>
        <v/>
      </c>
      <c r="K192" s="212" t="str">
        <f aca="false">IF('Bulk Order Details'!K202="","",_xlfn.xlookup("Name",Name[Name],Name[Price]))</f>
        <v/>
      </c>
      <c r="L192" s="213" t="str">
        <f aca="false">IFERROR(IF('Bulk Order Details'!O202="","",IF(_xlfn.xlookup('Bulk Order Details'!O202,Logos[Display],Logos[Use])="Flat",_xlfn.xlookup('Bulk Order Details'!O202,Logos[Display],Logos[Flat]),ROUND(_xlfn.xlookup('Bulk Order Details'!O202,Logos[Display],Logos[Pct])*$E192,2))),"")</f>
        <v/>
      </c>
      <c r="M192" s="222" t="str">
        <f aca="false">IFERROR(IF('Bulk Order Details'!P202="","",IF(_xlfn.xlookup('Bulk Order Details'!P202,Chest[Display],Chest[Use])="Flat",_xlfn.xlookup('Bulk Order Details'!P202,Chest[Display],Chest[Flat]),ROUND(_xlfn.xlookup('Bulk Order Details'!P202,Chest[Display],Chest[Pct])*$E192,2))),"")</f>
        <v/>
      </c>
      <c r="N192" s="222" t="str">
        <f aca="false">IFERROR(IF('Bulk Order Details'!Q202="","",IF(_xlfn.xlookup('Bulk Order Details'!Q202,Chest[Display],Chest[Use])="Flat",_xlfn.xlookup('Bulk Order Details'!Q202,Chest[Display],Chest[Flat]),ROUND(_xlfn.xlookup('Bulk Order Details'!Q202,Chest[Display],Chest[Pct])*$E192,2))),"")</f>
        <v/>
      </c>
      <c r="O192" s="222" t="str">
        <f aca="false">IFERROR(IF('Bulk Order Details'!R202="","",IF(_xlfn.xlookup('Bulk Order Details'!R202,LeftSleeve[Display],LeftSleeve[Use])="Flat",_xlfn.xlookup('Bulk Order Details'!R202,LeftSleeve[Display],LeftSleeve[Flat]),ROUND(_xlfn.xlookup('Bulk Order Details'!R202,LeftSleeve[Display],LeftSleeve[Pct])*$E192,2))),"")</f>
        <v/>
      </c>
      <c r="P192" s="222" t="str">
        <f aca="false">IFERROR(IF('Bulk Order Details'!S202="","",IF(_xlfn.xlookup('Bulk Order Details'!S202,RightSleeve[Display],RightSleeve[Use])="Flat",_xlfn.xlookup('Bulk Order Details'!S202,RightSleeve[Display],RightSleeve[Flat]),ROUND(_xlfn.xlookup('Bulk Order Details'!S202,RightSleeve[Display],RightSleeve[Pct])*$E192,2))),"")</f>
        <v/>
      </c>
      <c r="Q192" s="214" t="str">
        <f aca="false">IF('Bulk Order Details'!J202="","",SUM(F192:P192))</f>
        <v/>
      </c>
      <c r="R192" s="213" t="str">
        <f aca="false">IFERROR(E192-D192,"")</f>
        <v/>
      </c>
      <c r="S192" s="215" t="str">
        <f aca="false">IFERROR(MIN(IF(Summary!$D$11="Yes",-J192,0),IF(H192&gt;0,-J192,0)),"")</f>
        <v/>
      </c>
      <c r="T192" s="212" t="str">
        <f aca="false">IFERROR(IF(Summary!$D$10="Yes",-K192,""),"")</f>
        <v/>
      </c>
      <c r="U192" s="213" t="str">
        <f aca="false">IFERROR(IF(Summary!$D$12="Yes",-L192,""),"")</f>
        <v/>
      </c>
      <c r="V192" s="216" t="str">
        <f aca="false">IF('Bulk Order Details'!J202="","",SUM(R192:U192))</f>
        <v/>
      </c>
      <c r="W192" s="217" t="str">
        <f aca="false">IF('Bulk Order Details'!J202="","",D192+Q192)</f>
        <v/>
      </c>
      <c r="X192" s="218" t="str">
        <f aca="false">IF('Bulk Order Details'!J202="","",D192+Q192+V192)</f>
        <v/>
      </c>
      <c r="Y192" s="219" t="str">
        <f aca="false">IFERROR((W192-X192)/W192,"")</f>
        <v/>
      </c>
      <c r="Z192" s="220" t="str">
        <f aca="false">IF('Bulk Order Details'!J202="","",MAX(1,'Bulk Order Details'!D202))</f>
        <v/>
      </c>
      <c r="AA192" s="217" t="str">
        <f aca="false">IF(Pricing_Details[[#This Row],[Quantity]]="","",Pricing_Details[[#This Row],[Retail Price]]*Pricing_Details[[#This Row],[Quantity]])</f>
        <v/>
      </c>
      <c r="AB192" s="217" t="str">
        <f aca="false">IF(Pricing_Details[[#This Row],[Quantity]]="","",Pricing_Details[[#This Row],[Total Discount]]*Pricing_Details[[#This Row],[Quantity]])</f>
        <v/>
      </c>
      <c r="AC192" s="221" t="str">
        <f aca="false">IFERROR(ROUND(Pricing_Details[[#This Row],[Actual Price]]*Pricing_Details[[#This Row],[Quantity]],2),"")</f>
        <v/>
      </c>
      <c r="AE192" s="179" t="str">
        <f aca="false">IF('Bulk Order Details'!J202="","",VLOOKUP('Bulk Order Details'!H202,Collection[],3)&amp;VLOOKUP('Bulk Order Details'!J202,Collar[],4)&amp;VLOOKUP('Bulk Order Details'!I202,Sleeve[],4))</f>
        <v/>
      </c>
      <c r="AF192" s="179" t="str">
        <f aca="false">IF('Bulk Order Details'!J202="","",LOOKUP('Bulk Order Details'!E202,Cut[Display],Cut[Code])&amp;LOOKUP('Bulk Order Details'!F202,#REF!,#REF!)&amp;IF('Bulk Order Details'!G202="","",LOOKUP('Bulk Order Details'!G202,Length[Display],Length[Code])))</f>
        <v/>
      </c>
      <c r="AG192" s="179" t="str">
        <f aca="false">IF('Bulk Order Details'!J202="","",IF('Bulk Order Details'!C202="","",'Bulk Order Details'!C202))</f>
        <v/>
      </c>
      <c r="AH192" s="179" t="str">
        <f aca="false">IF('Bulk Order Details'!O202="","","-"&amp;LOOKUP('Bulk Order Details'!O202,#REF!,#REF!))</f>
        <v/>
      </c>
      <c r="AI192" s="179" t="str">
        <f aca="false">IF('Bulk Order Details'!P202="","","-"&amp;LOOKUP('Bulk Order Details'!P202,#REF!,#REF!))</f>
        <v/>
      </c>
      <c r="AJ192" s="179" t="str">
        <f aca="false">IF('Bulk Order Details'!Q202="","","-"&amp;LOOKUP('Bulk Order Details'!Q202,#REF!,#REF!))</f>
        <v/>
      </c>
      <c r="AK192" s="179" t="str">
        <f aca="false">IF('Bulk Order Details'!R202="","","-"&amp;LOOKUP('Bulk Order Details'!R202,#REF!,#REF!))</f>
        <v/>
      </c>
      <c r="AL192" s="179" t="str">
        <f aca="false">IF('Bulk Order Details'!S202="","","-"&amp;LOOKUP('Bulk Order Details'!S202,#REF!,#REF!))</f>
        <v/>
      </c>
      <c r="AM192" s="179" t="str">
        <f aca="false">IF(_xlfn.CONCAT(AH192:AL192)="","","Lo"&amp;_xlfn.CONCAT(AH192:AL192))</f>
        <v/>
      </c>
      <c r="AN192" s="179" t="str">
        <f aca="false">IF('Bulk Order Details'!K202="","","Na-"&amp;'Bulk Order Details'!K202)</f>
        <v/>
      </c>
      <c r="AO192" s="179" t="str">
        <f aca="false">IF('Bulk Order Details'!N202="","","Fo-"&amp;'Bulk Order Details'!N202)</f>
        <v/>
      </c>
      <c r="AP192" s="179" t="str">
        <f aca="false">IF(AE192="","",AE192&amp;"_"&amp;AF192&amp;"_"&amp;AG192&amp;IF(AM192="","","_"&amp;AM192)&amp;IF(AN192="","","_"&amp;AN192)&amp;IF(AO192="","","_"&amp;AO192))</f>
        <v/>
      </c>
      <c r="AQ192" s="218" t="str">
        <f aca="false">IF(X192="","",X192)</f>
        <v/>
      </c>
    </row>
    <row r="193" customFormat="false" ht="15" hidden="false" customHeight="true" outlineLevel="0" collapsed="false">
      <c r="B193" s="209" t="n">
        <f aca="false">'Bulk Order Details'!B203</f>
        <v>190</v>
      </c>
      <c r="C193" s="209" t="e">
        <f aca="false">IF('bulk order details'!#ref!="","",'bulk order details'!#ref!&amp;" "&amp;'bulk order details'!#ref!)</f>
        <v>#VALUE!</v>
      </c>
      <c r="D193" s="210" t="str">
        <f aca="false">IF('Bulk Order Details'!J203="","",VLOOKUP(1,Price[],3))</f>
        <v/>
      </c>
      <c r="E193" s="211" t="str">
        <f aca="false">IF('Bulk Order Details'!J203="","",Summary!$D$9)</f>
        <v/>
      </c>
      <c r="F193" s="212" t="str">
        <f aca="false">IF('Bulk Order Details'!F203="","",_xlfn.xlookup('Bulk Order Details'!F203,Size[Display],Size[Price]))</f>
        <v/>
      </c>
      <c r="G193" s="212" t="str">
        <f aca="false">IF('Bulk Order Details'!G203="","",_xlfn.xlookup('Bulk Order Details'!G203,Length[Display],Length[Price]))</f>
        <v/>
      </c>
      <c r="H193" s="212" t="str">
        <f aca="false">IF('Bulk Order Details'!H203="","",_xlfn.xlookup('Bulk Order Details'!H203,Collection[Display],Collection[Price]))</f>
        <v/>
      </c>
      <c r="I193" s="212" t="str">
        <f aca="false">IF('Bulk Order Details'!I203="","",_xlfn.xlookup('Bulk Order Details'!I203,Sleeve[Display],Sleeve[Price]))</f>
        <v/>
      </c>
      <c r="J193" s="212" t="str">
        <f aca="false">IF('Bulk Order Details'!J203="","",_xlfn.xlookup('Bulk Order Details'!J203,Collar[Display],Collar[Price]))</f>
        <v/>
      </c>
      <c r="K193" s="212" t="str">
        <f aca="false">IF('Bulk Order Details'!K203="","",_xlfn.xlookup("Name",Name[Name],Name[Price]))</f>
        <v/>
      </c>
      <c r="L193" s="213" t="str">
        <f aca="false">IFERROR(IF('Bulk Order Details'!O203="","",IF(_xlfn.xlookup('Bulk Order Details'!O203,Logos[Display],Logos[Use])="Flat",_xlfn.xlookup('Bulk Order Details'!O203,Logos[Display],Logos[Flat]),ROUND(_xlfn.xlookup('Bulk Order Details'!O203,Logos[Display],Logos[Pct])*$E193,2))),"")</f>
        <v/>
      </c>
      <c r="M193" s="222" t="str">
        <f aca="false">IFERROR(IF('Bulk Order Details'!P203="","",IF(_xlfn.xlookup('Bulk Order Details'!P203,Chest[Display],Chest[Use])="Flat",_xlfn.xlookup('Bulk Order Details'!P203,Chest[Display],Chest[Flat]),ROUND(_xlfn.xlookup('Bulk Order Details'!P203,Chest[Display],Chest[Pct])*$E193,2))),"")</f>
        <v/>
      </c>
      <c r="N193" s="222" t="str">
        <f aca="false">IFERROR(IF('Bulk Order Details'!Q203="","",IF(_xlfn.xlookup('Bulk Order Details'!Q203,Chest[Display],Chest[Use])="Flat",_xlfn.xlookup('Bulk Order Details'!Q203,Chest[Display],Chest[Flat]),ROUND(_xlfn.xlookup('Bulk Order Details'!Q203,Chest[Display],Chest[Pct])*$E193,2))),"")</f>
        <v/>
      </c>
      <c r="O193" s="222" t="str">
        <f aca="false">IFERROR(IF('Bulk Order Details'!R203="","",IF(_xlfn.xlookup('Bulk Order Details'!R203,LeftSleeve[Display],LeftSleeve[Use])="Flat",_xlfn.xlookup('Bulk Order Details'!R203,LeftSleeve[Display],LeftSleeve[Flat]),ROUND(_xlfn.xlookup('Bulk Order Details'!R203,LeftSleeve[Display],LeftSleeve[Pct])*$E193,2))),"")</f>
        <v/>
      </c>
      <c r="P193" s="222" t="str">
        <f aca="false">IFERROR(IF('Bulk Order Details'!S203="","",IF(_xlfn.xlookup('Bulk Order Details'!S203,RightSleeve[Display],RightSleeve[Use])="Flat",_xlfn.xlookup('Bulk Order Details'!S203,RightSleeve[Display],RightSleeve[Flat]),ROUND(_xlfn.xlookup('Bulk Order Details'!S203,RightSleeve[Display],RightSleeve[Pct])*$E193,2))),"")</f>
        <v/>
      </c>
      <c r="Q193" s="214" t="str">
        <f aca="false">IF('Bulk Order Details'!J203="","",SUM(F193:P193))</f>
        <v/>
      </c>
      <c r="R193" s="213" t="str">
        <f aca="false">IFERROR(E193-D193,"")</f>
        <v/>
      </c>
      <c r="S193" s="215" t="str">
        <f aca="false">IFERROR(MIN(IF(Summary!$D$11="Yes",-J193,0),IF(H193&gt;0,-J193,0)),"")</f>
        <v/>
      </c>
      <c r="T193" s="212" t="str">
        <f aca="false">IFERROR(IF(Summary!$D$10="Yes",-K193,""),"")</f>
        <v/>
      </c>
      <c r="U193" s="213" t="str">
        <f aca="false">IFERROR(IF(Summary!$D$12="Yes",-L193,""),"")</f>
        <v/>
      </c>
      <c r="V193" s="216" t="str">
        <f aca="false">IF('Bulk Order Details'!J203="","",SUM(R193:U193))</f>
        <v/>
      </c>
      <c r="W193" s="217" t="str">
        <f aca="false">IF('Bulk Order Details'!J203="","",D193+Q193)</f>
        <v/>
      </c>
      <c r="X193" s="218" t="str">
        <f aca="false">IF('Bulk Order Details'!J203="","",D193+Q193+V193)</f>
        <v/>
      </c>
      <c r="Y193" s="219" t="str">
        <f aca="false">IFERROR((W193-X193)/W193,"")</f>
        <v/>
      </c>
      <c r="Z193" s="220" t="str">
        <f aca="false">IF('Bulk Order Details'!J203="","",MAX(1,'Bulk Order Details'!D203))</f>
        <v/>
      </c>
      <c r="AA193" s="217" t="str">
        <f aca="false">IF(Pricing_Details[[#This Row],[Quantity]]="","",Pricing_Details[[#This Row],[Retail Price]]*Pricing_Details[[#This Row],[Quantity]])</f>
        <v/>
      </c>
      <c r="AB193" s="217" t="str">
        <f aca="false">IF(Pricing_Details[[#This Row],[Quantity]]="","",Pricing_Details[[#This Row],[Total Discount]]*Pricing_Details[[#This Row],[Quantity]])</f>
        <v/>
      </c>
      <c r="AC193" s="221" t="str">
        <f aca="false">IFERROR(ROUND(Pricing_Details[[#This Row],[Actual Price]]*Pricing_Details[[#This Row],[Quantity]],2),"")</f>
        <v/>
      </c>
      <c r="AE193" s="179" t="str">
        <f aca="false">IF('Bulk Order Details'!J203="","",VLOOKUP('Bulk Order Details'!H203,Collection[],3)&amp;VLOOKUP('Bulk Order Details'!J203,Collar[],4)&amp;VLOOKUP('Bulk Order Details'!I203,Sleeve[],4))</f>
        <v/>
      </c>
      <c r="AF193" s="179" t="str">
        <f aca="false">IF('Bulk Order Details'!J203="","",LOOKUP('Bulk Order Details'!E203,Cut[Display],Cut[Code])&amp;LOOKUP('Bulk Order Details'!F203,#REF!,#REF!)&amp;IF('Bulk Order Details'!G203="","",LOOKUP('Bulk Order Details'!G203,Length[Display],Length[Code])))</f>
        <v/>
      </c>
      <c r="AG193" s="179" t="str">
        <f aca="false">IF('Bulk Order Details'!J203="","",IF('Bulk Order Details'!C203="","",'Bulk Order Details'!C203))</f>
        <v/>
      </c>
      <c r="AH193" s="179" t="str">
        <f aca="false">IF('Bulk Order Details'!O203="","","-"&amp;LOOKUP('Bulk Order Details'!O203,#REF!,#REF!))</f>
        <v/>
      </c>
      <c r="AI193" s="179" t="str">
        <f aca="false">IF('Bulk Order Details'!P203="","","-"&amp;LOOKUP('Bulk Order Details'!P203,#REF!,#REF!))</f>
        <v/>
      </c>
      <c r="AJ193" s="179" t="str">
        <f aca="false">IF('Bulk Order Details'!Q203="","","-"&amp;LOOKUP('Bulk Order Details'!Q203,#REF!,#REF!))</f>
        <v/>
      </c>
      <c r="AK193" s="179" t="str">
        <f aca="false">IF('Bulk Order Details'!R203="","","-"&amp;LOOKUP('Bulk Order Details'!R203,#REF!,#REF!))</f>
        <v/>
      </c>
      <c r="AL193" s="179" t="str">
        <f aca="false">IF('Bulk Order Details'!S203="","","-"&amp;LOOKUP('Bulk Order Details'!S203,#REF!,#REF!))</f>
        <v/>
      </c>
      <c r="AM193" s="179" t="str">
        <f aca="false">IF(_xlfn.CONCAT(AH193:AL193)="","","Lo"&amp;_xlfn.CONCAT(AH193:AL193))</f>
        <v/>
      </c>
      <c r="AN193" s="179" t="str">
        <f aca="false">IF('Bulk Order Details'!K203="","","Na-"&amp;'Bulk Order Details'!K203)</f>
        <v/>
      </c>
      <c r="AO193" s="179" t="str">
        <f aca="false">IF('Bulk Order Details'!N203="","","Fo-"&amp;'Bulk Order Details'!N203)</f>
        <v/>
      </c>
      <c r="AP193" s="179" t="str">
        <f aca="false">IF(AE193="","",AE193&amp;"_"&amp;AF193&amp;"_"&amp;AG193&amp;IF(AM193="","","_"&amp;AM193)&amp;IF(AN193="","","_"&amp;AN193)&amp;IF(AO193="","","_"&amp;AO193))</f>
        <v/>
      </c>
      <c r="AQ193" s="218" t="str">
        <f aca="false">IF(X193="","",X193)</f>
        <v/>
      </c>
    </row>
    <row r="194" customFormat="false" ht="15" hidden="false" customHeight="true" outlineLevel="0" collapsed="false">
      <c r="B194" s="209" t="n">
        <f aca="false">'Bulk Order Details'!B204</f>
        <v>191</v>
      </c>
      <c r="C194" s="209" t="e">
        <f aca="false">IF('bulk order details'!#ref!="","",'bulk order details'!#ref!&amp;" "&amp;'bulk order details'!#ref!)</f>
        <v>#VALUE!</v>
      </c>
      <c r="D194" s="210" t="str">
        <f aca="false">IF('Bulk Order Details'!J204="","",VLOOKUP(1,Price[],3))</f>
        <v/>
      </c>
      <c r="E194" s="211" t="str">
        <f aca="false">IF('Bulk Order Details'!J204="","",Summary!$D$9)</f>
        <v/>
      </c>
      <c r="F194" s="212" t="str">
        <f aca="false">IF('Bulk Order Details'!F204="","",_xlfn.xlookup('Bulk Order Details'!F204,Size[Display],Size[Price]))</f>
        <v/>
      </c>
      <c r="G194" s="212" t="str">
        <f aca="false">IF('Bulk Order Details'!G204="","",_xlfn.xlookup('Bulk Order Details'!G204,Length[Display],Length[Price]))</f>
        <v/>
      </c>
      <c r="H194" s="212" t="str">
        <f aca="false">IF('Bulk Order Details'!H204="","",_xlfn.xlookup('Bulk Order Details'!H204,Collection[Display],Collection[Price]))</f>
        <v/>
      </c>
      <c r="I194" s="212" t="str">
        <f aca="false">IF('Bulk Order Details'!I204="","",_xlfn.xlookup('Bulk Order Details'!I204,Sleeve[Display],Sleeve[Price]))</f>
        <v/>
      </c>
      <c r="J194" s="212" t="str">
        <f aca="false">IF('Bulk Order Details'!J204="","",_xlfn.xlookup('Bulk Order Details'!J204,Collar[Display],Collar[Price]))</f>
        <v/>
      </c>
      <c r="K194" s="212" t="str">
        <f aca="false">IF('Bulk Order Details'!K204="","",_xlfn.xlookup("Name",Name[Name],Name[Price]))</f>
        <v/>
      </c>
      <c r="L194" s="213" t="str">
        <f aca="false">IFERROR(IF('Bulk Order Details'!O204="","",IF(_xlfn.xlookup('Bulk Order Details'!O204,Logos[Display],Logos[Use])="Flat",_xlfn.xlookup('Bulk Order Details'!O204,Logos[Display],Logos[Flat]),ROUND(_xlfn.xlookup('Bulk Order Details'!O204,Logos[Display],Logos[Pct])*$E194,2))),"")</f>
        <v/>
      </c>
      <c r="M194" s="222" t="str">
        <f aca="false">IFERROR(IF('Bulk Order Details'!P204="","",IF(_xlfn.xlookup('Bulk Order Details'!P204,Chest[Display],Chest[Use])="Flat",_xlfn.xlookup('Bulk Order Details'!P204,Chest[Display],Chest[Flat]),ROUND(_xlfn.xlookup('Bulk Order Details'!P204,Chest[Display],Chest[Pct])*$E194,2))),"")</f>
        <v/>
      </c>
      <c r="N194" s="222" t="str">
        <f aca="false">IFERROR(IF('Bulk Order Details'!Q204="","",IF(_xlfn.xlookup('Bulk Order Details'!Q204,Chest[Display],Chest[Use])="Flat",_xlfn.xlookup('Bulk Order Details'!Q204,Chest[Display],Chest[Flat]),ROUND(_xlfn.xlookup('Bulk Order Details'!Q204,Chest[Display],Chest[Pct])*$E194,2))),"")</f>
        <v/>
      </c>
      <c r="O194" s="222" t="str">
        <f aca="false">IFERROR(IF('Bulk Order Details'!R204="","",IF(_xlfn.xlookup('Bulk Order Details'!R204,LeftSleeve[Display],LeftSleeve[Use])="Flat",_xlfn.xlookup('Bulk Order Details'!R204,LeftSleeve[Display],LeftSleeve[Flat]),ROUND(_xlfn.xlookup('Bulk Order Details'!R204,LeftSleeve[Display],LeftSleeve[Pct])*$E194,2))),"")</f>
        <v/>
      </c>
      <c r="P194" s="222" t="str">
        <f aca="false">IFERROR(IF('Bulk Order Details'!S204="","",IF(_xlfn.xlookup('Bulk Order Details'!S204,RightSleeve[Display],RightSleeve[Use])="Flat",_xlfn.xlookup('Bulk Order Details'!S204,RightSleeve[Display],RightSleeve[Flat]),ROUND(_xlfn.xlookup('Bulk Order Details'!S204,RightSleeve[Display],RightSleeve[Pct])*$E194,2))),"")</f>
        <v/>
      </c>
      <c r="Q194" s="214" t="str">
        <f aca="false">IF('Bulk Order Details'!J204="","",SUM(F194:P194))</f>
        <v/>
      </c>
      <c r="R194" s="213" t="str">
        <f aca="false">IFERROR(E194-D194,"")</f>
        <v/>
      </c>
      <c r="S194" s="215" t="str">
        <f aca="false">IFERROR(MIN(IF(Summary!$D$11="Yes",-J194,0),IF(H194&gt;0,-J194,0)),"")</f>
        <v/>
      </c>
      <c r="T194" s="212" t="str">
        <f aca="false">IFERROR(IF(Summary!$D$10="Yes",-K194,""),"")</f>
        <v/>
      </c>
      <c r="U194" s="213" t="str">
        <f aca="false">IFERROR(IF(Summary!$D$12="Yes",-L194,""),"")</f>
        <v/>
      </c>
      <c r="V194" s="216" t="str">
        <f aca="false">IF('Bulk Order Details'!J204="","",SUM(R194:U194))</f>
        <v/>
      </c>
      <c r="W194" s="217" t="str">
        <f aca="false">IF('Bulk Order Details'!J204="","",D194+Q194)</f>
        <v/>
      </c>
      <c r="X194" s="218" t="str">
        <f aca="false">IF('Bulk Order Details'!J204="","",D194+Q194+V194)</f>
        <v/>
      </c>
      <c r="Y194" s="219" t="str">
        <f aca="false">IFERROR((W194-X194)/W194,"")</f>
        <v/>
      </c>
      <c r="Z194" s="220" t="str">
        <f aca="false">IF('Bulk Order Details'!J204="","",MAX(1,'Bulk Order Details'!D204))</f>
        <v/>
      </c>
      <c r="AA194" s="217" t="str">
        <f aca="false">IF(Pricing_Details[[#This Row],[Quantity]]="","",Pricing_Details[[#This Row],[Retail Price]]*Pricing_Details[[#This Row],[Quantity]])</f>
        <v/>
      </c>
      <c r="AB194" s="217" t="str">
        <f aca="false">IF(Pricing_Details[[#This Row],[Quantity]]="","",Pricing_Details[[#This Row],[Total Discount]]*Pricing_Details[[#This Row],[Quantity]])</f>
        <v/>
      </c>
      <c r="AC194" s="221" t="str">
        <f aca="false">IFERROR(ROUND(Pricing_Details[[#This Row],[Actual Price]]*Pricing_Details[[#This Row],[Quantity]],2),"")</f>
        <v/>
      </c>
      <c r="AE194" s="179" t="str">
        <f aca="false">IF('Bulk Order Details'!J204="","",VLOOKUP('Bulk Order Details'!H204,Collection[],3)&amp;VLOOKUP('Bulk Order Details'!J204,Collar[],4)&amp;VLOOKUP('Bulk Order Details'!I204,Sleeve[],4))</f>
        <v/>
      </c>
      <c r="AF194" s="179" t="str">
        <f aca="false">IF('Bulk Order Details'!J204="","",LOOKUP('Bulk Order Details'!E204,Cut[Display],Cut[Code])&amp;LOOKUP('Bulk Order Details'!F204,#REF!,#REF!)&amp;IF('Bulk Order Details'!G204="","",LOOKUP('Bulk Order Details'!G204,Length[Display],Length[Code])))</f>
        <v/>
      </c>
      <c r="AG194" s="179" t="str">
        <f aca="false">IF('Bulk Order Details'!J204="","",IF('Bulk Order Details'!C204="","",'Bulk Order Details'!C204))</f>
        <v/>
      </c>
      <c r="AH194" s="179" t="str">
        <f aca="false">IF('Bulk Order Details'!O204="","","-"&amp;LOOKUP('Bulk Order Details'!O204,#REF!,#REF!))</f>
        <v/>
      </c>
      <c r="AI194" s="179" t="str">
        <f aca="false">IF('Bulk Order Details'!P204="","","-"&amp;LOOKUP('Bulk Order Details'!P204,#REF!,#REF!))</f>
        <v/>
      </c>
      <c r="AJ194" s="179" t="str">
        <f aca="false">IF('Bulk Order Details'!Q204="","","-"&amp;LOOKUP('Bulk Order Details'!Q204,#REF!,#REF!))</f>
        <v/>
      </c>
      <c r="AK194" s="179" t="str">
        <f aca="false">IF('Bulk Order Details'!R204="","","-"&amp;LOOKUP('Bulk Order Details'!R204,#REF!,#REF!))</f>
        <v/>
      </c>
      <c r="AL194" s="179" t="str">
        <f aca="false">IF('Bulk Order Details'!S204="","","-"&amp;LOOKUP('Bulk Order Details'!S204,#REF!,#REF!))</f>
        <v/>
      </c>
      <c r="AM194" s="179" t="str">
        <f aca="false">IF(_xlfn.CONCAT(AH194:AL194)="","","Lo"&amp;_xlfn.CONCAT(AH194:AL194))</f>
        <v/>
      </c>
      <c r="AN194" s="179" t="str">
        <f aca="false">IF('Bulk Order Details'!K204="","","Na-"&amp;'Bulk Order Details'!K204)</f>
        <v/>
      </c>
      <c r="AO194" s="179" t="str">
        <f aca="false">IF('Bulk Order Details'!N204="","","Fo-"&amp;'Bulk Order Details'!N204)</f>
        <v/>
      </c>
      <c r="AP194" s="179" t="str">
        <f aca="false">IF(AE194="","",AE194&amp;"_"&amp;AF194&amp;"_"&amp;AG194&amp;IF(AM194="","","_"&amp;AM194)&amp;IF(AN194="","","_"&amp;AN194)&amp;IF(AO194="","","_"&amp;AO194))</f>
        <v/>
      </c>
      <c r="AQ194" s="218" t="str">
        <f aca="false">IF(X194="","",X194)</f>
        <v/>
      </c>
    </row>
    <row r="195" customFormat="false" ht="15" hidden="false" customHeight="true" outlineLevel="0" collapsed="false">
      <c r="B195" s="209" t="n">
        <f aca="false">'Bulk Order Details'!B205</f>
        <v>192</v>
      </c>
      <c r="C195" s="209" t="e">
        <f aca="false">IF('bulk order details'!#ref!="","",'bulk order details'!#ref!&amp;" "&amp;'bulk order details'!#ref!)</f>
        <v>#VALUE!</v>
      </c>
      <c r="D195" s="210" t="str">
        <f aca="false">IF('Bulk Order Details'!J205="","",VLOOKUP(1,Price[],3))</f>
        <v/>
      </c>
      <c r="E195" s="211" t="str">
        <f aca="false">IF('Bulk Order Details'!J205="","",Summary!$D$9)</f>
        <v/>
      </c>
      <c r="F195" s="212" t="str">
        <f aca="false">IF('Bulk Order Details'!F205="","",_xlfn.xlookup('Bulk Order Details'!F205,Size[Display],Size[Price]))</f>
        <v/>
      </c>
      <c r="G195" s="212" t="str">
        <f aca="false">IF('Bulk Order Details'!G205="","",_xlfn.xlookup('Bulk Order Details'!G205,Length[Display],Length[Price]))</f>
        <v/>
      </c>
      <c r="H195" s="212" t="str">
        <f aca="false">IF('Bulk Order Details'!H205="","",_xlfn.xlookup('Bulk Order Details'!H205,Collection[Display],Collection[Price]))</f>
        <v/>
      </c>
      <c r="I195" s="212" t="str">
        <f aca="false">IF('Bulk Order Details'!I205="","",_xlfn.xlookup('Bulk Order Details'!I205,Sleeve[Display],Sleeve[Price]))</f>
        <v/>
      </c>
      <c r="J195" s="212" t="str">
        <f aca="false">IF('Bulk Order Details'!J205="","",_xlfn.xlookup('Bulk Order Details'!J205,Collar[Display],Collar[Price]))</f>
        <v/>
      </c>
      <c r="K195" s="212" t="str">
        <f aca="false">IF('Bulk Order Details'!K205="","",_xlfn.xlookup("Name",Name[Name],Name[Price]))</f>
        <v/>
      </c>
      <c r="L195" s="213" t="str">
        <f aca="false">IFERROR(IF('Bulk Order Details'!O205="","",IF(_xlfn.xlookup('Bulk Order Details'!O205,Logos[Display],Logos[Use])="Flat",_xlfn.xlookup('Bulk Order Details'!O205,Logos[Display],Logos[Flat]),ROUND(_xlfn.xlookup('Bulk Order Details'!O205,Logos[Display],Logos[Pct])*$E195,2))),"")</f>
        <v/>
      </c>
      <c r="M195" s="222" t="str">
        <f aca="false">IFERROR(IF('Bulk Order Details'!P205="","",IF(_xlfn.xlookup('Bulk Order Details'!P205,Chest[Display],Chest[Use])="Flat",_xlfn.xlookup('Bulk Order Details'!P205,Chest[Display],Chest[Flat]),ROUND(_xlfn.xlookup('Bulk Order Details'!P205,Chest[Display],Chest[Pct])*$E195,2))),"")</f>
        <v/>
      </c>
      <c r="N195" s="222" t="str">
        <f aca="false">IFERROR(IF('Bulk Order Details'!Q205="","",IF(_xlfn.xlookup('Bulk Order Details'!Q205,Chest[Display],Chest[Use])="Flat",_xlfn.xlookup('Bulk Order Details'!Q205,Chest[Display],Chest[Flat]),ROUND(_xlfn.xlookup('Bulk Order Details'!Q205,Chest[Display],Chest[Pct])*$E195,2))),"")</f>
        <v/>
      </c>
      <c r="O195" s="222" t="str">
        <f aca="false">IFERROR(IF('Bulk Order Details'!R205="","",IF(_xlfn.xlookup('Bulk Order Details'!R205,LeftSleeve[Display],LeftSleeve[Use])="Flat",_xlfn.xlookup('Bulk Order Details'!R205,LeftSleeve[Display],LeftSleeve[Flat]),ROUND(_xlfn.xlookup('Bulk Order Details'!R205,LeftSleeve[Display],LeftSleeve[Pct])*$E195,2))),"")</f>
        <v/>
      </c>
      <c r="P195" s="222" t="str">
        <f aca="false">IFERROR(IF('Bulk Order Details'!S205="","",IF(_xlfn.xlookup('Bulk Order Details'!S205,RightSleeve[Display],RightSleeve[Use])="Flat",_xlfn.xlookup('Bulk Order Details'!S205,RightSleeve[Display],RightSleeve[Flat]),ROUND(_xlfn.xlookup('Bulk Order Details'!S205,RightSleeve[Display],RightSleeve[Pct])*$E195,2))),"")</f>
        <v/>
      </c>
      <c r="Q195" s="214" t="str">
        <f aca="false">IF('Bulk Order Details'!J205="","",SUM(F195:P195))</f>
        <v/>
      </c>
      <c r="R195" s="213" t="str">
        <f aca="false">IFERROR(E195-D195,"")</f>
        <v/>
      </c>
      <c r="S195" s="215" t="str">
        <f aca="false">IFERROR(MIN(IF(Summary!$D$11="Yes",-J195,0),IF(H195&gt;0,-J195,0)),"")</f>
        <v/>
      </c>
      <c r="T195" s="212" t="str">
        <f aca="false">IFERROR(IF(Summary!$D$10="Yes",-K195,""),"")</f>
        <v/>
      </c>
      <c r="U195" s="213" t="str">
        <f aca="false">IFERROR(IF(Summary!$D$12="Yes",-L195,""),"")</f>
        <v/>
      </c>
      <c r="V195" s="216" t="str">
        <f aca="false">IF('Bulk Order Details'!J205="","",SUM(R195:U195))</f>
        <v/>
      </c>
      <c r="W195" s="217" t="str">
        <f aca="false">IF('Bulk Order Details'!J205="","",D195+Q195)</f>
        <v/>
      </c>
      <c r="X195" s="218" t="str">
        <f aca="false">IF('Bulk Order Details'!J205="","",D195+Q195+V195)</f>
        <v/>
      </c>
      <c r="Y195" s="219" t="str">
        <f aca="false">IFERROR((W195-X195)/W195,"")</f>
        <v/>
      </c>
      <c r="Z195" s="220" t="str">
        <f aca="false">IF('Bulk Order Details'!J205="","",MAX(1,'Bulk Order Details'!D205))</f>
        <v/>
      </c>
      <c r="AA195" s="217" t="str">
        <f aca="false">IF(Pricing_Details[[#This Row],[Quantity]]="","",Pricing_Details[[#This Row],[Retail Price]]*Pricing_Details[[#This Row],[Quantity]])</f>
        <v/>
      </c>
      <c r="AB195" s="217" t="str">
        <f aca="false">IF(Pricing_Details[[#This Row],[Quantity]]="","",Pricing_Details[[#This Row],[Total Discount]]*Pricing_Details[[#This Row],[Quantity]])</f>
        <v/>
      </c>
      <c r="AC195" s="221" t="str">
        <f aca="false">IFERROR(ROUND(Pricing_Details[[#This Row],[Actual Price]]*Pricing_Details[[#This Row],[Quantity]],2),"")</f>
        <v/>
      </c>
      <c r="AE195" s="179" t="str">
        <f aca="false">IF('Bulk Order Details'!J205="","",VLOOKUP('Bulk Order Details'!H205,Collection[],3)&amp;VLOOKUP('Bulk Order Details'!J205,Collar[],4)&amp;VLOOKUP('Bulk Order Details'!I205,Sleeve[],4))</f>
        <v/>
      </c>
      <c r="AF195" s="179" t="str">
        <f aca="false">IF('Bulk Order Details'!J205="","",LOOKUP('Bulk Order Details'!E205,Cut[Display],Cut[Code])&amp;LOOKUP('Bulk Order Details'!F205,#REF!,#REF!)&amp;IF('Bulk Order Details'!G205="","",LOOKUP('Bulk Order Details'!G205,Length[Display],Length[Code])))</f>
        <v/>
      </c>
      <c r="AG195" s="179" t="str">
        <f aca="false">IF('Bulk Order Details'!J205="","",IF('Bulk Order Details'!C205="","",'Bulk Order Details'!C205))</f>
        <v/>
      </c>
      <c r="AH195" s="179" t="str">
        <f aca="false">IF('Bulk Order Details'!O205="","","-"&amp;LOOKUP('Bulk Order Details'!O205,#REF!,#REF!))</f>
        <v/>
      </c>
      <c r="AI195" s="179" t="str">
        <f aca="false">IF('Bulk Order Details'!P205="","","-"&amp;LOOKUP('Bulk Order Details'!P205,#REF!,#REF!))</f>
        <v/>
      </c>
      <c r="AJ195" s="179" t="str">
        <f aca="false">IF('Bulk Order Details'!Q205="","","-"&amp;LOOKUP('Bulk Order Details'!Q205,#REF!,#REF!))</f>
        <v/>
      </c>
      <c r="AK195" s="179" t="str">
        <f aca="false">IF('Bulk Order Details'!R205="","","-"&amp;LOOKUP('Bulk Order Details'!R205,#REF!,#REF!))</f>
        <v/>
      </c>
      <c r="AL195" s="179" t="str">
        <f aca="false">IF('Bulk Order Details'!S205="","","-"&amp;LOOKUP('Bulk Order Details'!S205,#REF!,#REF!))</f>
        <v/>
      </c>
      <c r="AM195" s="179" t="str">
        <f aca="false">IF(_xlfn.CONCAT(AH195:AL195)="","","Lo"&amp;_xlfn.CONCAT(AH195:AL195))</f>
        <v/>
      </c>
      <c r="AN195" s="179" t="str">
        <f aca="false">IF('Bulk Order Details'!K205="","","Na-"&amp;'Bulk Order Details'!K205)</f>
        <v/>
      </c>
      <c r="AO195" s="179" t="str">
        <f aca="false">IF('Bulk Order Details'!N205="","","Fo-"&amp;'Bulk Order Details'!N205)</f>
        <v/>
      </c>
      <c r="AP195" s="179" t="str">
        <f aca="false">IF(AE195="","",AE195&amp;"_"&amp;AF195&amp;"_"&amp;AG195&amp;IF(AM195="","","_"&amp;AM195)&amp;IF(AN195="","","_"&amp;AN195)&amp;IF(AO195="","","_"&amp;AO195))</f>
        <v/>
      </c>
      <c r="AQ195" s="218" t="str">
        <f aca="false">IF(X195="","",X195)</f>
        <v/>
      </c>
    </row>
    <row r="196" customFormat="false" ht="15" hidden="false" customHeight="true" outlineLevel="0" collapsed="false">
      <c r="B196" s="209" t="n">
        <f aca="false">'Bulk Order Details'!B206</f>
        <v>193</v>
      </c>
      <c r="C196" s="209" t="e">
        <f aca="false">IF('bulk order details'!#ref!="","",'bulk order details'!#ref!&amp;" "&amp;'bulk order details'!#ref!)</f>
        <v>#VALUE!</v>
      </c>
      <c r="D196" s="210" t="str">
        <f aca="false">IF('Bulk Order Details'!J206="","",VLOOKUP(1,Price[],3))</f>
        <v/>
      </c>
      <c r="E196" s="211" t="str">
        <f aca="false">IF('Bulk Order Details'!J206="","",Summary!$D$9)</f>
        <v/>
      </c>
      <c r="F196" s="212" t="str">
        <f aca="false">IF('Bulk Order Details'!F206="","",_xlfn.xlookup('Bulk Order Details'!F206,Size[Display],Size[Price]))</f>
        <v/>
      </c>
      <c r="G196" s="212" t="str">
        <f aca="false">IF('Bulk Order Details'!G206="","",_xlfn.xlookup('Bulk Order Details'!G206,Length[Display],Length[Price]))</f>
        <v/>
      </c>
      <c r="H196" s="212" t="str">
        <f aca="false">IF('Bulk Order Details'!H206="","",_xlfn.xlookup('Bulk Order Details'!H206,Collection[Display],Collection[Price]))</f>
        <v/>
      </c>
      <c r="I196" s="212" t="str">
        <f aca="false">IF('Bulk Order Details'!I206="","",_xlfn.xlookup('Bulk Order Details'!I206,Sleeve[Display],Sleeve[Price]))</f>
        <v/>
      </c>
      <c r="J196" s="212" t="str">
        <f aca="false">IF('Bulk Order Details'!J206="","",_xlfn.xlookup('Bulk Order Details'!J206,Collar[Display],Collar[Price]))</f>
        <v/>
      </c>
      <c r="K196" s="212" t="str">
        <f aca="false">IF('Bulk Order Details'!K206="","",_xlfn.xlookup("Name",Name[Name],Name[Price]))</f>
        <v/>
      </c>
      <c r="L196" s="213" t="str">
        <f aca="false">IFERROR(IF('Bulk Order Details'!O206="","",IF(_xlfn.xlookup('Bulk Order Details'!O206,Logos[Display],Logos[Use])="Flat",_xlfn.xlookup('Bulk Order Details'!O206,Logos[Display],Logos[Flat]),ROUND(_xlfn.xlookup('Bulk Order Details'!O206,Logos[Display],Logos[Pct])*$E196,2))),"")</f>
        <v/>
      </c>
      <c r="M196" s="222" t="str">
        <f aca="false">IFERROR(IF('Bulk Order Details'!P206="","",IF(_xlfn.xlookup('Bulk Order Details'!P206,Chest[Display],Chest[Use])="Flat",_xlfn.xlookup('Bulk Order Details'!P206,Chest[Display],Chest[Flat]),ROUND(_xlfn.xlookup('Bulk Order Details'!P206,Chest[Display],Chest[Pct])*$E196,2))),"")</f>
        <v/>
      </c>
      <c r="N196" s="222" t="str">
        <f aca="false">IFERROR(IF('Bulk Order Details'!Q206="","",IF(_xlfn.xlookup('Bulk Order Details'!Q206,Chest[Display],Chest[Use])="Flat",_xlfn.xlookup('Bulk Order Details'!Q206,Chest[Display],Chest[Flat]),ROUND(_xlfn.xlookup('Bulk Order Details'!Q206,Chest[Display],Chest[Pct])*$E196,2))),"")</f>
        <v/>
      </c>
      <c r="O196" s="222" t="str">
        <f aca="false">IFERROR(IF('Bulk Order Details'!R206="","",IF(_xlfn.xlookup('Bulk Order Details'!R206,LeftSleeve[Display],LeftSleeve[Use])="Flat",_xlfn.xlookup('Bulk Order Details'!R206,LeftSleeve[Display],LeftSleeve[Flat]),ROUND(_xlfn.xlookup('Bulk Order Details'!R206,LeftSleeve[Display],LeftSleeve[Pct])*$E196,2))),"")</f>
        <v/>
      </c>
      <c r="P196" s="222" t="str">
        <f aca="false">IFERROR(IF('Bulk Order Details'!S206="","",IF(_xlfn.xlookup('Bulk Order Details'!S206,RightSleeve[Display],RightSleeve[Use])="Flat",_xlfn.xlookup('Bulk Order Details'!S206,RightSleeve[Display],RightSleeve[Flat]),ROUND(_xlfn.xlookup('Bulk Order Details'!S206,RightSleeve[Display],RightSleeve[Pct])*$E196,2))),"")</f>
        <v/>
      </c>
      <c r="Q196" s="214" t="str">
        <f aca="false">IF('Bulk Order Details'!J206="","",SUM(F196:P196))</f>
        <v/>
      </c>
      <c r="R196" s="213" t="str">
        <f aca="false">IFERROR(E196-D196,"")</f>
        <v/>
      </c>
      <c r="S196" s="215" t="str">
        <f aca="false">IFERROR(MIN(IF(Summary!$D$11="Yes",-J196,0),IF(H196&gt;0,-J196,0)),"")</f>
        <v/>
      </c>
      <c r="T196" s="212" t="str">
        <f aca="false">IFERROR(IF(Summary!$D$10="Yes",-K196,""),"")</f>
        <v/>
      </c>
      <c r="U196" s="213" t="str">
        <f aca="false">IFERROR(IF(Summary!$D$12="Yes",-L196,""),"")</f>
        <v/>
      </c>
      <c r="V196" s="216" t="str">
        <f aca="false">IF('Bulk Order Details'!J206="","",SUM(R196:U196))</f>
        <v/>
      </c>
      <c r="W196" s="217" t="str">
        <f aca="false">IF('Bulk Order Details'!J206="","",D196+Q196)</f>
        <v/>
      </c>
      <c r="X196" s="218" t="str">
        <f aca="false">IF('Bulk Order Details'!J206="","",D196+Q196+V196)</f>
        <v/>
      </c>
      <c r="Y196" s="219" t="str">
        <f aca="false">IFERROR((W196-X196)/W196,"")</f>
        <v/>
      </c>
      <c r="Z196" s="220" t="str">
        <f aca="false">IF('Bulk Order Details'!J206="","",MAX(1,'Bulk Order Details'!D206))</f>
        <v/>
      </c>
      <c r="AA196" s="217" t="str">
        <f aca="false">IF(Pricing_Details[[#This Row],[Quantity]]="","",Pricing_Details[[#This Row],[Retail Price]]*Pricing_Details[[#This Row],[Quantity]])</f>
        <v/>
      </c>
      <c r="AB196" s="217" t="str">
        <f aca="false">IF(Pricing_Details[[#This Row],[Quantity]]="","",Pricing_Details[[#This Row],[Total Discount]]*Pricing_Details[[#This Row],[Quantity]])</f>
        <v/>
      </c>
      <c r="AC196" s="221" t="str">
        <f aca="false">IFERROR(ROUND(Pricing_Details[[#This Row],[Actual Price]]*Pricing_Details[[#This Row],[Quantity]],2),"")</f>
        <v/>
      </c>
      <c r="AE196" s="179" t="str">
        <f aca="false">IF('Bulk Order Details'!J206="","",VLOOKUP('Bulk Order Details'!H206,Collection[],3)&amp;VLOOKUP('Bulk Order Details'!J206,Collar[],4)&amp;VLOOKUP('Bulk Order Details'!I206,Sleeve[],4))</f>
        <v/>
      </c>
      <c r="AF196" s="179" t="str">
        <f aca="false">IF('Bulk Order Details'!J206="","",LOOKUP('Bulk Order Details'!E206,Cut[Display],Cut[Code])&amp;LOOKUP('Bulk Order Details'!F206,#REF!,#REF!)&amp;IF('Bulk Order Details'!G206="","",LOOKUP('Bulk Order Details'!G206,Length[Display],Length[Code])))</f>
        <v/>
      </c>
      <c r="AG196" s="179" t="str">
        <f aca="false">IF('Bulk Order Details'!J206="","",IF('Bulk Order Details'!C206="","",'Bulk Order Details'!C206))</f>
        <v/>
      </c>
      <c r="AH196" s="179" t="str">
        <f aca="false">IF('Bulk Order Details'!O206="","","-"&amp;LOOKUP('Bulk Order Details'!O206,#REF!,#REF!))</f>
        <v/>
      </c>
      <c r="AI196" s="179" t="str">
        <f aca="false">IF('Bulk Order Details'!P206="","","-"&amp;LOOKUP('Bulk Order Details'!P206,#REF!,#REF!))</f>
        <v/>
      </c>
      <c r="AJ196" s="179" t="str">
        <f aca="false">IF('Bulk Order Details'!Q206="","","-"&amp;LOOKUP('Bulk Order Details'!Q206,#REF!,#REF!))</f>
        <v/>
      </c>
      <c r="AK196" s="179" t="str">
        <f aca="false">IF('Bulk Order Details'!R206="","","-"&amp;LOOKUP('Bulk Order Details'!R206,#REF!,#REF!))</f>
        <v/>
      </c>
      <c r="AL196" s="179" t="str">
        <f aca="false">IF('Bulk Order Details'!S206="","","-"&amp;LOOKUP('Bulk Order Details'!S206,#REF!,#REF!))</f>
        <v/>
      </c>
      <c r="AM196" s="179" t="str">
        <f aca="false">IF(_xlfn.CONCAT(AH196:AL196)="","","Lo"&amp;_xlfn.CONCAT(AH196:AL196))</f>
        <v/>
      </c>
      <c r="AN196" s="179" t="str">
        <f aca="false">IF('Bulk Order Details'!K206="","","Na-"&amp;'Bulk Order Details'!K206)</f>
        <v/>
      </c>
      <c r="AO196" s="179" t="str">
        <f aca="false">IF('Bulk Order Details'!N206="","","Fo-"&amp;'Bulk Order Details'!N206)</f>
        <v/>
      </c>
      <c r="AP196" s="179" t="str">
        <f aca="false">IF(AE196="","",AE196&amp;"_"&amp;AF196&amp;"_"&amp;AG196&amp;IF(AM196="","","_"&amp;AM196)&amp;IF(AN196="","","_"&amp;AN196)&amp;IF(AO196="","","_"&amp;AO196))</f>
        <v/>
      </c>
      <c r="AQ196" s="218" t="str">
        <f aca="false">IF(X196="","",X196)</f>
        <v/>
      </c>
    </row>
    <row r="197" customFormat="false" ht="15" hidden="false" customHeight="true" outlineLevel="0" collapsed="false">
      <c r="B197" s="209" t="n">
        <f aca="false">'Bulk Order Details'!B207</f>
        <v>194</v>
      </c>
      <c r="C197" s="209" t="e">
        <f aca="false">IF('bulk order details'!#ref!="","",'bulk order details'!#ref!&amp;" "&amp;'bulk order details'!#ref!)</f>
        <v>#VALUE!</v>
      </c>
      <c r="D197" s="210" t="str">
        <f aca="false">IF('Bulk Order Details'!J207="","",VLOOKUP(1,Price[],3))</f>
        <v/>
      </c>
      <c r="E197" s="211" t="str">
        <f aca="false">IF('Bulk Order Details'!J207="","",Summary!$D$9)</f>
        <v/>
      </c>
      <c r="F197" s="212" t="str">
        <f aca="false">IF('Bulk Order Details'!F207="","",_xlfn.xlookup('Bulk Order Details'!F207,Size[Display],Size[Price]))</f>
        <v/>
      </c>
      <c r="G197" s="212" t="str">
        <f aca="false">IF('Bulk Order Details'!G207="","",_xlfn.xlookup('Bulk Order Details'!G207,Length[Display],Length[Price]))</f>
        <v/>
      </c>
      <c r="H197" s="212" t="str">
        <f aca="false">IF('Bulk Order Details'!H207="","",_xlfn.xlookup('Bulk Order Details'!H207,Collection[Display],Collection[Price]))</f>
        <v/>
      </c>
      <c r="I197" s="212" t="str">
        <f aca="false">IF('Bulk Order Details'!I207="","",_xlfn.xlookup('Bulk Order Details'!I207,Sleeve[Display],Sleeve[Price]))</f>
        <v/>
      </c>
      <c r="J197" s="212" t="str">
        <f aca="false">IF('Bulk Order Details'!J207="","",_xlfn.xlookup('Bulk Order Details'!J207,Collar[Display],Collar[Price]))</f>
        <v/>
      </c>
      <c r="K197" s="212" t="str">
        <f aca="false">IF('Bulk Order Details'!K207="","",_xlfn.xlookup("Name",Name[Name],Name[Price]))</f>
        <v/>
      </c>
      <c r="L197" s="213" t="str">
        <f aca="false">IFERROR(IF('Bulk Order Details'!O207="","",IF(_xlfn.xlookup('Bulk Order Details'!O207,Logos[Display],Logos[Use])="Flat",_xlfn.xlookup('Bulk Order Details'!O207,Logos[Display],Logos[Flat]),ROUND(_xlfn.xlookup('Bulk Order Details'!O207,Logos[Display],Logos[Pct])*$E197,2))),"")</f>
        <v/>
      </c>
      <c r="M197" s="222" t="str">
        <f aca="false">IFERROR(IF('Bulk Order Details'!P207="","",IF(_xlfn.xlookup('Bulk Order Details'!P207,Chest[Display],Chest[Use])="Flat",_xlfn.xlookup('Bulk Order Details'!P207,Chest[Display],Chest[Flat]),ROUND(_xlfn.xlookup('Bulk Order Details'!P207,Chest[Display],Chest[Pct])*$E197,2))),"")</f>
        <v/>
      </c>
      <c r="N197" s="222" t="str">
        <f aca="false">IFERROR(IF('Bulk Order Details'!Q207="","",IF(_xlfn.xlookup('Bulk Order Details'!Q207,Chest[Display],Chest[Use])="Flat",_xlfn.xlookup('Bulk Order Details'!Q207,Chest[Display],Chest[Flat]),ROUND(_xlfn.xlookup('Bulk Order Details'!Q207,Chest[Display],Chest[Pct])*$E197,2))),"")</f>
        <v/>
      </c>
      <c r="O197" s="222" t="str">
        <f aca="false">IFERROR(IF('Bulk Order Details'!R207="","",IF(_xlfn.xlookup('Bulk Order Details'!R207,LeftSleeve[Display],LeftSleeve[Use])="Flat",_xlfn.xlookup('Bulk Order Details'!R207,LeftSleeve[Display],LeftSleeve[Flat]),ROUND(_xlfn.xlookup('Bulk Order Details'!R207,LeftSleeve[Display],LeftSleeve[Pct])*$E197,2))),"")</f>
        <v/>
      </c>
      <c r="P197" s="222" t="str">
        <f aca="false">IFERROR(IF('Bulk Order Details'!S207="","",IF(_xlfn.xlookup('Bulk Order Details'!S207,RightSleeve[Display],RightSleeve[Use])="Flat",_xlfn.xlookup('Bulk Order Details'!S207,RightSleeve[Display],RightSleeve[Flat]),ROUND(_xlfn.xlookup('Bulk Order Details'!S207,RightSleeve[Display],RightSleeve[Pct])*$E197,2))),"")</f>
        <v/>
      </c>
      <c r="Q197" s="214" t="str">
        <f aca="false">IF('Bulk Order Details'!J207="","",SUM(F197:P197))</f>
        <v/>
      </c>
      <c r="R197" s="213" t="str">
        <f aca="false">IFERROR(E197-D197,"")</f>
        <v/>
      </c>
      <c r="S197" s="215" t="str">
        <f aca="false">IFERROR(MIN(IF(Summary!$D$11="Yes",-J197,0),IF(H197&gt;0,-J197,0)),"")</f>
        <v/>
      </c>
      <c r="T197" s="212" t="str">
        <f aca="false">IFERROR(IF(Summary!$D$10="Yes",-K197,""),"")</f>
        <v/>
      </c>
      <c r="U197" s="213" t="str">
        <f aca="false">IFERROR(IF(Summary!$D$12="Yes",-L197,""),"")</f>
        <v/>
      </c>
      <c r="V197" s="216" t="str">
        <f aca="false">IF('Bulk Order Details'!J207="","",SUM(R197:U197))</f>
        <v/>
      </c>
      <c r="W197" s="217" t="str">
        <f aca="false">IF('Bulk Order Details'!J207="","",D197+Q197)</f>
        <v/>
      </c>
      <c r="X197" s="218" t="str">
        <f aca="false">IF('Bulk Order Details'!J207="","",D197+Q197+V197)</f>
        <v/>
      </c>
      <c r="Y197" s="219" t="str">
        <f aca="false">IFERROR((W197-X197)/W197,"")</f>
        <v/>
      </c>
      <c r="Z197" s="220" t="str">
        <f aca="false">IF('Bulk Order Details'!J207="","",MAX(1,'Bulk Order Details'!D207))</f>
        <v/>
      </c>
      <c r="AA197" s="217" t="str">
        <f aca="false">IF(Pricing_Details[[#This Row],[Quantity]]="","",Pricing_Details[[#This Row],[Retail Price]]*Pricing_Details[[#This Row],[Quantity]])</f>
        <v/>
      </c>
      <c r="AB197" s="217" t="str">
        <f aca="false">IF(Pricing_Details[[#This Row],[Quantity]]="","",Pricing_Details[[#This Row],[Total Discount]]*Pricing_Details[[#This Row],[Quantity]])</f>
        <v/>
      </c>
      <c r="AC197" s="221" t="str">
        <f aca="false">IFERROR(ROUND(Pricing_Details[[#This Row],[Actual Price]]*Pricing_Details[[#This Row],[Quantity]],2),"")</f>
        <v/>
      </c>
      <c r="AE197" s="179" t="str">
        <f aca="false">IF('Bulk Order Details'!J207="","",VLOOKUP('Bulk Order Details'!H207,Collection[],3)&amp;VLOOKUP('Bulk Order Details'!J207,Collar[],4)&amp;VLOOKUP('Bulk Order Details'!I207,Sleeve[],4))</f>
        <v/>
      </c>
      <c r="AF197" s="179" t="str">
        <f aca="false">IF('Bulk Order Details'!J207="","",LOOKUP('Bulk Order Details'!E207,Cut[Display],Cut[Code])&amp;LOOKUP('Bulk Order Details'!F207,#REF!,#REF!)&amp;IF('Bulk Order Details'!G207="","",LOOKUP('Bulk Order Details'!G207,Length[Display],Length[Code])))</f>
        <v/>
      </c>
      <c r="AG197" s="179" t="str">
        <f aca="false">IF('Bulk Order Details'!J207="","",IF('Bulk Order Details'!C207="","",'Bulk Order Details'!C207))</f>
        <v/>
      </c>
      <c r="AH197" s="179" t="str">
        <f aca="false">IF('Bulk Order Details'!O207="","","-"&amp;LOOKUP('Bulk Order Details'!O207,#REF!,#REF!))</f>
        <v/>
      </c>
      <c r="AI197" s="179" t="str">
        <f aca="false">IF('Bulk Order Details'!P207="","","-"&amp;LOOKUP('Bulk Order Details'!P207,#REF!,#REF!))</f>
        <v/>
      </c>
      <c r="AJ197" s="179" t="str">
        <f aca="false">IF('Bulk Order Details'!Q207="","","-"&amp;LOOKUP('Bulk Order Details'!Q207,#REF!,#REF!))</f>
        <v/>
      </c>
      <c r="AK197" s="179" t="str">
        <f aca="false">IF('Bulk Order Details'!R207="","","-"&amp;LOOKUP('Bulk Order Details'!R207,#REF!,#REF!))</f>
        <v/>
      </c>
      <c r="AL197" s="179" t="str">
        <f aca="false">IF('Bulk Order Details'!S207="","","-"&amp;LOOKUP('Bulk Order Details'!S207,#REF!,#REF!))</f>
        <v/>
      </c>
      <c r="AM197" s="179" t="str">
        <f aca="false">IF(_xlfn.CONCAT(AH197:AL197)="","","Lo"&amp;_xlfn.CONCAT(AH197:AL197))</f>
        <v/>
      </c>
      <c r="AN197" s="179" t="str">
        <f aca="false">IF('Bulk Order Details'!K207="","","Na-"&amp;'Bulk Order Details'!K207)</f>
        <v/>
      </c>
      <c r="AO197" s="179" t="str">
        <f aca="false">IF('Bulk Order Details'!N207="","","Fo-"&amp;'Bulk Order Details'!N207)</f>
        <v/>
      </c>
      <c r="AP197" s="179" t="str">
        <f aca="false">IF(AE197="","",AE197&amp;"_"&amp;AF197&amp;"_"&amp;AG197&amp;IF(AM197="","","_"&amp;AM197)&amp;IF(AN197="","","_"&amp;AN197)&amp;IF(AO197="","","_"&amp;AO197))</f>
        <v/>
      </c>
      <c r="AQ197" s="218" t="str">
        <f aca="false">IF(X197="","",X197)</f>
        <v/>
      </c>
    </row>
    <row r="198" customFormat="false" ht="15" hidden="false" customHeight="true" outlineLevel="0" collapsed="false">
      <c r="B198" s="209" t="n">
        <f aca="false">'Bulk Order Details'!B208</f>
        <v>195</v>
      </c>
      <c r="C198" s="209" t="e">
        <f aca="false">IF('bulk order details'!#ref!="","",'bulk order details'!#ref!&amp;" "&amp;'bulk order details'!#ref!)</f>
        <v>#VALUE!</v>
      </c>
      <c r="D198" s="210" t="str">
        <f aca="false">IF('Bulk Order Details'!J208="","",VLOOKUP(1,Price[],3))</f>
        <v/>
      </c>
      <c r="E198" s="211" t="str">
        <f aca="false">IF('Bulk Order Details'!J208="","",Summary!$D$9)</f>
        <v/>
      </c>
      <c r="F198" s="212" t="str">
        <f aca="false">IF('Bulk Order Details'!F208="","",_xlfn.xlookup('Bulk Order Details'!F208,Size[Display],Size[Price]))</f>
        <v/>
      </c>
      <c r="G198" s="212" t="str">
        <f aca="false">IF('Bulk Order Details'!G208="","",_xlfn.xlookup('Bulk Order Details'!G208,Length[Display],Length[Price]))</f>
        <v/>
      </c>
      <c r="H198" s="212" t="str">
        <f aca="false">IF('Bulk Order Details'!H208="","",_xlfn.xlookup('Bulk Order Details'!H208,Collection[Display],Collection[Price]))</f>
        <v/>
      </c>
      <c r="I198" s="212" t="str">
        <f aca="false">IF('Bulk Order Details'!I208="","",_xlfn.xlookup('Bulk Order Details'!I208,Sleeve[Display],Sleeve[Price]))</f>
        <v/>
      </c>
      <c r="J198" s="212" t="str">
        <f aca="false">IF('Bulk Order Details'!J208="","",_xlfn.xlookup('Bulk Order Details'!J208,Collar[Display],Collar[Price]))</f>
        <v/>
      </c>
      <c r="K198" s="212" t="str">
        <f aca="false">IF('Bulk Order Details'!K208="","",_xlfn.xlookup("Name",Name[Name],Name[Price]))</f>
        <v/>
      </c>
      <c r="L198" s="213" t="str">
        <f aca="false">IFERROR(IF('Bulk Order Details'!O208="","",IF(_xlfn.xlookup('Bulk Order Details'!O208,Logos[Display],Logos[Use])="Flat",_xlfn.xlookup('Bulk Order Details'!O208,Logos[Display],Logos[Flat]),ROUND(_xlfn.xlookup('Bulk Order Details'!O208,Logos[Display],Logos[Pct])*$E198,2))),"")</f>
        <v/>
      </c>
      <c r="M198" s="222" t="str">
        <f aca="false">IFERROR(IF('Bulk Order Details'!P208="","",IF(_xlfn.xlookup('Bulk Order Details'!P208,Chest[Display],Chest[Use])="Flat",_xlfn.xlookup('Bulk Order Details'!P208,Chest[Display],Chest[Flat]),ROUND(_xlfn.xlookup('Bulk Order Details'!P208,Chest[Display],Chest[Pct])*$E198,2))),"")</f>
        <v/>
      </c>
      <c r="N198" s="222" t="str">
        <f aca="false">IFERROR(IF('Bulk Order Details'!Q208="","",IF(_xlfn.xlookup('Bulk Order Details'!Q208,Chest[Display],Chest[Use])="Flat",_xlfn.xlookup('Bulk Order Details'!Q208,Chest[Display],Chest[Flat]),ROUND(_xlfn.xlookup('Bulk Order Details'!Q208,Chest[Display],Chest[Pct])*$E198,2))),"")</f>
        <v/>
      </c>
      <c r="O198" s="222" t="str">
        <f aca="false">IFERROR(IF('Bulk Order Details'!R208="","",IF(_xlfn.xlookup('Bulk Order Details'!R208,LeftSleeve[Display],LeftSleeve[Use])="Flat",_xlfn.xlookup('Bulk Order Details'!R208,LeftSleeve[Display],LeftSleeve[Flat]),ROUND(_xlfn.xlookup('Bulk Order Details'!R208,LeftSleeve[Display],LeftSleeve[Pct])*$E198,2))),"")</f>
        <v/>
      </c>
      <c r="P198" s="222" t="str">
        <f aca="false">IFERROR(IF('Bulk Order Details'!S208="","",IF(_xlfn.xlookup('Bulk Order Details'!S208,RightSleeve[Display],RightSleeve[Use])="Flat",_xlfn.xlookup('Bulk Order Details'!S208,RightSleeve[Display],RightSleeve[Flat]),ROUND(_xlfn.xlookup('Bulk Order Details'!S208,RightSleeve[Display],RightSleeve[Pct])*$E198,2))),"")</f>
        <v/>
      </c>
      <c r="Q198" s="214" t="str">
        <f aca="false">IF('Bulk Order Details'!J208="","",SUM(F198:P198))</f>
        <v/>
      </c>
      <c r="R198" s="213" t="str">
        <f aca="false">IFERROR(E198-D198,"")</f>
        <v/>
      </c>
      <c r="S198" s="215" t="str">
        <f aca="false">IFERROR(MIN(IF(Summary!$D$11="Yes",-J198,0),IF(H198&gt;0,-J198,0)),"")</f>
        <v/>
      </c>
      <c r="T198" s="212" t="str">
        <f aca="false">IFERROR(IF(Summary!$D$10="Yes",-K198,""),"")</f>
        <v/>
      </c>
      <c r="U198" s="213" t="str">
        <f aca="false">IFERROR(IF(Summary!$D$12="Yes",-L198,""),"")</f>
        <v/>
      </c>
      <c r="V198" s="216" t="str">
        <f aca="false">IF('Bulk Order Details'!J208="","",SUM(R198:U198))</f>
        <v/>
      </c>
      <c r="W198" s="217" t="str">
        <f aca="false">IF('Bulk Order Details'!J208="","",D198+Q198)</f>
        <v/>
      </c>
      <c r="X198" s="218" t="str">
        <f aca="false">IF('Bulk Order Details'!J208="","",D198+Q198+V198)</f>
        <v/>
      </c>
      <c r="Y198" s="219" t="str">
        <f aca="false">IFERROR((W198-X198)/W198,"")</f>
        <v/>
      </c>
      <c r="Z198" s="220" t="str">
        <f aca="false">IF('Bulk Order Details'!J208="","",MAX(1,'Bulk Order Details'!D208))</f>
        <v/>
      </c>
      <c r="AA198" s="217" t="str">
        <f aca="false">IF(Pricing_Details[[#This Row],[Quantity]]="","",Pricing_Details[[#This Row],[Retail Price]]*Pricing_Details[[#This Row],[Quantity]])</f>
        <v/>
      </c>
      <c r="AB198" s="217" t="str">
        <f aca="false">IF(Pricing_Details[[#This Row],[Quantity]]="","",Pricing_Details[[#This Row],[Total Discount]]*Pricing_Details[[#This Row],[Quantity]])</f>
        <v/>
      </c>
      <c r="AC198" s="221" t="str">
        <f aca="false">IFERROR(ROUND(Pricing_Details[[#This Row],[Actual Price]]*Pricing_Details[[#This Row],[Quantity]],2),"")</f>
        <v/>
      </c>
      <c r="AE198" s="179" t="str">
        <f aca="false">IF('Bulk Order Details'!J208="","",VLOOKUP('Bulk Order Details'!H208,Collection[],3)&amp;VLOOKUP('Bulk Order Details'!J208,Collar[],4)&amp;VLOOKUP('Bulk Order Details'!I208,Sleeve[],4))</f>
        <v/>
      </c>
      <c r="AF198" s="179" t="str">
        <f aca="false">IF('Bulk Order Details'!J208="","",LOOKUP('Bulk Order Details'!E208,Cut[Display],Cut[Code])&amp;LOOKUP('Bulk Order Details'!F208,#REF!,#REF!)&amp;IF('Bulk Order Details'!G208="","",LOOKUP('Bulk Order Details'!G208,Length[Display],Length[Code])))</f>
        <v/>
      </c>
      <c r="AG198" s="179" t="str">
        <f aca="false">IF('Bulk Order Details'!J208="","",IF('Bulk Order Details'!C208="","",'Bulk Order Details'!C208))</f>
        <v/>
      </c>
      <c r="AH198" s="179" t="str">
        <f aca="false">IF('Bulk Order Details'!O208="","","-"&amp;LOOKUP('Bulk Order Details'!O208,#REF!,#REF!))</f>
        <v/>
      </c>
      <c r="AI198" s="179" t="str">
        <f aca="false">IF('Bulk Order Details'!P208="","","-"&amp;LOOKUP('Bulk Order Details'!P208,#REF!,#REF!))</f>
        <v/>
      </c>
      <c r="AJ198" s="179" t="str">
        <f aca="false">IF('Bulk Order Details'!Q208="","","-"&amp;LOOKUP('Bulk Order Details'!Q208,#REF!,#REF!))</f>
        <v/>
      </c>
      <c r="AK198" s="179" t="str">
        <f aca="false">IF('Bulk Order Details'!R208="","","-"&amp;LOOKUP('Bulk Order Details'!R208,#REF!,#REF!))</f>
        <v/>
      </c>
      <c r="AL198" s="179" t="str">
        <f aca="false">IF('Bulk Order Details'!S208="","","-"&amp;LOOKUP('Bulk Order Details'!S208,#REF!,#REF!))</f>
        <v/>
      </c>
      <c r="AM198" s="179" t="str">
        <f aca="false">IF(_xlfn.CONCAT(AH198:AL198)="","","Lo"&amp;_xlfn.CONCAT(AH198:AL198))</f>
        <v/>
      </c>
      <c r="AN198" s="179" t="str">
        <f aca="false">IF('Bulk Order Details'!K208="","","Na-"&amp;'Bulk Order Details'!K208)</f>
        <v/>
      </c>
      <c r="AO198" s="179" t="str">
        <f aca="false">IF('Bulk Order Details'!N208="","","Fo-"&amp;'Bulk Order Details'!N208)</f>
        <v/>
      </c>
      <c r="AP198" s="179" t="str">
        <f aca="false">IF(AE198="","",AE198&amp;"_"&amp;AF198&amp;"_"&amp;AG198&amp;IF(AM198="","","_"&amp;AM198)&amp;IF(AN198="","","_"&amp;AN198)&amp;IF(AO198="","","_"&amp;AO198))</f>
        <v/>
      </c>
      <c r="AQ198" s="218" t="str">
        <f aca="false">IF(X198="","",X198)</f>
        <v/>
      </c>
    </row>
    <row r="199" customFormat="false" ht="15" hidden="false" customHeight="true" outlineLevel="0" collapsed="false">
      <c r="B199" s="209" t="n">
        <f aca="false">'Bulk Order Details'!B209</f>
        <v>196</v>
      </c>
      <c r="C199" s="209" t="e">
        <f aca="false">IF('bulk order details'!#ref!="","",'bulk order details'!#ref!&amp;" "&amp;'bulk order details'!#ref!)</f>
        <v>#VALUE!</v>
      </c>
      <c r="D199" s="210" t="str">
        <f aca="false">IF('Bulk Order Details'!J209="","",VLOOKUP(1,Price[],3))</f>
        <v/>
      </c>
      <c r="E199" s="211" t="str">
        <f aca="false">IF('Bulk Order Details'!J209="","",Summary!$D$9)</f>
        <v/>
      </c>
      <c r="F199" s="212" t="str">
        <f aca="false">IF('Bulk Order Details'!F209="","",_xlfn.xlookup('Bulk Order Details'!F209,Size[Display],Size[Price]))</f>
        <v/>
      </c>
      <c r="G199" s="212" t="str">
        <f aca="false">IF('Bulk Order Details'!G209="","",_xlfn.xlookup('Bulk Order Details'!G209,Length[Display],Length[Price]))</f>
        <v/>
      </c>
      <c r="H199" s="212" t="str">
        <f aca="false">IF('Bulk Order Details'!H209="","",_xlfn.xlookup('Bulk Order Details'!H209,Collection[Display],Collection[Price]))</f>
        <v/>
      </c>
      <c r="I199" s="212" t="str">
        <f aca="false">IF('Bulk Order Details'!I209="","",_xlfn.xlookup('Bulk Order Details'!I209,Sleeve[Display],Sleeve[Price]))</f>
        <v/>
      </c>
      <c r="J199" s="212" t="str">
        <f aca="false">IF('Bulk Order Details'!J209="","",_xlfn.xlookup('Bulk Order Details'!J209,Collar[Display],Collar[Price]))</f>
        <v/>
      </c>
      <c r="K199" s="212" t="str">
        <f aca="false">IF('Bulk Order Details'!K209="","",_xlfn.xlookup("Name",Name[Name],Name[Price]))</f>
        <v/>
      </c>
      <c r="L199" s="213" t="str">
        <f aca="false">IFERROR(IF('Bulk Order Details'!O209="","",IF(_xlfn.xlookup('Bulk Order Details'!O209,Logos[Display],Logos[Use])="Flat",_xlfn.xlookup('Bulk Order Details'!O209,Logos[Display],Logos[Flat]),ROUND(_xlfn.xlookup('Bulk Order Details'!O209,Logos[Display],Logos[Pct])*$E199,2))),"")</f>
        <v/>
      </c>
      <c r="M199" s="222" t="str">
        <f aca="false">IFERROR(IF('Bulk Order Details'!P209="","",IF(_xlfn.xlookup('Bulk Order Details'!P209,Chest[Display],Chest[Use])="Flat",_xlfn.xlookup('Bulk Order Details'!P209,Chest[Display],Chest[Flat]),ROUND(_xlfn.xlookup('Bulk Order Details'!P209,Chest[Display],Chest[Pct])*$E199,2))),"")</f>
        <v/>
      </c>
      <c r="N199" s="222" t="str">
        <f aca="false">IFERROR(IF('Bulk Order Details'!Q209="","",IF(_xlfn.xlookup('Bulk Order Details'!Q209,Chest[Display],Chest[Use])="Flat",_xlfn.xlookup('Bulk Order Details'!Q209,Chest[Display],Chest[Flat]),ROUND(_xlfn.xlookup('Bulk Order Details'!Q209,Chest[Display],Chest[Pct])*$E199,2))),"")</f>
        <v/>
      </c>
      <c r="O199" s="222" t="str">
        <f aca="false">IFERROR(IF('Bulk Order Details'!R209="","",IF(_xlfn.xlookup('Bulk Order Details'!R209,LeftSleeve[Display],LeftSleeve[Use])="Flat",_xlfn.xlookup('Bulk Order Details'!R209,LeftSleeve[Display],LeftSleeve[Flat]),ROUND(_xlfn.xlookup('Bulk Order Details'!R209,LeftSleeve[Display],LeftSleeve[Pct])*$E199,2))),"")</f>
        <v/>
      </c>
      <c r="P199" s="222" t="str">
        <f aca="false">IFERROR(IF('Bulk Order Details'!S209="","",IF(_xlfn.xlookup('Bulk Order Details'!S209,RightSleeve[Display],RightSleeve[Use])="Flat",_xlfn.xlookup('Bulk Order Details'!S209,RightSleeve[Display],RightSleeve[Flat]),ROUND(_xlfn.xlookup('Bulk Order Details'!S209,RightSleeve[Display],RightSleeve[Pct])*$E199,2))),"")</f>
        <v/>
      </c>
      <c r="Q199" s="214" t="str">
        <f aca="false">IF('Bulk Order Details'!J209="","",SUM(F199:P199))</f>
        <v/>
      </c>
      <c r="R199" s="213" t="str">
        <f aca="false">IFERROR(E199-D199,"")</f>
        <v/>
      </c>
      <c r="S199" s="215" t="str">
        <f aca="false">IFERROR(MIN(IF(Summary!$D$11="Yes",-J199,0),IF(H199&gt;0,-J199,0)),"")</f>
        <v/>
      </c>
      <c r="T199" s="212" t="str">
        <f aca="false">IFERROR(IF(Summary!$D$10="Yes",-K199,""),"")</f>
        <v/>
      </c>
      <c r="U199" s="213" t="str">
        <f aca="false">IFERROR(IF(Summary!$D$12="Yes",-L199,""),"")</f>
        <v/>
      </c>
      <c r="V199" s="216" t="str">
        <f aca="false">IF('Bulk Order Details'!J209="","",SUM(R199:U199))</f>
        <v/>
      </c>
      <c r="W199" s="217" t="str">
        <f aca="false">IF('Bulk Order Details'!J209="","",D199+Q199)</f>
        <v/>
      </c>
      <c r="X199" s="218" t="str">
        <f aca="false">IF('Bulk Order Details'!J209="","",D199+Q199+V199)</f>
        <v/>
      </c>
      <c r="Y199" s="219" t="str">
        <f aca="false">IFERROR((W199-X199)/W199,"")</f>
        <v/>
      </c>
      <c r="Z199" s="220" t="str">
        <f aca="false">IF('Bulk Order Details'!J209="","",MAX(1,'Bulk Order Details'!D209))</f>
        <v/>
      </c>
      <c r="AA199" s="217" t="str">
        <f aca="false">IF(Pricing_Details[[#This Row],[Quantity]]="","",Pricing_Details[[#This Row],[Retail Price]]*Pricing_Details[[#This Row],[Quantity]])</f>
        <v/>
      </c>
      <c r="AB199" s="217" t="str">
        <f aca="false">IF(Pricing_Details[[#This Row],[Quantity]]="","",Pricing_Details[[#This Row],[Total Discount]]*Pricing_Details[[#This Row],[Quantity]])</f>
        <v/>
      </c>
      <c r="AC199" s="221" t="str">
        <f aca="false">IFERROR(ROUND(Pricing_Details[[#This Row],[Actual Price]]*Pricing_Details[[#This Row],[Quantity]],2),"")</f>
        <v/>
      </c>
      <c r="AE199" s="179" t="str">
        <f aca="false">IF('Bulk Order Details'!J209="","",VLOOKUP('Bulk Order Details'!H209,Collection[],3)&amp;VLOOKUP('Bulk Order Details'!J209,Collar[],4)&amp;VLOOKUP('Bulk Order Details'!I209,Sleeve[],4))</f>
        <v/>
      </c>
      <c r="AF199" s="179" t="str">
        <f aca="false">IF('Bulk Order Details'!J209="","",LOOKUP('Bulk Order Details'!E209,Cut[Display],Cut[Code])&amp;LOOKUP('Bulk Order Details'!F209,#REF!,#REF!)&amp;IF('Bulk Order Details'!G209="","",LOOKUP('Bulk Order Details'!G209,Length[Display],Length[Code])))</f>
        <v/>
      </c>
      <c r="AG199" s="179" t="str">
        <f aca="false">IF('Bulk Order Details'!J209="","",IF('Bulk Order Details'!C209="","",'Bulk Order Details'!C209))</f>
        <v/>
      </c>
      <c r="AH199" s="179" t="str">
        <f aca="false">IF('Bulk Order Details'!O209="","","-"&amp;LOOKUP('Bulk Order Details'!O209,#REF!,#REF!))</f>
        <v/>
      </c>
      <c r="AI199" s="179" t="str">
        <f aca="false">IF('Bulk Order Details'!P209="","","-"&amp;LOOKUP('Bulk Order Details'!P209,#REF!,#REF!))</f>
        <v/>
      </c>
      <c r="AJ199" s="179" t="str">
        <f aca="false">IF('Bulk Order Details'!Q209="","","-"&amp;LOOKUP('Bulk Order Details'!Q209,#REF!,#REF!))</f>
        <v/>
      </c>
      <c r="AK199" s="179" t="str">
        <f aca="false">IF('Bulk Order Details'!R209="","","-"&amp;LOOKUP('Bulk Order Details'!R209,#REF!,#REF!))</f>
        <v/>
      </c>
      <c r="AL199" s="179" t="str">
        <f aca="false">IF('Bulk Order Details'!S209="","","-"&amp;LOOKUP('Bulk Order Details'!S209,#REF!,#REF!))</f>
        <v/>
      </c>
      <c r="AM199" s="179" t="str">
        <f aca="false">IF(_xlfn.CONCAT(AH199:AL199)="","","Lo"&amp;_xlfn.CONCAT(AH199:AL199))</f>
        <v/>
      </c>
      <c r="AN199" s="179" t="str">
        <f aca="false">IF('Bulk Order Details'!K209="","","Na-"&amp;'Bulk Order Details'!K209)</f>
        <v/>
      </c>
      <c r="AO199" s="179" t="str">
        <f aca="false">IF('Bulk Order Details'!N209="","","Fo-"&amp;'Bulk Order Details'!N209)</f>
        <v/>
      </c>
      <c r="AP199" s="179" t="str">
        <f aca="false">IF(AE199="","",AE199&amp;"_"&amp;AF199&amp;"_"&amp;AG199&amp;IF(AM199="","","_"&amp;AM199)&amp;IF(AN199="","","_"&amp;AN199)&amp;IF(AO199="","","_"&amp;AO199))</f>
        <v/>
      </c>
      <c r="AQ199" s="218" t="str">
        <f aca="false">IF(X199="","",X199)</f>
        <v/>
      </c>
    </row>
    <row r="200" customFormat="false" ht="15" hidden="false" customHeight="true" outlineLevel="0" collapsed="false">
      <c r="B200" s="209" t="n">
        <f aca="false">'Bulk Order Details'!B210</f>
        <v>197</v>
      </c>
      <c r="C200" s="209" t="e">
        <f aca="false">IF('bulk order details'!#ref!="","",'bulk order details'!#ref!&amp;" "&amp;'bulk order details'!#ref!)</f>
        <v>#VALUE!</v>
      </c>
      <c r="D200" s="210" t="str">
        <f aca="false">IF('Bulk Order Details'!J210="","",VLOOKUP(1,Price[],3))</f>
        <v/>
      </c>
      <c r="E200" s="211" t="str">
        <f aca="false">IF('Bulk Order Details'!J210="","",Summary!$D$9)</f>
        <v/>
      </c>
      <c r="F200" s="212" t="str">
        <f aca="false">IF('Bulk Order Details'!F210="","",_xlfn.xlookup('Bulk Order Details'!F210,Size[Display],Size[Price]))</f>
        <v/>
      </c>
      <c r="G200" s="212" t="str">
        <f aca="false">IF('Bulk Order Details'!G210="","",_xlfn.xlookup('Bulk Order Details'!G210,Length[Display],Length[Price]))</f>
        <v/>
      </c>
      <c r="H200" s="212" t="str">
        <f aca="false">IF('Bulk Order Details'!H210="","",_xlfn.xlookup('Bulk Order Details'!H210,Collection[Display],Collection[Price]))</f>
        <v/>
      </c>
      <c r="I200" s="212" t="str">
        <f aca="false">IF('Bulk Order Details'!I210="","",_xlfn.xlookup('Bulk Order Details'!I210,Sleeve[Display],Sleeve[Price]))</f>
        <v/>
      </c>
      <c r="J200" s="212" t="str">
        <f aca="false">IF('Bulk Order Details'!J210="","",_xlfn.xlookup('Bulk Order Details'!J210,Collar[Display],Collar[Price]))</f>
        <v/>
      </c>
      <c r="K200" s="212" t="str">
        <f aca="false">IF('Bulk Order Details'!K210="","",_xlfn.xlookup("Name",Name[Name],Name[Price]))</f>
        <v/>
      </c>
      <c r="L200" s="213" t="str">
        <f aca="false">IFERROR(IF('Bulk Order Details'!O210="","",IF(_xlfn.xlookup('Bulk Order Details'!O210,Logos[Display],Logos[Use])="Flat",_xlfn.xlookup('Bulk Order Details'!O210,Logos[Display],Logos[Flat]),ROUND(_xlfn.xlookup('Bulk Order Details'!O210,Logos[Display],Logos[Pct])*$E200,2))),"")</f>
        <v/>
      </c>
      <c r="M200" s="222" t="str">
        <f aca="false">IFERROR(IF('Bulk Order Details'!P210="","",IF(_xlfn.xlookup('Bulk Order Details'!P210,Chest[Display],Chest[Use])="Flat",_xlfn.xlookup('Bulk Order Details'!P210,Chest[Display],Chest[Flat]),ROUND(_xlfn.xlookup('Bulk Order Details'!P210,Chest[Display],Chest[Pct])*$E200,2))),"")</f>
        <v/>
      </c>
      <c r="N200" s="222" t="str">
        <f aca="false">IFERROR(IF('Bulk Order Details'!Q210="","",IF(_xlfn.xlookup('Bulk Order Details'!Q210,Chest[Display],Chest[Use])="Flat",_xlfn.xlookup('Bulk Order Details'!Q210,Chest[Display],Chest[Flat]),ROUND(_xlfn.xlookup('Bulk Order Details'!Q210,Chest[Display],Chest[Pct])*$E200,2))),"")</f>
        <v/>
      </c>
      <c r="O200" s="222" t="str">
        <f aca="false">IFERROR(IF('Bulk Order Details'!R210="","",IF(_xlfn.xlookup('Bulk Order Details'!R210,LeftSleeve[Display],LeftSleeve[Use])="Flat",_xlfn.xlookup('Bulk Order Details'!R210,LeftSleeve[Display],LeftSleeve[Flat]),ROUND(_xlfn.xlookup('Bulk Order Details'!R210,LeftSleeve[Display],LeftSleeve[Pct])*$E200,2))),"")</f>
        <v/>
      </c>
      <c r="P200" s="222" t="str">
        <f aca="false">IFERROR(IF('Bulk Order Details'!S210="","",IF(_xlfn.xlookup('Bulk Order Details'!S210,RightSleeve[Display],RightSleeve[Use])="Flat",_xlfn.xlookup('Bulk Order Details'!S210,RightSleeve[Display],RightSleeve[Flat]),ROUND(_xlfn.xlookup('Bulk Order Details'!S210,RightSleeve[Display],RightSleeve[Pct])*$E200,2))),"")</f>
        <v/>
      </c>
      <c r="Q200" s="214" t="str">
        <f aca="false">IF('Bulk Order Details'!J210="","",SUM(F200:P200))</f>
        <v/>
      </c>
      <c r="R200" s="213" t="str">
        <f aca="false">IFERROR(E200-D200,"")</f>
        <v/>
      </c>
      <c r="S200" s="215" t="str">
        <f aca="false">IFERROR(MIN(IF(Summary!$D$11="Yes",-J200,0),IF(H200&gt;0,-J200,0)),"")</f>
        <v/>
      </c>
      <c r="T200" s="212" t="str">
        <f aca="false">IFERROR(IF(Summary!$D$10="Yes",-K200,""),"")</f>
        <v/>
      </c>
      <c r="U200" s="213" t="str">
        <f aca="false">IFERROR(IF(Summary!$D$12="Yes",-L200,""),"")</f>
        <v/>
      </c>
      <c r="V200" s="216" t="str">
        <f aca="false">IF('Bulk Order Details'!J210="","",SUM(R200:U200))</f>
        <v/>
      </c>
      <c r="W200" s="217" t="str">
        <f aca="false">IF('Bulk Order Details'!J210="","",D200+Q200)</f>
        <v/>
      </c>
      <c r="X200" s="218" t="str">
        <f aca="false">IF('Bulk Order Details'!J210="","",D200+Q200+V200)</f>
        <v/>
      </c>
      <c r="Y200" s="219" t="str">
        <f aca="false">IFERROR((W200-X200)/W200,"")</f>
        <v/>
      </c>
      <c r="Z200" s="220" t="str">
        <f aca="false">IF('Bulk Order Details'!J210="","",MAX(1,'Bulk Order Details'!D210))</f>
        <v/>
      </c>
      <c r="AA200" s="217" t="str">
        <f aca="false">IF(Pricing_Details[[#This Row],[Quantity]]="","",Pricing_Details[[#This Row],[Retail Price]]*Pricing_Details[[#This Row],[Quantity]])</f>
        <v/>
      </c>
      <c r="AB200" s="217" t="str">
        <f aca="false">IF(Pricing_Details[[#This Row],[Quantity]]="","",Pricing_Details[[#This Row],[Total Discount]]*Pricing_Details[[#This Row],[Quantity]])</f>
        <v/>
      </c>
      <c r="AC200" s="221" t="str">
        <f aca="false">IFERROR(ROUND(Pricing_Details[[#This Row],[Actual Price]]*Pricing_Details[[#This Row],[Quantity]],2),"")</f>
        <v/>
      </c>
      <c r="AE200" s="179" t="str">
        <f aca="false">IF('Bulk Order Details'!J210="","",VLOOKUP('Bulk Order Details'!H210,Collection[],3)&amp;VLOOKUP('Bulk Order Details'!J210,Collar[],4)&amp;VLOOKUP('Bulk Order Details'!I210,Sleeve[],4))</f>
        <v/>
      </c>
      <c r="AF200" s="179" t="str">
        <f aca="false">IF('Bulk Order Details'!J210="","",LOOKUP('Bulk Order Details'!E210,Cut[Display],Cut[Code])&amp;LOOKUP('Bulk Order Details'!F210,#REF!,#REF!)&amp;IF('Bulk Order Details'!G210="","",LOOKUP('Bulk Order Details'!G210,Length[Display],Length[Code])))</f>
        <v/>
      </c>
      <c r="AG200" s="179" t="str">
        <f aca="false">IF('Bulk Order Details'!J210="","",IF('Bulk Order Details'!C210="","",'Bulk Order Details'!C210))</f>
        <v/>
      </c>
      <c r="AH200" s="179" t="str">
        <f aca="false">IF('Bulk Order Details'!O210="","","-"&amp;LOOKUP('Bulk Order Details'!O210,#REF!,#REF!))</f>
        <v/>
      </c>
      <c r="AI200" s="179" t="str">
        <f aca="false">IF('Bulk Order Details'!P210="","","-"&amp;LOOKUP('Bulk Order Details'!P210,#REF!,#REF!))</f>
        <v/>
      </c>
      <c r="AJ200" s="179" t="str">
        <f aca="false">IF('Bulk Order Details'!Q210="","","-"&amp;LOOKUP('Bulk Order Details'!Q210,#REF!,#REF!))</f>
        <v/>
      </c>
      <c r="AK200" s="179" t="str">
        <f aca="false">IF('Bulk Order Details'!R210="","","-"&amp;LOOKUP('Bulk Order Details'!R210,#REF!,#REF!))</f>
        <v/>
      </c>
      <c r="AL200" s="179" t="str">
        <f aca="false">IF('Bulk Order Details'!S210="","","-"&amp;LOOKUP('Bulk Order Details'!S210,#REF!,#REF!))</f>
        <v/>
      </c>
      <c r="AM200" s="179" t="str">
        <f aca="false">IF(_xlfn.CONCAT(AH200:AL200)="","","Lo"&amp;_xlfn.CONCAT(AH200:AL200))</f>
        <v/>
      </c>
      <c r="AN200" s="179" t="str">
        <f aca="false">IF('Bulk Order Details'!K210="","","Na-"&amp;'Bulk Order Details'!K210)</f>
        <v/>
      </c>
      <c r="AO200" s="179" t="str">
        <f aca="false">IF('Bulk Order Details'!N210="","","Fo-"&amp;'Bulk Order Details'!N210)</f>
        <v/>
      </c>
      <c r="AP200" s="179" t="str">
        <f aca="false">IF(AE200="","",AE200&amp;"_"&amp;AF200&amp;"_"&amp;AG200&amp;IF(AM200="","","_"&amp;AM200)&amp;IF(AN200="","","_"&amp;AN200)&amp;IF(AO200="","","_"&amp;AO200))</f>
        <v/>
      </c>
      <c r="AQ200" s="218" t="str">
        <f aca="false">IF(X200="","",X200)</f>
        <v/>
      </c>
    </row>
    <row r="201" customFormat="false" ht="15" hidden="false" customHeight="true" outlineLevel="0" collapsed="false">
      <c r="B201" s="209" t="n">
        <f aca="false">'Bulk Order Details'!B211</f>
        <v>198</v>
      </c>
      <c r="C201" s="209" t="e">
        <f aca="false">IF('bulk order details'!#ref!="","",'bulk order details'!#ref!&amp;" "&amp;'bulk order details'!#ref!)</f>
        <v>#VALUE!</v>
      </c>
      <c r="D201" s="210" t="str">
        <f aca="false">IF('Bulk Order Details'!J211="","",VLOOKUP(1,Price[],3))</f>
        <v/>
      </c>
      <c r="E201" s="211" t="str">
        <f aca="false">IF('Bulk Order Details'!J211="","",Summary!$D$9)</f>
        <v/>
      </c>
      <c r="F201" s="212" t="str">
        <f aca="false">IF('Bulk Order Details'!F211="","",_xlfn.xlookup('Bulk Order Details'!F211,Size[Display],Size[Price]))</f>
        <v/>
      </c>
      <c r="G201" s="212" t="str">
        <f aca="false">IF('Bulk Order Details'!G211="","",_xlfn.xlookup('Bulk Order Details'!G211,Length[Display],Length[Price]))</f>
        <v/>
      </c>
      <c r="H201" s="212" t="str">
        <f aca="false">IF('Bulk Order Details'!H211="","",_xlfn.xlookup('Bulk Order Details'!H211,Collection[Display],Collection[Price]))</f>
        <v/>
      </c>
      <c r="I201" s="212" t="str">
        <f aca="false">IF('Bulk Order Details'!I211="","",_xlfn.xlookup('Bulk Order Details'!I211,Sleeve[Display],Sleeve[Price]))</f>
        <v/>
      </c>
      <c r="J201" s="212" t="str">
        <f aca="false">IF('Bulk Order Details'!J211="","",_xlfn.xlookup('Bulk Order Details'!J211,Collar[Display],Collar[Price]))</f>
        <v/>
      </c>
      <c r="K201" s="212" t="str">
        <f aca="false">IF('Bulk Order Details'!K211="","",_xlfn.xlookup("Name",Name[Name],Name[Price]))</f>
        <v/>
      </c>
      <c r="L201" s="213" t="str">
        <f aca="false">IFERROR(IF('Bulk Order Details'!O211="","",IF(_xlfn.xlookup('Bulk Order Details'!O211,Logos[Display],Logos[Use])="Flat",_xlfn.xlookup('Bulk Order Details'!O211,Logos[Display],Logos[Flat]),ROUND(_xlfn.xlookup('Bulk Order Details'!O211,Logos[Display],Logos[Pct])*$E201,2))),"")</f>
        <v/>
      </c>
      <c r="M201" s="222" t="str">
        <f aca="false">IFERROR(IF('Bulk Order Details'!P211="","",IF(_xlfn.xlookup('Bulk Order Details'!P211,Chest[Display],Chest[Use])="Flat",_xlfn.xlookup('Bulk Order Details'!P211,Chest[Display],Chest[Flat]),ROUND(_xlfn.xlookup('Bulk Order Details'!P211,Chest[Display],Chest[Pct])*$E201,2))),"")</f>
        <v/>
      </c>
      <c r="N201" s="222" t="str">
        <f aca="false">IFERROR(IF('Bulk Order Details'!Q211="","",IF(_xlfn.xlookup('Bulk Order Details'!Q211,Chest[Display],Chest[Use])="Flat",_xlfn.xlookup('Bulk Order Details'!Q211,Chest[Display],Chest[Flat]),ROUND(_xlfn.xlookup('Bulk Order Details'!Q211,Chest[Display],Chest[Pct])*$E201,2))),"")</f>
        <v/>
      </c>
      <c r="O201" s="222" t="str">
        <f aca="false">IFERROR(IF('Bulk Order Details'!R211="","",IF(_xlfn.xlookup('Bulk Order Details'!R211,LeftSleeve[Display],LeftSleeve[Use])="Flat",_xlfn.xlookup('Bulk Order Details'!R211,LeftSleeve[Display],LeftSleeve[Flat]),ROUND(_xlfn.xlookup('Bulk Order Details'!R211,LeftSleeve[Display],LeftSleeve[Pct])*$E201,2))),"")</f>
        <v/>
      </c>
      <c r="P201" s="222" t="str">
        <f aca="false">IFERROR(IF('Bulk Order Details'!S211="","",IF(_xlfn.xlookup('Bulk Order Details'!S211,RightSleeve[Display],RightSleeve[Use])="Flat",_xlfn.xlookup('Bulk Order Details'!S211,RightSleeve[Display],RightSleeve[Flat]),ROUND(_xlfn.xlookup('Bulk Order Details'!S211,RightSleeve[Display],RightSleeve[Pct])*$E201,2))),"")</f>
        <v/>
      </c>
      <c r="Q201" s="214" t="str">
        <f aca="false">IF('Bulk Order Details'!J211="","",SUM(F201:P201))</f>
        <v/>
      </c>
      <c r="R201" s="213" t="str">
        <f aca="false">IFERROR(E201-D201,"")</f>
        <v/>
      </c>
      <c r="S201" s="215" t="str">
        <f aca="false">IFERROR(MIN(IF(Summary!$D$11="Yes",-J201,0),IF(H201&gt;0,-J201,0)),"")</f>
        <v/>
      </c>
      <c r="T201" s="212" t="str">
        <f aca="false">IFERROR(IF(Summary!$D$10="Yes",-K201,""),"")</f>
        <v/>
      </c>
      <c r="U201" s="213" t="str">
        <f aca="false">IFERROR(IF(Summary!$D$12="Yes",-L201,""),"")</f>
        <v/>
      </c>
      <c r="V201" s="216" t="str">
        <f aca="false">IF('Bulk Order Details'!J211="","",SUM(R201:U201))</f>
        <v/>
      </c>
      <c r="W201" s="217" t="str">
        <f aca="false">IF('Bulk Order Details'!J211="","",D201+Q201)</f>
        <v/>
      </c>
      <c r="X201" s="218" t="str">
        <f aca="false">IF('Bulk Order Details'!J211="","",D201+Q201+V201)</f>
        <v/>
      </c>
      <c r="Y201" s="219" t="str">
        <f aca="false">IFERROR((W201-X201)/W201,"")</f>
        <v/>
      </c>
      <c r="Z201" s="220" t="str">
        <f aca="false">IF('Bulk Order Details'!J211="","",MAX(1,'Bulk Order Details'!D211))</f>
        <v/>
      </c>
      <c r="AA201" s="217" t="str">
        <f aca="false">IF(Pricing_Details[[#This Row],[Quantity]]="","",Pricing_Details[[#This Row],[Retail Price]]*Pricing_Details[[#This Row],[Quantity]])</f>
        <v/>
      </c>
      <c r="AB201" s="217" t="str">
        <f aca="false">IF(Pricing_Details[[#This Row],[Quantity]]="","",Pricing_Details[[#This Row],[Total Discount]]*Pricing_Details[[#This Row],[Quantity]])</f>
        <v/>
      </c>
      <c r="AC201" s="221" t="str">
        <f aca="false">IFERROR(ROUND(Pricing_Details[[#This Row],[Actual Price]]*Pricing_Details[[#This Row],[Quantity]],2),"")</f>
        <v/>
      </c>
      <c r="AE201" s="179" t="str">
        <f aca="false">IF('Bulk Order Details'!J211="","",VLOOKUP('Bulk Order Details'!H211,Collection[],3)&amp;VLOOKUP('Bulk Order Details'!J211,Collar[],4)&amp;VLOOKUP('Bulk Order Details'!I211,Sleeve[],4))</f>
        <v/>
      </c>
      <c r="AF201" s="179" t="str">
        <f aca="false">IF('Bulk Order Details'!J211="","",LOOKUP('Bulk Order Details'!E211,Cut[Display],Cut[Code])&amp;LOOKUP('Bulk Order Details'!F211,#REF!,#REF!)&amp;IF('Bulk Order Details'!G211="","",LOOKUP('Bulk Order Details'!G211,Length[Display],Length[Code])))</f>
        <v/>
      </c>
      <c r="AG201" s="179" t="str">
        <f aca="false">IF('Bulk Order Details'!J211="","",IF('Bulk Order Details'!C211="","",'Bulk Order Details'!C211))</f>
        <v/>
      </c>
      <c r="AH201" s="179" t="str">
        <f aca="false">IF('Bulk Order Details'!O211="","","-"&amp;LOOKUP('Bulk Order Details'!O211,#REF!,#REF!))</f>
        <v/>
      </c>
      <c r="AI201" s="179" t="str">
        <f aca="false">IF('Bulk Order Details'!P211="","","-"&amp;LOOKUP('Bulk Order Details'!P211,#REF!,#REF!))</f>
        <v/>
      </c>
      <c r="AJ201" s="179" t="str">
        <f aca="false">IF('Bulk Order Details'!Q211="","","-"&amp;LOOKUP('Bulk Order Details'!Q211,#REF!,#REF!))</f>
        <v/>
      </c>
      <c r="AK201" s="179" t="str">
        <f aca="false">IF('Bulk Order Details'!R211="","","-"&amp;LOOKUP('Bulk Order Details'!R211,#REF!,#REF!))</f>
        <v/>
      </c>
      <c r="AL201" s="179" t="str">
        <f aca="false">IF('Bulk Order Details'!S211="","","-"&amp;LOOKUP('Bulk Order Details'!S211,#REF!,#REF!))</f>
        <v/>
      </c>
      <c r="AM201" s="179" t="str">
        <f aca="false">IF(_xlfn.CONCAT(AH201:AL201)="","","Lo"&amp;_xlfn.CONCAT(AH201:AL201))</f>
        <v/>
      </c>
      <c r="AN201" s="179" t="str">
        <f aca="false">IF('Bulk Order Details'!K211="","","Na-"&amp;'Bulk Order Details'!K211)</f>
        <v/>
      </c>
      <c r="AO201" s="179" t="str">
        <f aca="false">IF('Bulk Order Details'!N211="","","Fo-"&amp;'Bulk Order Details'!N211)</f>
        <v/>
      </c>
      <c r="AP201" s="179" t="str">
        <f aca="false">IF(AE201="","",AE201&amp;"_"&amp;AF201&amp;"_"&amp;AG201&amp;IF(AM201="","","_"&amp;AM201)&amp;IF(AN201="","","_"&amp;AN201)&amp;IF(AO201="","","_"&amp;AO201))</f>
        <v/>
      </c>
      <c r="AQ201" s="218" t="str">
        <f aca="false">IF(X201="","",X201)</f>
        <v/>
      </c>
    </row>
    <row r="202" customFormat="false" ht="15" hidden="false" customHeight="true" outlineLevel="0" collapsed="false">
      <c r="B202" s="209" t="n">
        <f aca="false">'Bulk Order Details'!B212</f>
        <v>199</v>
      </c>
      <c r="C202" s="209" t="e">
        <f aca="false">IF('bulk order details'!#ref!="","",'bulk order details'!#ref!&amp;" "&amp;'bulk order details'!#ref!)</f>
        <v>#VALUE!</v>
      </c>
      <c r="D202" s="210" t="str">
        <f aca="false">IF('Bulk Order Details'!J212="","",VLOOKUP(1,Price[],3))</f>
        <v/>
      </c>
      <c r="E202" s="211" t="str">
        <f aca="false">IF('Bulk Order Details'!J212="","",Summary!$D$9)</f>
        <v/>
      </c>
      <c r="F202" s="212" t="str">
        <f aca="false">IF('Bulk Order Details'!F212="","",_xlfn.xlookup('Bulk Order Details'!F212,Size[Display],Size[Price]))</f>
        <v/>
      </c>
      <c r="G202" s="212" t="str">
        <f aca="false">IF('Bulk Order Details'!G212="","",_xlfn.xlookup('Bulk Order Details'!G212,Length[Display],Length[Price]))</f>
        <v/>
      </c>
      <c r="H202" s="212" t="str">
        <f aca="false">IF('Bulk Order Details'!H212="","",_xlfn.xlookup('Bulk Order Details'!H212,Collection[Display],Collection[Price]))</f>
        <v/>
      </c>
      <c r="I202" s="212" t="str">
        <f aca="false">IF('Bulk Order Details'!I212="","",_xlfn.xlookup('Bulk Order Details'!I212,Sleeve[Display],Sleeve[Price]))</f>
        <v/>
      </c>
      <c r="J202" s="212" t="str">
        <f aca="false">IF('Bulk Order Details'!J212="","",_xlfn.xlookup('Bulk Order Details'!J212,Collar[Display],Collar[Price]))</f>
        <v/>
      </c>
      <c r="K202" s="212" t="str">
        <f aca="false">IF('Bulk Order Details'!K212="","",_xlfn.xlookup("Name",Name[Name],Name[Price]))</f>
        <v/>
      </c>
      <c r="L202" s="213" t="str">
        <f aca="false">IFERROR(IF('Bulk Order Details'!O212="","",IF(_xlfn.xlookup('Bulk Order Details'!O212,Logos[Display],Logos[Use])="Flat",_xlfn.xlookup('Bulk Order Details'!O212,Logos[Display],Logos[Flat]),ROUND(_xlfn.xlookup('Bulk Order Details'!O212,Logos[Display],Logos[Pct])*$E202,2))),"")</f>
        <v/>
      </c>
      <c r="M202" s="222" t="str">
        <f aca="false">IFERROR(IF('Bulk Order Details'!P212="","",IF(_xlfn.xlookup('Bulk Order Details'!P212,Chest[Display],Chest[Use])="Flat",_xlfn.xlookup('Bulk Order Details'!P212,Chest[Display],Chest[Flat]),ROUND(_xlfn.xlookup('Bulk Order Details'!P212,Chest[Display],Chest[Pct])*$E202,2))),"")</f>
        <v/>
      </c>
      <c r="N202" s="222" t="str">
        <f aca="false">IFERROR(IF('Bulk Order Details'!Q212="","",IF(_xlfn.xlookup('Bulk Order Details'!Q212,Chest[Display],Chest[Use])="Flat",_xlfn.xlookup('Bulk Order Details'!Q212,Chest[Display],Chest[Flat]),ROUND(_xlfn.xlookup('Bulk Order Details'!Q212,Chest[Display],Chest[Pct])*$E202,2))),"")</f>
        <v/>
      </c>
      <c r="O202" s="222" t="str">
        <f aca="false">IFERROR(IF('Bulk Order Details'!R212="","",IF(_xlfn.xlookup('Bulk Order Details'!R212,LeftSleeve[Display],LeftSleeve[Use])="Flat",_xlfn.xlookup('Bulk Order Details'!R212,LeftSleeve[Display],LeftSleeve[Flat]),ROUND(_xlfn.xlookup('Bulk Order Details'!R212,LeftSleeve[Display],LeftSleeve[Pct])*$E202,2))),"")</f>
        <v/>
      </c>
      <c r="P202" s="222" t="str">
        <f aca="false">IFERROR(IF('Bulk Order Details'!S212="","",IF(_xlfn.xlookup('Bulk Order Details'!S212,RightSleeve[Display],RightSleeve[Use])="Flat",_xlfn.xlookup('Bulk Order Details'!S212,RightSleeve[Display],RightSleeve[Flat]),ROUND(_xlfn.xlookup('Bulk Order Details'!S212,RightSleeve[Display],RightSleeve[Pct])*$E202,2))),"")</f>
        <v/>
      </c>
      <c r="Q202" s="214" t="str">
        <f aca="false">IF('Bulk Order Details'!J212="","",SUM(F202:P202))</f>
        <v/>
      </c>
      <c r="R202" s="213" t="str">
        <f aca="false">IFERROR(E202-D202,"")</f>
        <v/>
      </c>
      <c r="S202" s="215" t="str">
        <f aca="false">IFERROR(MIN(IF(Summary!$D$11="Yes",-J202,0),IF(H202&gt;0,-J202,0)),"")</f>
        <v/>
      </c>
      <c r="T202" s="212" t="str">
        <f aca="false">IFERROR(IF(Summary!$D$10="Yes",-K202,""),"")</f>
        <v/>
      </c>
      <c r="U202" s="213" t="str">
        <f aca="false">IFERROR(IF(Summary!$D$12="Yes",-L202,""),"")</f>
        <v/>
      </c>
      <c r="V202" s="216" t="str">
        <f aca="false">IF('Bulk Order Details'!J212="","",SUM(R202:U202))</f>
        <v/>
      </c>
      <c r="W202" s="217" t="str">
        <f aca="false">IF('Bulk Order Details'!J212="","",D202+Q202)</f>
        <v/>
      </c>
      <c r="X202" s="218" t="str">
        <f aca="false">IF('Bulk Order Details'!J212="","",D202+Q202+V202)</f>
        <v/>
      </c>
      <c r="Y202" s="219" t="str">
        <f aca="false">IFERROR((W202-X202)/W202,"")</f>
        <v/>
      </c>
      <c r="Z202" s="220" t="str">
        <f aca="false">IF('Bulk Order Details'!J212="","",MAX(1,'Bulk Order Details'!D212))</f>
        <v/>
      </c>
      <c r="AA202" s="217" t="str">
        <f aca="false">IF(Pricing_Details[[#This Row],[Quantity]]="","",Pricing_Details[[#This Row],[Retail Price]]*Pricing_Details[[#This Row],[Quantity]])</f>
        <v/>
      </c>
      <c r="AB202" s="217" t="str">
        <f aca="false">IF(Pricing_Details[[#This Row],[Quantity]]="","",Pricing_Details[[#This Row],[Total Discount]]*Pricing_Details[[#This Row],[Quantity]])</f>
        <v/>
      </c>
      <c r="AC202" s="221" t="str">
        <f aca="false">IFERROR(ROUND(Pricing_Details[[#This Row],[Actual Price]]*Pricing_Details[[#This Row],[Quantity]],2),"")</f>
        <v/>
      </c>
      <c r="AE202" s="179" t="str">
        <f aca="false">IF('Bulk Order Details'!J212="","",VLOOKUP('Bulk Order Details'!H212,Collection[],3)&amp;VLOOKUP('Bulk Order Details'!J212,Collar[],4)&amp;VLOOKUP('Bulk Order Details'!I212,Sleeve[],4))</f>
        <v/>
      </c>
      <c r="AF202" s="179" t="str">
        <f aca="false">IF('Bulk Order Details'!J212="","",LOOKUP('Bulk Order Details'!E212,Cut[Display],Cut[Code])&amp;LOOKUP('Bulk Order Details'!F212,#REF!,#REF!)&amp;IF('Bulk Order Details'!G212="","",LOOKUP('Bulk Order Details'!G212,Length[Display],Length[Code])))</f>
        <v/>
      </c>
      <c r="AG202" s="179" t="str">
        <f aca="false">IF('Bulk Order Details'!J212="","",IF('Bulk Order Details'!C212="","",'Bulk Order Details'!C212))</f>
        <v/>
      </c>
      <c r="AH202" s="179" t="str">
        <f aca="false">IF('Bulk Order Details'!O212="","","-"&amp;LOOKUP('Bulk Order Details'!O212,#REF!,#REF!))</f>
        <v/>
      </c>
      <c r="AI202" s="179" t="str">
        <f aca="false">IF('Bulk Order Details'!P212="","","-"&amp;LOOKUP('Bulk Order Details'!P212,#REF!,#REF!))</f>
        <v/>
      </c>
      <c r="AJ202" s="179" t="str">
        <f aca="false">IF('Bulk Order Details'!Q212="","","-"&amp;LOOKUP('Bulk Order Details'!Q212,#REF!,#REF!))</f>
        <v/>
      </c>
      <c r="AK202" s="179" t="str">
        <f aca="false">IF('Bulk Order Details'!R212="","","-"&amp;LOOKUP('Bulk Order Details'!R212,#REF!,#REF!))</f>
        <v/>
      </c>
      <c r="AL202" s="179" t="str">
        <f aca="false">IF('Bulk Order Details'!S212="","","-"&amp;LOOKUP('Bulk Order Details'!S212,#REF!,#REF!))</f>
        <v/>
      </c>
      <c r="AM202" s="179" t="str">
        <f aca="false">IF(_xlfn.CONCAT(AH202:AL202)="","","Lo"&amp;_xlfn.CONCAT(AH202:AL202))</f>
        <v/>
      </c>
      <c r="AN202" s="179" t="str">
        <f aca="false">IF('Bulk Order Details'!K212="","","Na-"&amp;'Bulk Order Details'!K212)</f>
        <v/>
      </c>
      <c r="AO202" s="179" t="str">
        <f aca="false">IF('Bulk Order Details'!N212="","","Fo-"&amp;'Bulk Order Details'!N212)</f>
        <v/>
      </c>
      <c r="AP202" s="179" t="str">
        <f aca="false">IF(AE202="","",AE202&amp;"_"&amp;AF202&amp;"_"&amp;AG202&amp;IF(AM202="","","_"&amp;AM202)&amp;IF(AN202="","","_"&amp;AN202)&amp;IF(AO202="","","_"&amp;AO202))</f>
        <v/>
      </c>
      <c r="AQ202" s="218" t="str">
        <f aca="false">IF(X202="","",X202)</f>
        <v/>
      </c>
    </row>
    <row r="203" customFormat="false" ht="15" hidden="false" customHeight="true" outlineLevel="0" collapsed="false">
      <c r="B203" s="209" t="n">
        <f aca="false">'Bulk Order Details'!B213</f>
        <v>200</v>
      </c>
      <c r="C203" s="209" t="e">
        <f aca="false">IF('bulk order details'!#ref!="","",'bulk order details'!#ref!&amp;" "&amp;'bulk order details'!#ref!)</f>
        <v>#VALUE!</v>
      </c>
      <c r="D203" s="210" t="str">
        <f aca="false">IF('Bulk Order Details'!J213="","",VLOOKUP(1,Price[],3))</f>
        <v/>
      </c>
      <c r="E203" s="211" t="str">
        <f aca="false">IF('Bulk Order Details'!J213="","",Summary!$D$9)</f>
        <v/>
      </c>
      <c r="F203" s="212" t="str">
        <f aca="false">IF('Bulk Order Details'!F213="","",_xlfn.xlookup('Bulk Order Details'!F213,Size[Display],Size[Price]))</f>
        <v/>
      </c>
      <c r="G203" s="212" t="str">
        <f aca="false">IF('Bulk Order Details'!G213="","",_xlfn.xlookup('Bulk Order Details'!G213,Length[Display],Length[Price]))</f>
        <v/>
      </c>
      <c r="H203" s="212" t="str">
        <f aca="false">IF('Bulk Order Details'!H213="","",_xlfn.xlookup('Bulk Order Details'!H213,Collection[Display],Collection[Price]))</f>
        <v/>
      </c>
      <c r="I203" s="212" t="str">
        <f aca="false">IF('Bulk Order Details'!I213="","",_xlfn.xlookup('Bulk Order Details'!I213,Sleeve[Display],Sleeve[Price]))</f>
        <v/>
      </c>
      <c r="J203" s="212" t="str">
        <f aca="false">IF('Bulk Order Details'!J213="","",_xlfn.xlookup('Bulk Order Details'!J213,Collar[Display],Collar[Price]))</f>
        <v/>
      </c>
      <c r="K203" s="212" t="str">
        <f aca="false">IF('Bulk Order Details'!K213="","",_xlfn.xlookup("Name",Name[Name],Name[Price]))</f>
        <v/>
      </c>
      <c r="L203" s="213" t="str">
        <f aca="false">IFERROR(IF('Bulk Order Details'!O213="","",IF(_xlfn.xlookup('Bulk Order Details'!O213,Logos[Display],Logos[Use])="Flat",_xlfn.xlookup('Bulk Order Details'!O213,Logos[Display],Logos[Flat]),ROUND(_xlfn.xlookup('Bulk Order Details'!O213,Logos[Display],Logos[Pct])*$E203,2))),"")</f>
        <v/>
      </c>
      <c r="M203" s="222" t="str">
        <f aca="false">IFERROR(IF('Bulk Order Details'!P213="","",IF(_xlfn.xlookup('Bulk Order Details'!P213,Chest[Display],Chest[Use])="Flat",_xlfn.xlookup('Bulk Order Details'!P213,Chest[Display],Chest[Flat]),ROUND(_xlfn.xlookup('Bulk Order Details'!P213,Chest[Display],Chest[Pct])*$E203,2))),"")</f>
        <v/>
      </c>
      <c r="N203" s="222" t="str">
        <f aca="false">IFERROR(IF('Bulk Order Details'!Q213="","",IF(_xlfn.xlookup('Bulk Order Details'!Q213,Chest[Display],Chest[Use])="Flat",_xlfn.xlookup('Bulk Order Details'!Q213,Chest[Display],Chest[Flat]),ROUND(_xlfn.xlookup('Bulk Order Details'!Q213,Chest[Display],Chest[Pct])*$E203,2))),"")</f>
        <v/>
      </c>
      <c r="O203" s="222" t="str">
        <f aca="false">IFERROR(IF('Bulk Order Details'!R213="","",IF(_xlfn.xlookup('Bulk Order Details'!R213,LeftSleeve[Display],LeftSleeve[Use])="Flat",_xlfn.xlookup('Bulk Order Details'!R213,LeftSleeve[Display],LeftSleeve[Flat]),ROUND(_xlfn.xlookup('Bulk Order Details'!R213,LeftSleeve[Display],LeftSleeve[Pct])*$E203,2))),"")</f>
        <v/>
      </c>
      <c r="P203" s="222" t="str">
        <f aca="false">IFERROR(IF('Bulk Order Details'!S213="","",IF(_xlfn.xlookup('Bulk Order Details'!S213,RightSleeve[Display],RightSleeve[Use])="Flat",_xlfn.xlookup('Bulk Order Details'!S213,RightSleeve[Display],RightSleeve[Flat]),ROUND(_xlfn.xlookup('Bulk Order Details'!S213,RightSleeve[Display],RightSleeve[Pct])*$E203,2))),"")</f>
        <v/>
      </c>
      <c r="Q203" s="214" t="str">
        <f aca="false">IF('Bulk Order Details'!J213="","",SUM(F203:P203))</f>
        <v/>
      </c>
      <c r="R203" s="213" t="str">
        <f aca="false">IFERROR(E203-D203,"")</f>
        <v/>
      </c>
      <c r="S203" s="215" t="str">
        <f aca="false">IFERROR(MIN(IF(Summary!$D$11="Yes",-J203,0),IF(H203&gt;0,-J203,0)),"")</f>
        <v/>
      </c>
      <c r="T203" s="212" t="str">
        <f aca="false">IFERROR(IF(Summary!$D$10="Yes",-K203,""),"")</f>
        <v/>
      </c>
      <c r="U203" s="213" t="str">
        <f aca="false">IFERROR(IF(Summary!$D$12="Yes",-L203,""),"")</f>
        <v/>
      </c>
      <c r="V203" s="216" t="str">
        <f aca="false">IF('Bulk Order Details'!J213="","",SUM(R203:U203))</f>
        <v/>
      </c>
      <c r="W203" s="217" t="str">
        <f aca="false">IF('Bulk Order Details'!J213="","",D203+Q203)</f>
        <v/>
      </c>
      <c r="X203" s="218" t="str">
        <f aca="false">IF('Bulk Order Details'!J213="","",D203+Q203+V203)</f>
        <v/>
      </c>
      <c r="Y203" s="219" t="str">
        <f aca="false">IFERROR((W203-X203)/W203,"")</f>
        <v/>
      </c>
      <c r="Z203" s="220" t="str">
        <f aca="false">IF('Bulk Order Details'!J213="","",MAX(1,'Bulk Order Details'!D213))</f>
        <v/>
      </c>
      <c r="AA203" s="217" t="str">
        <f aca="false">IF(Pricing_Details[[#This Row],[Quantity]]="","",Pricing_Details[[#This Row],[Retail Price]]*Pricing_Details[[#This Row],[Quantity]])</f>
        <v/>
      </c>
      <c r="AB203" s="217" t="str">
        <f aca="false">IF(Pricing_Details[[#This Row],[Quantity]]="","",Pricing_Details[[#This Row],[Total Discount]]*Pricing_Details[[#This Row],[Quantity]])</f>
        <v/>
      </c>
      <c r="AC203" s="221" t="str">
        <f aca="false">IFERROR(ROUND(Pricing_Details[[#This Row],[Actual Price]]*Pricing_Details[[#This Row],[Quantity]],2),"")</f>
        <v/>
      </c>
      <c r="AE203" s="179" t="str">
        <f aca="false">IF('Bulk Order Details'!J213="","",VLOOKUP('Bulk Order Details'!H213,Collection[],3)&amp;VLOOKUP('Bulk Order Details'!J213,Collar[],4)&amp;VLOOKUP('Bulk Order Details'!I213,Sleeve[],4))</f>
        <v/>
      </c>
      <c r="AF203" s="179" t="str">
        <f aca="false">IF('Bulk Order Details'!J213="","",LOOKUP('Bulk Order Details'!E213,Cut[Display],Cut[Code])&amp;LOOKUP('Bulk Order Details'!F213,#REF!,#REF!)&amp;IF('Bulk Order Details'!G213="","",LOOKUP('Bulk Order Details'!G213,Length[Display],Length[Code])))</f>
        <v/>
      </c>
      <c r="AG203" s="179" t="str">
        <f aca="false">IF('Bulk Order Details'!J213="","",IF('Bulk Order Details'!C213="","",'Bulk Order Details'!C213))</f>
        <v/>
      </c>
      <c r="AH203" s="179" t="str">
        <f aca="false">IF('Bulk Order Details'!O213="","","-"&amp;LOOKUP('Bulk Order Details'!O213,#REF!,#REF!))</f>
        <v/>
      </c>
      <c r="AI203" s="179" t="str">
        <f aca="false">IF('Bulk Order Details'!P213="","","-"&amp;LOOKUP('Bulk Order Details'!P213,#REF!,#REF!))</f>
        <v/>
      </c>
      <c r="AJ203" s="179" t="str">
        <f aca="false">IF('Bulk Order Details'!Q213="","","-"&amp;LOOKUP('Bulk Order Details'!Q213,#REF!,#REF!))</f>
        <v/>
      </c>
      <c r="AK203" s="179" t="str">
        <f aca="false">IF('Bulk Order Details'!R213="","","-"&amp;LOOKUP('Bulk Order Details'!R213,#REF!,#REF!))</f>
        <v/>
      </c>
      <c r="AL203" s="179" t="str">
        <f aca="false">IF('Bulk Order Details'!S213="","","-"&amp;LOOKUP('Bulk Order Details'!S213,#REF!,#REF!))</f>
        <v/>
      </c>
      <c r="AM203" s="179" t="str">
        <f aca="false">IF(_xlfn.CONCAT(AH203:AL203)="","","Lo"&amp;_xlfn.CONCAT(AH203:AL203))</f>
        <v/>
      </c>
      <c r="AN203" s="179" t="str">
        <f aca="false">IF('Bulk Order Details'!K213="","","Na-"&amp;'Bulk Order Details'!K213)</f>
        <v/>
      </c>
      <c r="AO203" s="179" t="str">
        <f aca="false">IF('Bulk Order Details'!N213="","","Fo-"&amp;'Bulk Order Details'!N213)</f>
        <v/>
      </c>
      <c r="AP203" s="179" t="str">
        <f aca="false">IF(AE203="","",AE203&amp;"_"&amp;AF203&amp;"_"&amp;AG203&amp;IF(AM203="","","_"&amp;AM203)&amp;IF(AN203="","","_"&amp;AN203)&amp;IF(AO203="","","_"&amp;AO203))</f>
        <v/>
      </c>
      <c r="AQ203" s="218" t="str">
        <f aca="false">IF(X203="","",X203)</f>
        <v/>
      </c>
    </row>
    <row r="204" customFormat="false" ht="15" hidden="false" customHeight="true" outlineLevel="0" collapsed="false">
      <c r="B204" s="209" t="n">
        <f aca="false">'Bulk Order Details'!B214</f>
        <v>201</v>
      </c>
      <c r="C204" s="209" t="e">
        <f aca="false">IF('bulk order details'!#ref!="","",'bulk order details'!#ref!&amp;" "&amp;'bulk order details'!#ref!)</f>
        <v>#VALUE!</v>
      </c>
      <c r="D204" s="210" t="str">
        <f aca="false">IF('Bulk Order Details'!J214="","",VLOOKUP(1,Price[],3))</f>
        <v/>
      </c>
      <c r="E204" s="211" t="str">
        <f aca="false">IF('Bulk Order Details'!J214="","",Summary!$D$9)</f>
        <v/>
      </c>
      <c r="F204" s="212" t="str">
        <f aca="false">IF('Bulk Order Details'!F214="","",_xlfn.xlookup('Bulk Order Details'!F214,Size[Display],Size[Price]))</f>
        <v/>
      </c>
      <c r="G204" s="212" t="str">
        <f aca="false">IF('Bulk Order Details'!G214="","",_xlfn.xlookup('Bulk Order Details'!G214,Length[Display],Length[Price]))</f>
        <v/>
      </c>
      <c r="H204" s="212" t="str">
        <f aca="false">IF('Bulk Order Details'!H214="","",_xlfn.xlookup('Bulk Order Details'!H214,Collection[Display],Collection[Price]))</f>
        <v/>
      </c>
      <c r="I204" s="212" t="str">
        <f aca="false">IF('Bulk Order Details'!I214="","",_xlfn.xlookup('Bulk Order Details'!I214,Sleeve[Display],Sleeve[Price]))</f>
        <v/>
      </c>
      <c r="J204" s="212" t="str">
        <f aca="false">IF('Bulk Order Details'!J214="","",_xlfn.xlookup('Bulk Order Details'!J214,Collar[Display],Collar[Price]))</f>
        <v/>
      </c>
      <c r="K204" s="212" t="str">
        <f aca="false">IF('Bulk Order Details'!K214="","",_xlfn.xlookup("Name",Name[Name],Name[Price]))</f>
        <v/>
      </c>
      <c r="L204" s="213" t="str">
        <f aca="false">IFERROR(IF('Bulk Order Details'!O214="","",IF(_xlfn.xlookup('Bulk Order Details'!O214,Logos[Display],Logos[Use])="Flat",_xlfn.xlookup('Bulk Order Details'!O214,Logos[Display],Logos[Flat]),ROUND(_xlfn.xlookup('Bulk Order Details'!O214,Logos[Display],Logos[Pct])*$E204,2))),"")</f>
        <v/>
      </c>
      <c r="M204" s="222" t="str">
        <f aca="false">IFERROR(IF('Bulk Order Details'!P214="","",IF(_xlfn.xlookup('Bulk Order Details'!P214,Chest[Display],Chest[Use])="Flat",_xlfn.xlookup('Bulk Order Details'!P214,Chest[Display],Chest[Flat]),ROUND(_xlfn.xlookup('Bulk Order Details'!P214,Chest[Display],Chest[Pct])*$E204,2))),"")</f>
        <v/>
      </c>
      <c r="N204" s="222" t="str">
        <f aca="false">IFERROR(IF('Bulk Order Details'!Q214="","",IF(_xlfn.xlookup('Bulk Order Details'!Q214,Chest[Display],Chest[Use])="Flat",_xlfn.xlookup('Bulk Order Details'!Q214,Chest[Display],Chest[Flat]),ROUND(_xlfn.xlookup('Bulk Order Details'!Q214,Chest[Display],Chest[Pct])*$E204,2))),"")</f>
        <v/>
      </c>
      <c r="O204" s="222" t="str">
        <f aca="false">IFERROR(IF('Bulk Order Details'!R214="","",IF(_xlfn.xlookup('Bulk Order Details'!R214,LeftSleeve[Display],LeftSleeve[Use])="Flat",_xlfn.xlookup('Bulk Order Details'!R214,LeftSleeve[Display],LeftSleeve[Flat]),ROUND(_xlfn.xlookup('Bulk Order Details'!R214,LeftSleeve[Display],LeftSleeve[Pct])*$E204,2))),"")</f>
        <v/>
      </c>
      <c r="P204" s="222" t="str">
        <f aca="false">IFERROR(IF('Bulk Order Details'!S214="","",IF(_xlfn.xlookup('Bulk Order Details'!S214,RightSleeve[Display],RightSleeve[Use])="Flat",_xlfn.xlookup('Bulk Order Details'!S214,RightSleeve[Display],RightSleeve[Flat]),ROUND(_xlfn.xlookup('Bulk Order Details'!S214,RightSleeve[Display],RightSleeve[Pct])*$E204,2))),"")</f>
        <v/>
      </c>
      <c r="Q204" s="214" t="str">
        <f aca="false">IF('Bulk Order Details'!J214="","",SUM(F204:P204))</f>
        <v/>
      </c>
      <c r="R204" s="213" t="str">
        <f aca="false">IFERROR(E204-D204,"")</f>
        <v/>
      </c>
      <c r="S204" s="215" t="str">
        <f aca="false">IFERROR(MIN(IF(Summary!$D$11="Yes",-J204,0),IF(H204&gt;0,-J204,0)),"")</f>
        <v/>
      </c>
      <c r="T204" s="212" t="str">
        <f aca="false">IFERROR(IF(Summary!$D$10="Yes",-K204,""),"")</f>
        <v/>
      </c>
      <c r="U204" s="213" t="str">
        <f aca="false">IFERROR(IF(Summary!$D$12="Yes",-L204,""),"")</f>
        <v/>
      </c>
      <c r="V204" s="216" t="str">
        <f aca="false">IF('Bulk Order Details'!J214="","",SUM(R204:U204))</f>
        <v/>
      </c>
      <c r="W204" s="217" t="str">
        <f aca="false">IF('Bulk Order Details'!J214="","",D204+Q204)</f>
        <v/>
      </c>
      <c r="X204" s="218" t="str">
        <f aca="false">IF('Bulk Order Details'!J214="","",D204+Q204+V204)</f>
        <v/>
      </c>
      <c r="Y204" s="219" t="str">
        <f aca="false">IFERROR((W204-X204)/W204,"")</f>
        <v/>
      </c>
      <c r="Z204" s="220" t="str">
        <f aca="false">IF('Bulk Order Details'!J214="","",MAX(1,'Bulk Order Details'!D214))</f>
        <v/>
      </c>
      <c r="AA204" s="217" t="str">
        <f aca="false">IF(Pricing_Details[[#This Row],[Quantity]]="","",Pricing_Details[[#This Row],[Retail Price]]*Pricing_Details[[#This Row],[Quantity]])</f>
        <v/>
      </c>
      <c r="AB204" s="217" t="str">
        <f aca="false">IF(Pricing_Details[[#This Row],[Quantity]]="","",Pricing_Details[[#This Row],[Total Discount]]*Pricing_Details[[#This Row],[Quantity]])</f>
        <v/>
      </c>
      <c r="AC204" s="221" t="str">
        <f aca="false">IFERROR(ROUND(Pricing_Details[[#This Row],[Actual Price]]*Pricing_Details[[#This Row],[Quantity]],2),"")</f>
        <v/>
      </c>
      <c r="AE204" s="179" t="str">
        <f aca="false">IF('Bulk Order Details'!J214="","",VLOOKUP('Bulk Order Details'!H214,Collection[],3)&amp;VLOOKUP('Bulk Order Details'!J214,Collar[],4)&amp;VLOOKUP('Bulk Order Details'!I214,Sleeve[],4))</f>
        <v/>
      </c>
      <c r="AF204" s="179" t="str">
        <f aca="false">IF('Bulk Order Details'!J214="","",LOOKUP('Bulk Order Details'!E214,Cut[Display],Cut[Code])&amp;LOOKUP('Bulk Order Details'!F214,#REF!,#REF!)&amp;IF('Bulk Order Details'!G214="","",LOOKUP('Bulk Order Details'!G214,Length[Display],Length[Code])))</f>
        <v/>
      </c>
      <c r="AG204" s="179" t="str">
        <f aca="false">IF('Bulk Order Details'!J214="","",IF('Bulk Order Details'!C214="","",'Bulk Order Details'!C214))</f>
        <v/>
      </c>
      <c r="AH204" s="179" t="str">
        <f aca="false">IF('Bulk Order Details'!O214="","","-"&amp;LOOKUP('Bulk Order Details'!O214,#REF!,#REF!))</f>
        <v/>
      </c>
      <c r="AI204" s="179" t="str">
        <f aca="false">IF('Bulk Order Details'!P214="","","-"&amp;LOOKUP('Bulk Order Details'!P214,#REF!,#REF!))</f>
        <v/>
      </c>
      <c r="AJ204" s="179" t="str">
        <f aca="false">IF('Bulk Order Details'!Q214="","","-"&amp;LOOKUP('Bulk Order Details'!Q214,#REF!,#REF!))</f>
        <v/>
      </c>
      <c r="AK204" s="179" t="str">
        <f aca="false">IF('Bulk Order Details'!R214="","","-"&amp;LOOKUP('Bulk Order Details'!R214,#REF!,#REF!))</f>
        <v/>
      </c>
      <c r="AL204" s="179" t="str">
        <f aca="false">IF('Bulk Order Details'!S214="","","-"&amp;LOOKUP('Bulk Order Details'!S214,#REF!,#REF!))</f>
        <v/>
      </c>
      <c r="AM204" s="179" t="str">
        <f aca="false">IF(_xlfn.CONCAT(AH204:AL204)="","","Lo"&amp;_xlfn.CONCAT(AH204:AL204))</f>
        <v/>
      </c>
      <c r="AN204" s="179" t="str">
        <f aca="false">IF('Bulk Order Details'!K214="","","Na-"&amp;'Bulk Order Details'!K214)</f>
        <v/>
      </c>
      <c r="AO204" s="179" t="str">
        <f aca="false">IF('Bulk Order Details'!N214="","","Fo-"&amp;'Bulk Order Details'!N214)</f>
        <v/>
      </c>
      <c r="AP204" s="179" t="str">
        <f aca="false">IF(AE204="","",AE204&amp;"_"&amp;AF204&amp;"_"&amp;AG204&amp;IF(AM204="","","_"&amp;AM204)&amp;IF(AN204="","","_"&amp;AN204)&amp;IF(AO204="","","_"&amp;AO204))</f>
        <v/>
      </c>
      <c r="AQ204" s="218" t="str">
        <f aca="false">IF(X204="","",X204)</f>
        <v/>
      </c>
    </row>
    <row r="205" customFormat="false" ht="15" hidden="false" customHeight="true" outlineLevel="0" collapsed="false">
      <c r="B205" s="209" t="n">
        <f aca="false">'Bulk Order Details'!B215</f>
        <v>202</v>
      </c>
      <c r="C205" s="209" t="e">
        <f aca="false">IF('bulk order details'!#ref!="","",'bulk order details'!#ref!&amp;" "&amp;'bulk order details'!#ref!)</f>
        <v>#VALUE!</v>
      </c>
      <c r="D205" s="210" t="str">
        <f aca="false">IF('Bulk Order Details'!J215="","",VLOOKUP(1,Price[],3))</f>
        <v/>
      </c>
      <c r="E205" s="211" t="str">
        <f aca="false">IF('Bulk Order Details'!J215="","",Summary!$D$9)</f>
        <v/>
      </c>
      <c r="F205" s="212" t="str">
        <f aca="false">IF('Bulk Order Details'!F215="","",_xlfn.xlookup('Bulk Order Details'!F215,Size[Display],Size[Price]))</f>
        <v/>
      </c>
      <c r="G205" s="212" t="str">
        <f aca="false">IF('Bulk Order Details'!G215="","",_xlfn.xlookup('Bulk Order Details'!G215,Length[Display],Length[Price]))</f>
        <v/>
      </c>
      <c r="H205" s="212" t="str">
        <f aca="false">IF('Bulk Order Details'!H215="","",_xlfn.xlookup('Bulk Order Details'!H215,Collection[Display],Collection[Price]))</f>
        <v/>
      </c>
      <c r="I205" s="212" t="str">
        <f aca="false">IF('Bulk Order Details'!I215="","",_xlfn.xlookup('Bulk Order Details'!I215,Sleeve[Display],Sleeve[Price]))</f>
        <v/>
      </c>
      <c r="J205" s="212" t="str">
        <f aca="false">IF('Bulk Order Details'!J215="","",_xlfn.xlookup('Bulk Order Details'!J215,Collar[Display],Collar[Price]))</f>
        <v/>
      </c>
      <c r="K205" s="212" t="str">
        <f aca="false">IF('Bulk Order Details'!K215="","",_xlfn.xlookup("Name",Name[Name],Name[Price]))</f>
        <v/>
      </c>
      <c r="L205" s="213" t="str">
        <f aca="false">IFERROR(IF('Bulk Order Details'!O215="","",IF(_xlfn.xlookup('Bulk Order Details'!O215,Logos[Display],Logos[Use])="Flat",_xlfn.xlookup('Bulk Order Details'!O215,Logos[Display],Logos[Flat]),ROUND(_xlfn.xlookup('Bulk Order Details'!O215,Logos[Display],Logos[Pct])*$E205,2))),"")</f>
        <v/>
      </c>
      <c r="M205" s="222" t="str">
        <f aca="false">IFERROR(IF('Bulk Order Details'!P215="","",IF(_xlfn.xlookup('Bulk Order Details'!P215,Chest[Display],Chest[Use])="Flat",_xlfn.xlookup('Bulk Order Details'!P215,Chest[Display],Chest[Flat]),ROUND(_xlfn.xlookup('Bulk Order Details'!P215,Chest[Display],Chest[Pct])*$E205,2))),"")</f>
        <v/>
      </c>
      <c r="N205" s="222" t="str">
        <f aca="false">IFERROR(IF('Bulk Order Details'!Q215="","",IF(_xlfn.xlookup('Bulk Order Details'!Q215,Chest[Display],Chest[Use])="Flat",_xlfn.xlookup('Bulk Order Details'!Q215,Chest[Display],Chest[Flat]),ROUND(_xlfn.xlookup('Bulk Order Details'!Q215,Chest[Display],Chest[Pct])*$E205,2))),"")</f>
        <v/>
      </c>
      <c r="O205" s="222" t="str">
        <f aca="false">IFERROR(IF('Bulk Order Details'!R215="","",IF(_xlfn.xlookup('Bulk Order Details'!R215,LeftSleeve[Display],LeftSleeve[Use])="Flat",_xlfn.xlookup('Bulk Order Details'!R215,LeftSleeve[Display],LeftSleeve[Flat]),ROUND(_xlfn.xlookup('Bulk Order Details'!R215,LeftSleeve[Display],LeftSleeve[Pct])*$E205,2))),"")</f>
        <v/>
      </c>
      <c r="P205" s="222" t="str">
        <f aca="false">IFERROR(IF('Bulk Order Details'!S215="","",IF(_xlfn.xlookup('Bulk Order Details'!S215,RightSleeve[Display],RightSleeve[Use])="Flat",_xlfn.xlookup('Bulk Order Details'!S215,RightSleeve[Display],RightSleeve[Flat]),ROUND(_xlfn.xlookup('Bulk Order Details'!S215,RightSleeve[Display],RightSleeve[Pct])*$E205,2))),"")</f>
        <v/>
      </c>
      <c r="Q205" s="214" t="str">
        <f aca="false">IF('Bulk Order Details'!J215="","",SUM(F205:P205))</f>
        <v/>
      </c>
      <c r="R205" s="213" t="str">
        <f aca="false">IFERROR(E205-D205,"")</f>
        <v/>
      </c>
      <c r="S205" s="215" t="str">
        <f aca="false">IFERROR(MIN(IF(Summary!$D$11="Yes",-J205,0),IF(H205&gt;0,-J205,0)),"")</f>
        <v/>
      </c>
      <c r="T205" s="212" t="str">
        <f aca="false">IFERROR(IF(Summary!$D$10="Yes",-K205,""),"")</f>
        <v/>
      </c>
      <c r="U205" s="213" t="str">
        <f aca="false">IFERROR(IF(Summary!$D$12="Yes",-L205,""),"")</f>
        <v/>
      </c>
      <c r="V205" s="216" t="str">
        <f aca="false">IF('Bulk Order Details'!J215="","",SUM(R205:U205))</f>
        <v/>
      </c>
      <c r="W205" s="217" t="str">
        <f aca="false">IF('Bulk Order Details'!J215="","",D205+Q205)</f>
        <v/>
      </c>
      <c r="X205" s="218" t="str">
        <f aca="false">IF('Bulk Order Details'!J215="","",D205+Q205+V205)</f>
        <v/>
      </c>
      <c r="Y205" s="219" t="str">
        <f aca="false">IFERROR((W205-X205)/W205,"")</f>
        <v/>
      </c>
      <c r="Z205" s="220" t="str">
        <f aca="false">IF('Bulk Order Details'!J215="","",MAX(1,'Bulk Order Details'!D215))</f>
        <v/>
      </c>
      <c r="AA205" s="217" t="str">
        <f aca="false">IF(Pricing_Details[[#This Row],[Quantity]]="","",Pricing_Details[[#This Row],[Retail Price]]*Pricing_Details[[#This Row],[Quantity]])</f>
        <v/>
      </c>
      <c r="AB205" s="217" t="str">
        <f aca="false">IF(Pricing_Details[[#This Row],[Quantity]]="","",Pricing_Details[[#This Row],[Total Discount]]*Pricing_Details[[#This Row],[Quantity]])</f>
        <v/>
      </c>
      <c r="AC205" s="221" t="str">
        <f aca="false">IFERROR(ROUND(Pricing_Details[[#This Row],[Actual Price]]*Pricing_Details[[#This Row],[Quantity]],2),"")</f>
        <v/>
      </c>
      <c r="AE205" s="179" t="str">
        <f aca="false">IF('Bulk Order Details'!J215="","",VLOOKUP('Bulk Order Details'!H215,Collection[],3)&amp;VLOOKUP('Bulk Order Details'!J215,Collar[],4)&amp;VLOOKUP('Bulk Order Details'!I215,Sleeve[],4))</f>
        <v/>
      </c>
      <c r="AF205" s="179" t="str">
        <f aca="false">IF('Bulk Order Details'!J215="","",LOOKUP('Bulk Order Details'!E215,Cut[Display],Cut[Code])&amp;LOOKUP('Bulk Order Details'!F215,#REF!,#REF!)&amp;IF('Bulk Order Details'!G215="","",LOOKUP('Bulk Order Details'!G215,Length[Display],Length[Code])))</f>
        <v/>
      </c>
      <c r="AG205" s="179" t="str">
        <f aca="false">IF('Bulk Order Details'!J215="","",IF('Bulk Order Details'!C215="","",'Bulk Order Details'!C215))</f>
        <v/>
      </c>
      <c r="AH205" s="179" t="str">
        <f aca="false">IF('Bulk Order Details'!O215="","","-"&amp;LOOKUP('Bulk Order Details'!O215,#REF!,#REF!))</f>
        <v/>
      </c>
      <c r="AI205" s="179" t="str">
        <f aca="false">IF('Bulk Order Details'!P215="","","-"&amp;LOOKUP('Bulk Order Details'!P215,#REF!,#REF!))</f>
        <v/>
      </c>
      <c r="AJ205" s="179" t="str">
        <f aca="false">IF('Bulk Order Details'!Q215="","","-"&amp;LOOKUP('Bulk Order Details'!Q215,#REF!,#REF!))</f>
        <v/>
      </c>
      <c r="AK205" s="179" t="str">
        <f aca="false">IF('Bulk Order Details'!R215="","","-"&amp;LOOKUP('Bulk Order Details'!R215,#REF!,#REF!))</f>
        <v/>
      </c>
      <c r="AL205" s="179" t="str">
        <f aca="false">IF('Bulk Order Details'!S215="","","-"&amp;LOOKUP('Bulk Order Details'!S215,#REF!,#REF!))</f>
        <v/>
      </c>
      <c r="AM205" s="179" t="str">
        <f aca="false">IF(_xlfn.CONCAT(AH205:AL205)="","","Lo"&amp;_xlfn.CONCAT(AH205:AL205))</f>
        <v/>
      </c>
      <c r="AN205" s="179" t="str">
        <f aca="false">IF('Bulk Order Details'!K215="","","Na-"&amp;'Bulk Order Details'!K215)</f>
        <v/>
      </c>
      <c r="AO205" s="179" t="str">
        <f aca="false">IF('Bulk Order Details'!N215="","","Fo-"&amp;'Bulk Order Details'!N215)</f>
        <v/>
      </c>
      <c r="AP205" s="179" t="str">
        <f aca="false">IF(AE205="","",AE205&amp;"_"&amp;AF205&amp;"_"&amp;AG205&amp;IF(AM205="","","_"&amp;AM205)&amp;IF(AN205="","","_"&amp;AN205)&amp;IF(AO205="","","_"&amp;AO205))</f>
        <v/>
      </c>
      <c r="AQ205" s="218" t="str">
        <f aca="false">IF(X205="","",X205)</f>
        <v/>
      </c>
    </row>
    <row r="206" customFormat="false" ht="15" hidden="false" customHeight="true" outlineLevel="0" collapsed="false">
      <c r="B206" s="209" t="n">
        <f aca="false">'Bulk Order Details'!B216</f>
        <v>203</v>
      </c>
      <c r="C206" s="209" t="e">
        <f aca="false">IF('bulk order details'!#ref!="","",'bulk order details'!#ref!&amp;" "&amp;'bulk order details'!#ref!)</f>
        <v>#VALUE!</v>
      </c>
      <c r="D206" s="210" t="str">
        <f aca="false">IF('Bulk Order Details'!J216="","",VLOOKUP(1,Price[],3))</f>
        <v/>
      </c>
      <c r="E206" s="211" t="str">
        <f aca="false">IF('Bulk Order Details'!J216="","",Summary!$D$9)</f>
        <v/>
      </c>
      <c r="F206" s="212" t="str">
        <f aca="false">IF('Bulk Order Details'!F216="","",_xlfn.xlookup('Bulk Order Details'!F216,Size[Display],Size[Price]))</f>
        <v/>
      </c>
      <c r="G206" s="212" t="str">
        <f aca="false">IF('Bulk Order Details'!G216="","",_xlfn.xlookup('Bulk Order Details'!G216,Length[Display],Length[Price]))</f>
        <v/>
      </c>
      <c r="H206" s="212" t="str">
        <f aca="false">IF('Bulk Order Details'!H216="","",_xlfn.xlookup('Bulk Order Details'!H216,Collection[Display],Collection[Price]))</f>
        <v/>
      </c>
      <c r="I206" s="212" t="str">
        <f aca="false">IF('Bulk Order Details'!I216="","",_xlfn.xlookup('Bulk Order Details'!I216,Sleeve[Display],Sleeve[Price]))</f>
        <v/>
      </c>
      <c r="J206" s="212" t="str">
        <f aca="false">IF('Bulk Order Details'!J216="","",_xlfn.xlookup('Bulk Order Details'!J216,Collar[Display],Collar[Price]))</f>
        <v/>
      </c>
      <c r="K206" s="212" t="str">
        <f aca="false">IF('Bulk Order Details'!K216="","",_xlfn.xlookup("Name",Name[Name],Name[Price]))</f>
        <v/>
      </c>
      <c r="L206" s="213" t="str">
        <f aca="false">IFERROR(IF('Bulk Order Details'!O216="","",IF(_xlfn.xlookup('Bulk Order Details'!O216,Logos[Display],Logos[Use])="Flat",_xlfn.xlookup('Bulk Order Details'!O216,Logos[Display],Logos[Flat]),ROUND(_xlfn.xlookup('Bulk Order Details'!O216,Logos[Display],Logos[Pct])*$E206,2))),"")</f>
        <v/>
      </c>
      <c r="M206" s="222" t="str">
        <f aca="false">IFERROR(IF('Bulk Order Details'!P216="","",IF(_xlfn.xlookup('Bulk Order Details'!P216,Chest[Display],Chest[Use])="Flat",_xlfn.xlookup('Bulk Order Details'!P216,Chest[Display],Chest[Flat]),ROUND(_xlfn.xlookup('Bulk Order Details'!P216,Chest[Display],Chest[Pct])*$E206,2))),"")</f>
        <v/>
      </c>
      <c r="N206" s="222" t="str">
        <f aca="false">IFERROR(IF('Bulk Order Details'!Q216="","",IF(_xlfn.xlookup('Bulk Order Details'!Q216,Chest[Display],Chest[Use])="Flat",_xlfn.xlookup('Bulk Order Details'!Q216,Chest[Display],Chest[Flat]),ROUND(_xlfn.xlookup('Bulk Order Details'!Q216,Chest[Display],Chest[Pct])*$E206,2))),"")</f>
        <v/>
      </c>
      <c r="O206" s="222" t="str">
        <f aca="false">IFERROR(IF('Bulk Order Details'!R216="","",IF(_xlfn.xlookup('Bulk Order Details'!R216,LeftSleeve[Display],LeftSleeve[Use])="Flat",_xlfn.xlookup('Bulk Order Details'!R216,LeftSleeve[Display],LeftSleeve[Flat]),ROUND(_xlfn.xlookup('Bulk Order Details'!R216,LeftSleeve[Display],LeftSleeve[Pct])*$E206,2))),"")</f>
        <v/>
      </c>
      <c r="P206" s="222" t="str">
        <f aca="false">IFERROR(IF('Bulk Order Details'!S216="","",IF(_xlfn.xlookup('Bulk Order Details'!S216,RightSleeve[Display],RightSleeve[Use])="Flat",_xlfn.xlookup('Bulk Order Details'!S216,RightSleeve[Display],RightSleeve[Flat]),ROUND(_xlfn.xlookup('Bulk Order Details'!S216,RightSleeve[Display],RightSleeve[Pct])*$E206,2))),"")</f>
        <v/>
      </c>
      <c r="Q206" s="214" t="str">
        <f aca="false">IF('Bulk Order Details'!J216="","",SUM(F206:P206))</f>
        <v/>
      </c>
      <c r="R206" s="213" t="str">
        <f aca="false">IFERROR(E206-D206,"")</f>
        <v/>
      </c>
      <c r="S206" s="215" t="str">
        <f aca="false">IFERROR(MIN(IF(Summary!$D$11="Yes",-J206,0),IF(H206&gt;0,-J206,0)),"")</f>
        <v/>
      </c>
      <c r="T206" s="212" t="str">
        <f aca="false">IFERROR(IF(Summary!$D$10="Yes",-K206,""),"")</f>
        <v/>
      </c>
      <c r="U206" s="213" t="str">
        <f aca="false">IFERROR(IF(Summary!$D$12="Yes",-L206,""),"")</f>
        <v/>
      </c>
      <c r="V206" s="216" t="str">
        <f aca="false">IF('Bulk Order Details'!J216="","",SUM(R206:U206))</f>
        <v/>
      </c>
      <c r="W206" s="217" t="str">
        <f aca="false">IF('Bulk Order Details'!J216="","",D206+Q206)</f>
        <v/>
      </c>
      <c r="X206" s="218" t="str">
        <f aca="false">IF('Bulk Order Details'!J216="","",D206+Q206+V206)</f>
        <v/>
      </c>
      <c r="Y206" s="219" t="str">
        <f aca="false">IFERROR((W206-X206)/W206,"")</f>
        <v/>
      </c>
      <c r="Z206" s="220" t="str">
        <f aca="false">IF('Bulk Order Details'!J216="","",MAX(1,'Bulk Order Details'!D216))</f>
        <v/>
      </c>
      <c r="AA206" s="217" t="str">
        <f aca="false">IF(Pricing_Details[[#This Row],[Quantity]]="","",Pricing_Details[[#This Row],[Retail Price]]*Pricing_Details[[#This Row],[Quantity]])</f>
        <v/>
      </c>
      <c r="AB206" s="217" t="str">
        <f aca="false">IF(Pricing_Details[[#This Row],[Quantity]]="","",Pricing_Details[[#This Row],[Total Discount]]*Pricing_Details[[#This Row],[Quantity]])</f>
        <v/>
      </c>
      <c r="AC206" s="221" t="str">
        <f aca="false">IFERROR(ROUND(Pricing_Details[[#This Row],[Actual Price]]*Pricing_Details[[#This Row],[Quantity]],2),"")</f>
        <v/>
      </c>
      <c r="AE206" s="179" t="str">
        <f aca="false">IF('Bulk Order Details'!J216="","",VLOOKUP('Bulk Order Details'!H216,Collection[],3)&amp;VLOOKUP('Bulk Order Details'!J216,Collar[],4)&amp;VLOOKUP('Bulk Order Details'!I216,Sleeve[],4))</f>
        <v/>
      </c>
      <c r="AF206" s="179" t="str">
        <f aca="false">IF('Bulk Order Details'!J216="","",LOOKUP('Bulk Order Details'!E216,Cut[Display],Cut[Code])&amp;LOOKUP('Bulk Order Details'!F216,#REF!,#REF!)&amp;IF('Bulk Order Details'!G216="","",LOOKUP('Bulk Order Details'!G216,Length[Display],Length[Code])))</f>
        <v/>
      </c>
      <c r="AG206" s="179" t="str">
        <f aca="false">IF('Bulk Order Details'!J216="","",IF('Bulk Order Details'!C216="","",'Bulk Order Details'!C216))</f>
        <v/>
      </c>
      <c r="AH206" s="179" t="str">
        <f aca="false">IF('Bulk Order Details'!O216="","","-"&amp;LOOKUP('Bulk Order Details'!O216,#REF!,#REF!))</f>
        <v/>
      </c>
      <c r="AI206" s="179" t="str">
        <f aca="false">IF('Bulk Order Details'!P216="","","-"&amp;LOOKUP('Bulk Order Details'!P216,#REF!,#REF!))</f>
        <v/>
      </c>
      <c r="AJ206" s="179" t="str">
        <f aca="false">IF('Bulk Order Details'!Q216="","","-"&amp;LOOKUP('Bulk Order Details'!Q216,#REF!,#REF!))</f>
        <v/>
      </c>
      <c r="AK206" s="179" t="str">
        <f aca="false">IF('Bulk Order Details'!R216="","","-"&amp;LOOKUP('Bulk Order Details'!R216,#REF!,#REF!))</f>
        <v/>
      </c>
      <c r="AL206" s="179" t="str">
        <f aca="false">IF('Bulk Order Details'!S216="","","-"&amp;LOOKUP('Bulk Order Details'!S216,#REF!,#REF!))</f>
        <v/>
      </c>
      <c r="AM206" s="179" t="str">
        <f aca="false">IF(_xlfn.CONCAT(AH206:AL206)="","","Lo"&amp;_xlfn.CONCAT(AH206:AL206))</f>
        <v/>
      </c>
      <c r="AN206" s="179" t="str">
        <f aca="false">IF('Bulk Order Details'!K216="","","Na-"&amp;'Bulk Order Details'!K216)</f>
        <v/>
      </c>
      <c r="AO206" s="179" t="str">
        <f aca="false">IF('Bulk Order Details'!N216="","","Fo-"&amp;'Bulk Order Details'!N216)</f>
        <v/>
      </c>
      <c r="AP206" s="179" t="str">
        <f aca="false">IF(AE206="","",AE206&amp;"_"&amp;AF206&amp;"_"&amp;AG206&amp;IF(AM206="","","_"&amp;AM206)&amp;IF(AN206="","","_"&amp;AN206)&amp;IF(AO206="","","_"&amp;AO206))</f>
        <v/>
      </c>
      <c r="AQ206" s="218" t="str">
        <f aca="false">IF(X206="","",X206)</f>
        <v/>
      </c>
    </row>
    <row r="207" customFormat="false" ht="15" hidden="false" customHeight="true" outlineLevel="0" collapsed="false">
      <c r="B207" s="209" t="n">
        <f aca="false">'Bulk Order Details'!B217</f>
        <v>204</v>
      </c>
      <c r="C207" s="209" t="e">
        <f aca="false">IF('bulk order details'!#ref!="","",'bulk order details'!#ref!&amp;" "&amp;'bulk order details'!#ref!)</f>
        <v>#VALUE!</v>
      </c>
      <c r="D207" s="210" t="str">
        <f aca="false">IF('Bulk Order Details'!J217="","",VLOOKUP(1,Price[],3))</f>
        <v/>
      </c>
      <c r="E207" s="211" t="str">
        <f aca="false">IF('Bulk Order Details'!J217="","",Summary!$D$9)</f>
        <v/>
      </c>
      <c r="F207" s="212" t="str">
        <f aca="false">IF('Bulk Order Details'!F217="","",_xlfn.xlookup('Bulk Order Details'!F217,Size[Display],Size[Price]))</f>
        <v/>
      </c>
      <c r="G207" s="212" t="str">
        <f aca="false">IF('Bulk Order Details'!G217="","",_xlfn.xlookup('Bulk Order Details'!G217,Length[Display],Length[Price]))</f>
        <v/>
      </c>
      <c r="H207" s="212" t="str">
        <f aca="false">IF('Bulk Order Details'!H217="","",_xlfn.xlookup('Bulk Order Details'!H217,Collection[Display],Collection[Price]))</f>
        <v/>
      </c>
      <c r="I207" s="212" t="str">
        <f aca="false">IF('Bulk Order Details'!I217="","",_xlfn.xlookup('Bulk Order Details'!I217,Sleeve[Display],Sleeve[Price]))</f>
        <v/>
      </c>
      <c r="J207" s="212" t="str">
        <f aca="false">IF('Bulk Order Details'!J217="","",_xlfn.xlookup('Bulk Order Details'!J217,Collar[Display],Collar[Price]))</f>
        <v/>
      </c>
      <c r="K207" s="212" t="str">
        <f aca="false">IF('Bulk Order Details'!K217="","",_xlfn.xlookup("Name",Name[Name],Name[Price]))</f>
        <v/>
      </c>
      <c r="L207" s="213" t="str">
        <f aca="false">IFERROR(IF('Bulk Order Details'!O217="","",IF(_xlfn.xlookup('Bulk Order Details'!O217,Logos[Display],Logos[Use])="Flat",_xlfn.xlookup('Bulk Order Details'!O217,Logos[Display],Logos[Flat]),ROUND(_xlfn.xlookup('Bulk Order Details'!O217,Logos[Display],Logos[Pct])*$E207,2))),"")</f>
        <v/>
      </c>
      <c r="M207" s="222" t="str">
        <f aca="false">IFERROR(IF('Bulk Order Details'!P217="","",IF(_xlfn.xlookup('Bulk Order Details'!P217,Chest[Display],Chest[Use])="Flat",_xlfn.xlookup('Bulk Order Details'!P217,Chest[Display],Chest[Flat]),ROUND(_xlfn.xlookup('Bulk Order Details'!P217,Chest[Display],Chest[Pct])*$E207,2))),"")</f>
        <v/>
      </c>
      <c r="N207" s="222" t="str">
        <f aca="false">IFERROR(IF('Bulk Order Details'!Q217="","",IF(_xlfn.xlookup('Bulk Order Details'!Q217,Chest[Display],Chest[Use])="Flat",_xlfn.xlookup('Bulk Order Details'!Q217,Chest[Display],Chest[Flat]),ROUND(_xlfn.xlookup('Bulk Order Details'!Q217,Chest[Display],Chest[Pct])*$E207,2))),"")</f>
        <v/>
      </c>
      <c r="O207" s="222" t="str">
        <f aca="false">IFERROR(IF('Bulk Order Details'!R217="","",IF(_xlfn.xlookup('Bulk Order Details'!R217,LeftSleeve[Display],LeftSleeve[Use])="Flat",_xlfn.xlookup('Bulk Order Details'!R217,LeftSleeve[Display],LeftSleeve[Flat]),ROUND(_xlfn.xlookup('Bulk Order Details'!R217,LeftSleeve[Display],LeftSleeve[Pct])*$E207,2))),"")</f>
        <v/>
      </c>
      <c r="P207" s="222" t="str">
        <f aca="false">IFERROR(IF('Bulk Order Details'!S217="","",IF(_xlfn.xlookup('Bulk Order Details'!S217,RightSleeve[Display],RightSleeve[Use])="Flat",_xlfn.xlookup('Bulk Order Details'!S217,RightSleeve[Display],RightSleeve[Flat]),ROUND(_xlfn.xlookup('Bulk Order Details'!S217,RightSleeve[Display],RightSleeve[Pct])*$E207,2))),"")</f>
        <v/>
      </c>
      <c r="Q207" s="214" t="str">
        <f aca="false">IF('Bulk Order Details'!J217="","",SUM(F207:P207))</f>
        <v/>
      </c>
      <c r="R207" s="213" t="str">
        <f aca="false">IFERROR(E207-D207,"")</f>
        <v/>
      </c>
      <c r="S207" s="215" t="str">
        <f aca="false">IFERROR(MIN(IF(Summary!$D$11="Yes",-J207,0),IF(H207&gt;0,-J207,0)),"")</f>
        <v/>
      </c>
      <c r="T207" s="212" t="str">
        <f aca="false">IFERROR(IF(Summary!$D$10="Yes",-K207,""),"")</f>
        <v/>
      </c>
      <c r="U207" s="213" t="str">
        <f aca="false">IFERROR(IF(Summary!$D$12="Yes",-L207,""),"")</f>
        <v/>
      </c>
      <c r="V207" s="216" t="str">
        <f aca="false">IF('Bulk Order Details'!J217="","",SUM(R207:U207))</f>
        <v/>
      </c>
      <c r="W207" s="217" t="str">
        <f aca="false">IF('Bulk Order Details'!J217="","",D207+Q207)</f>
        <v/>
      </c>
      <c r="X207" s="218" t="str">
        <f aca="false">IF('Bulk Order Details'!J217="","",D207+Q207+V207)</f>
        <v/>
      </c>
      <c r="Y207" s="219" t="str">
        <f aca="false">IFERROR((W207-X207)/W207,"")</f>
        <v/>
      </c>
      <c r="Z207" s="220" t="str">
        <f aca="false">IF('Bulk Order Details'!J217="","",MAX(1,'Bulk Order Details'!D217))</f>
        <v/>
      </c>
      <c r="AA207" s="217" t="str">
        <f aca="false">IF(Pricing_Details[[#This Row],[Quantity]]="","",Pricing_Details[[#This Row],[Retail Price]]*Pricing_Details[[#This Row],[Quantity]])</f>
        <v/>
      </c>
      <c r="AB207" s="217" t="str">
        <f aca="false">IF(Pricing_Details[[#This Row],[Quantity]]="","",Pricing_Details[[#This Row],[Total Discount]]*Pricing_Details[[#This Row],[Quantity]])</f>
        <v/>
      </c>
      <c r="AC207" s="221" t="str">
        <f aca="false">IFERROR(ROUND(Pricing_Details[[#This Row],[Actual Price]]*Pricing_Details[[#This Row],[Quantity]],2),"")</f>
        <v/>
      </c>
      <c r="AE207" s="179" t="str">
        <f aca="false">IF('Bulk Order Details'!J217="","",VLOOKUP('Bulk Order Details'!H217,Collection[],3)&amp;VLOOKUP('Bulk Order Details'!J217,Collar[],4)&amp;VLOOKUP('Bulk Order Details'!I217,Sleeve[],4))</f>
        <v/>
      </c>
      <c r="AF207" s="179" t="str">
        <f aca="false">IF('Bulk Order Details'!J217="","",LOOKUP('Bulk Order Details'!E217,Cut[Display],Cut[Code])&amp;LOOKUP('Bulk Order Details'!F217,#REF!,#REF!)&amp;IF('Bulk Order Details'!G217="","",LOOKUP('Bulk Order Details'!G217,Length[Display],Length[Code])))</f>
        <v/>
      </c>
      <c r="AG207" s="179" t="str">
        <f aca="false">IF('Bulk Order Details'!J217="","",IF('Bulk Order Details'!C217="","",'Bulk Order Details'!C217))</f>
        <v/>
      </c>
      <c r="AH207" s="179" t="str">
        <f aca="false">IF('Bulk Order Details'!O217="","","-"&amp;LOOKUP('Bulk Order Details'!O217,#REF!,#REF!))</f>
        <v/>
      </c>
      <c r="AI207" s="179" t="str">
        <f aca="false">IF('Bulk Order Details'!P217="","","-"&amp;LOOKUP('Bulk Order Details'!P217,#REF!,#REF!))</f>
        <v/>
      </c>
      <c r="AJ207" s="179" t="str">
        <f aca="false">IF('Bulk Order Details'!Q217="","","-"&amp;LOOKUP('Bulk Order Details'!Q217,#REF!,#REF!))</f>
        <v/>
      </c>
      <c r="AK207" s="179" t="str">
        <f aca="false">IF('Bulk Order Details'!R217="","","-"&amp;LOOKUP('Bulk Order Details'!R217,#REF!,#REF!))</f>
        <v/>
      </c>
      <c r="AL207" s="179" t="str">
        <f aca="false">IF('Bulk Order Details'!S217="","","-"&amp;LOOKUP('Bulk Order Details'!S217,#REF!,#REF!))</f>
        <v/>
      </c>
      <c r="AM207" s="179" t="str">
        <f aca="false">IF(_xlfn.CONCAT(AH207:AL207)="","","Lo"&amp;_xlfn.CONCAT(AH207:AL207))</f>
        <v/>
      </c>
      <c r="AN207" s="179" t="str">
        <f aca="false">IF('Bulk Order Details'!K217="","","Na-"&amp;'Bulk Order Details'!K217)</f>
        <v/>
      </c>
      <c r="AO207" s="179" t="str">
        <f aca="false">IF('Bulk Order Details'!N217="","","Fo-"&amp;'Bulk Order Details'!N217)</f>
        <v/>
      </c>
      <c r="AP207" s="179" t="str">
        <f aca="false">IF(AE207="","",AE207&amp;"_"&amp;AF207&amp;"_"&amp;AG207&amp;IF(AM207="","","_"&amp;AM207)&amp;IF(AN207="","","_"&amp;AN207)&amp;IF(AO207="","","_"&amp;AO207))</f>
        <v/>
      </c>
      <c r="AQ207" s="218" t="str">
        <f aca="false">IF(X207="","",X207)</f>
        <v/>
      </c>
    </row>
    <row r="208" customFormat="false" ht="15" hidden="false" customHeight="true" outlineLevel="0" collapsed="false">
      <c r="B208" s="209" t="n">
        <f aca="false">'Bulk Order Details'!B218</f>
        <v>205</v>
      </c>
      <c r="C208" s="209" t="e">
        <f aca="false">IF('bulk order details'!#ref!="","",'bulk order details'!#ref!&amp;" "&amp;'bulk order details'!#ref!)</f>
        <v>#VALUE!</v>
      </c>
      <c r="D208" s="210" t="str">
        <f aca="false">IF('Bulk Order Details'!J218="","",VLOOKUP(1,Price[],3))</f>
        <v/>
      </c>
      <c r="E208" s="211" t="str">
        <f aca="false">IF('Bulk Order Details'!J218="","",Summary!$D$9)</f>
        <v/>
      </c>
      <c r="F208" s="212" t="str">
        <f aca="false">IF('Bulk Order Details'!F218="","",_xlfn.xlookup('Bulk Order Details'!F218,Size[Display],Size[Price]))</f>
        <v/>
      </c>
      <c r="G208" s="212" t="str">
        <f aca="false">IF('Bulk Order Details'!G218="","",_xlfn.xlookup('Bulk Order Details'!G218,Length[Display],Length[Price]))</f>
        <v/>
      </c>
      <c r="H208" s="212" t="str">
        <f aca="false">IF('Bulk Order Details'!H218="","",_xlfn.xlookup('Bulk Order Details'!H218,Collection[Display],Collection[Price]))</f>
        <v/>
      </c>
      <c r="I208" s="212" t="str">
        <f aca="false">IF('Bulk Order Details'!I218="","",_xlfn.xlookup('Bulk Order Details'!I218,Sleeve[Display],Sleeve[Price]))</f>
        <v/>
      </c>
      <c r="J208" s="212" t="str">
        <f aca="false">IF('Bulk Order Details'!J218="","",_xlfn.xlookup('Bulk Order Details'!J218,Collar[Display],Collar[Price]))</f>
        <v/>
      </c>
      <c r="K208" s="212" t="str">
        <f aca="false">IF('Bulk Order Details'!K218="","",_xlfn.xlookup("Name",Name[Name],Name[Price]))</f>
        <v/>
      </c>
      <c r="L208" s="213" t="str">
        <f aca="false">IFERROR(IF('Bulk Order Details'!O218="","",IF(_xlfn.xlookup('Bulk Order Details'!O218,Logos[Display],Logos[Use])="Flat",_xlfn.xlookup('Bulk Order Details'!O218,Logos[Display],Logos[Flat]),ROUND(_xlfn.xlookup('Bulk Order Details'!O218,Logos[Display],Logos[Pct])*$E208,2))),"")</f>
        <v/>
      </c>
      <c r="M208" s="222" t="str">
        <f aca="false">IFERROR(IF('Bulk Order Details'!P218="","",IF(_xlfn.xlookup('Bulk Order Details'!P218,Chest[Display],Chest[Use])="Flat",_xlfn.xlookup('Bulk Order Details'!P218,Chest[Display],Chest[Flat]),ROUND(_xlfn.xlookup('Bulk Order Details'!P218,Chest[Display],Chest[Pct])*$E208,2))),"")</f>
        <v/>
      </c>
      <c r="N208" s="222" t="str">
        <f aca="false">IFERROR(IF('Bulk Order Details'!Q218="","",IF(_xlfn.xlookup('Bulk Order Details'!Q218,Chest[Display],Chest[Use])="Flat",_xlfn.xlookup('Bulk Order Details'!Q218,Chest[Display],Chest[Flat]),ROUND(_xlfn.xlookup('Bulk Order Details'!Q218,Chest[Display],Chest[Pct])*$E208,2))),"")</f>
        <v/>
      </c>
      <c r="O208" s="222" t="str">
        <f aca="false">IFERROR(IF('Bulk Order Details'!R218="","",IF(_xlfn.xlookup('Bulk Order Details'!R218,LeftSleeve[Display],LeftSleeve[Use])="Flat",_xlfn.xlookup('Bulk Order Details'!R218,LeftSleeve[Display],LeftSleeve[Flat]),ROUND(_xlfn.xlookup('Bulk Order Details'!R218,LeftSleeve[Display],LeftSleeve[Pct])*$E208,2))),"")</f>
        <v/>
      </c>
      <c r="P208" s="222" t="str">
        <f aca="false">IFERROR(IF('Bulk Order Details'!S218="","",IF(_xlfn.xlookup('Bulk Order Details'!S218,RightSleeve[Display],RightSleeve[Use])="Flat",_xlfn.xlookup('Bulk Order Details'!S218,RightSleeve[Display],RightSleeve[Flat]),ROUND(_xlfn.xlookup('Bulk Order Details'!S218,RightSleeve[Display],RightSleeve[Pct])*$E208,2))),"")</f>
        <v/>
      </c>
      <c r="Q208" s="214" t="str">
        <f aca="false">IF('Bulk Order Details'!J218="","",SUM(F208:P208))</f>
        <v/>
      </c>
      <c r="R208" s="213" t="str">
        <f aca="false">IFERROR(E208-D208,"")</f>
        <v/>
      </c>
      <c r="S208" s="215" t="str">
        <f aca="false">IFERROR(MIN(IF(Summary!$D$11="Yes",-J208,0),IF(H208&gt;0,-J208,0)),"")</f>
        <v/>
      </c>
      <c r="T208" s="212" t="str">
        <f aca="false">IFERROR(IF(Summary!$D$10="Yes",-K208,""),"")</f>
        <v/>
      </c>
      <c r="U208" s="213" t="str">
        <f aca="false">IFERROR(IF(Summary!$D$12="Yes",-L208,""),"")</f>
        <v/>
      </c>
      <c r="V208" s="216" t="str">
        <f aca="false">IF('Bulk Order Details'!J218="","",SUM(R208:U208))</f>
        <v/>
      </c>
      <c r="W208" s="217" t="str">
        <f aca="false">IF('Bulk Order Details'!J218="","",D208+Q208)</f>
        <v/>
      </c>
      <c r="X208" s="218" t="str">
        <f aca="false">IF('Bulk Order Details'!J218="","",D208+Q208+V208)</f>
        <v/>
      </c>
      <c r="Y208" s="219" t="str">
        <f aca="false">IFERROR((W208-X208)/W208,"")</f>
        <v/>
      </c>
      <c r="Z208" s="220" t="str">
        <f aca="false">IF('Bulk Order Details'!J218="","",MAX(1,'Bulk Order Details'!D218))</f>
        <v/>
      </c>
      <c r="AA208" s="217" t="str">
        <f aca="false">IF(Pricing_Details[[#This Row],[Quantity]]="","",Pricing_Details[[#This Row],[Retail Price]]*Pricing_Details[[#This Row],[Quantity]])</f>
        <v/>
      </c>
      <c r="AB208" s="217" t="str">
        <f aca="false">IF(Pricing_Details[[#This Row],[Quantity]]="","",Pricing_Details[[#This Row],[Total Discount]]*Pricing_Details[[#This Row],[Quantity]])</f>
        <v/>
      </c>
      <c r="AC208" s="221" t="str">
        <f aca="false">IFERROR(ROUND(Pricing_Details[[#This Row],[Actual Price]]*Pricing_Details[[#This Row],[Quantity]],2),"")</f>
        <v/>
      </c>
      <c r="AE208" s="179" t="str">
        <f aca="false">IF('Bulk Order Details'!J218="","",VLOOKUP('Bulk Order Details'!H218,Collection[],3)&amp;VLOOKUP('Bulk Order Details'!J218,Collar[],4)&amp;VLOOKUP('Bulk Order Details'!I218,Sleeve[],4))</f>
        <v/>
      </c>
      <c r="AF208" s="179" t="str">
        <f aca="false">IF('Bulk Order Details'!J218="","",LOOKUP('Bulk Order Details'!E218,Cut[Display],Cut[Code])&amp;LOOKUP('Bulk Order Details'!F218,#REF!,#REF!)&amp;IF('Bulk Order Details'!G218="","",LOOKUP('Bulk Order Details'!G218,Length[Display],Length[Code])))</f>
        <v/>
      </c>
      <c r="AG208" s="179" t="str">
        <f aca="false">IF('Bulk Order Details'!J218="","",IF('Bulk Order Details'!C218="","",'Bulk Order Details'!C218))</f>
        <v/>
      </c>
      <c r="AH208" s="179" t="str">
        <f aca="false">IF('Bulk Order Details'!O218="","","-"&amp;LOOKUP('Bulk Order Details'!O218,#REF!,#REF!))</f>
        <v/>
      </c>
      <c r="AI208" s="179" t="str">
        <f aca="false">IF('Bulk Order Details'!P218="","","-"&amp;LOOKUP('Bulk Order Details'!P218,#REF!,#REF!))</f>
        <v/>
      </c>
      <c r="AJ208" s="179" t="str">
        <f aca="false">IF('Bulk Order Details'!Q218="","","-"&amp;LOOKUP('Bulk Order Details'!Q218,#REF!,#REF!))</f>
        <v/>
      </c>
      <c r="AK208" s="179" t="str">
        <f aca="false">IF('Bulk Order Details'!R218="","","-"&amp;LOOKUP('Bulk Order Details'!R218,#REF!,#REF!))</f>
        <v/>
      </c>
      <c r="AL208" s="179" t="str">
        <f aca="false">IF('Bulk Order Details'!S218="","","-"&amp;LOOKUP('Bulk Order Details'!S218,#REF!,#REF!))</f>
        <v/>
      </c>
      <c r="AM208" s="179" t="str">
        <f aca="false">IF(_xlfn.CONCAT(AH208:AL208)="","","Lo"&amp;_xlfn.CONCAT(AH208:AL208))</f>
        <v/>
      </c>
      <c r="AN208" s="179" t="str">
        <f aca="false">IF('Bulk Order Details'!K218="","","Na-"&amp;'Bulk Order Details'!K218)</f>
        <v/>
      </c>
      <c r="AO208" s="179" t="str">
        <f aca="false">IF('Bulk Order Details'!N218="","","Fo-"&amp;'Bulk Order Details'!N218)</f>
        <v/>
      </c>
      <c r="AP208" s="179" t="str">
        <f aca="false">IF(AE208="","",AE208&amp;"_"&amp;AF208&amp;"_"&amp;AG208&amp;IF(AM208="","","_"&amp;AM208)&amp;IF(AN208="","","_"&amp;AN208)&amp;IF(AO208="","","_"&amp;AO208))</f>
        <v/>
      </c>
      <c r="AQ208" s="218" t="str">
        <f aca="false">IF(X208="","",X208)</f>
        <v/>
      </c>
    </row>
    <row r="209" customFormat="false" ht="15" hidden="false" customHeight="true" outlineLevel="0" collapsed="false">
      <c r="B209" s="209" t="n">
        <f aca="false">'Bulk Order Details'!B219</f>
        <v>206</v>
      </c>
      <c r="C209" s="209" t="e">
        <f aca="false">IF('bulk order details'!#ref!="","",'bulk order details'!#ref!&amp;" "&amp;'bulk order details'!#ref!)</f>
        <v>#VALUE!</v>
      </c>
      <c r="D209" s="210" t="str">
        <f aca="false">IF('Bulk Order Details'!J219="","",VLOOKUP(1,Price[],3))</f>
        <v/>
      </c>
      <c r="E209" s="211" t="str">
        <f aca="false">IF('Bulk Order Details'!J219="","",Summary!$D$9)</f>
        <v/>
      </c>
      <c r="F209" s="212" t="str">
        <f aca="false">IF('Bulk Order Details'!F219="","",_xlfn.xlookup('Bulk Order Details'!F219,Size[Display],Size[Price]))</f>
        <v/>
      </c>
      <c r="G209" s="212" t="str">
        <f aca="false">IF('Bulk Order Details'!G219="","",_xlfn.xlookup('Bulk Order Details'!G219,Length[Display],Length[Price]))</f>
        <v/>
      </c>
      <c r="H209" s="212" t="str">
        <f aca="false">IF('Bulk Order Details'!H219="","",_xlfn.xlookup('Bulk Order Details'!H219,Collection[Display],Collection[Price]))</f>
        <v/>
      </c>
      <c r="I209" s="212" t="str">
        <f aca="false">IF('Bulk Order Details'!I219="","",_xlfn.xlookup('Bulk Order Details'!I219,Sleeve[Display],Sleeve[Price]))</f>
        <v/>
      </c>
      <c r="J209" s="212" t="str">
        <f aca="false">IF('Bulk Order Details'!J219="","",_xlfn.xlookup('Bulk Order Details'!J219,Collar[Display],Collar[Price]))</f>
        <v/>
      </c>
      <c r="K209" s="212" t="str">
        <f aca="false">IF('Bulk Order Details'!K219="","",_xlfn.xlookup("Name",Name[Name],Name[Price]))</f>
        <v/>
      </c>
      <c r="L209" s="213" t="str">
        <f aca="false">IFERROR(IF('Bulk Order Details'!O219="","",IF(_xlfn.xlookup('Bulk Order Details'!O219,Logos[Display],Logos[Use])="Flat",_xlfn.xlookup('Bulk Order Details'!O219,Logos[Display],Logos[Flat]),ROUND(_xlfn.xlookup('Bulk Order Details'!O219,Logos[Display],Logos[Pct])*$E209,2))),"")</f>
        <v/>
      </c>
      <c r="M209" s="222" t="str">
        <f aca="false">IFERROR(IF('Bulk Order Details'!P219="","",IF(_xlfn.xlookup('Bulk Order Details'!P219,Chest[Display],Chest[Use])="Flat",_xlfn.xlookup('Bulk Order Details'!P219,Chest[Display],Chest[Flat]),ROUND(_xlfn.xlookup('Bulk Order Details'!P219,Chest[Display],Chest[Pct])*$E209,2))),"")</f>
        <v/>
      </c>
      <c r="N209" s="222" t="str">
        <f aca="false">IFERROR(IF('Bulk Order Details'!Q219="","",IF(_xlfn.xlookup('Bulk Order Details'!Q219,Chest[Display],Chest[Use])="Flat",_xlfn.xlookup('Bulk Order Details'!Q219,Chest[Display],Chest[Flat]),ROUND(_xlfn.xlookup('Bulk Order Details'!Q219,Chest[Display],Chest[Pct])*$E209,2))),"")</f>
        <v/>
      </c>
      <c r="O209" s="222" t="str">
        <f aca="false">IFERROR(IF('Bulk Order Details'!R219="","",IF(_xlfn.xlookup('Bulk Order Details'!R219,LeftSleeve[Display],LeftSleeve[Use])="Flat",_xlfn.xlookup('Bulk Order Details'!R219,LeftSleeve[Display],LeftSleeve[Flat]),ROUND(_xlfn.xlookup('Bulk Order Details'!R219,LeftSleeve[Display],LeftSleeve[Pct])*$E209,2))),"")</f>
        <v/>
      </c>
      <c r="P209" s="222" t="str">
        <f aca="false">IFERROR(IF('Bulk Order Details'!S219="","",IF(_xlfn.xlookup('Bulk Order Details'!S219,RightSleeve[Display],RightSleeve[Use])="Flat",_xlfn.xlookup('Bulk Order Details'!S219,RightSleeve[Display],RightSleeve[Flat]),ROUND(_xlfn.xlookup('Bulk Order Details'!S219,RightSleeve[Display],RightSleeve[Pct])*$E209,2))),"")</f>
        <v/>
      </c>
      <c r="Q209" s="214" t="str">
        <f aca="false">IF('Bulk Order Details'!J219="","",SUM(F209:P209))</f>
        <v/>
      </c>
      <c r="R209" s="213" t="str">
        <f aca="false">IFERROR(E209-D209,"")</f>
        <v/>
      </c>
      <c r="S209" s="215" t="str">
        <f aca="false">IFERROR(MIN(IF(Summary!$D$11="Yes",-J209,0),IF(H209&gt;0,-J209,0)),"")</f>
        <v/>
      </c>
      <c r="T209" s="212" t="str">
        <f aca="false">IFERROR(IF(Summary!$D$10="Yes",-K209,""),"")</f>
        <v/>
      </c>
      <c r="U209" s="213" t="str">
        <f aca="false">IFERROR(IF(Summary!$D$12="Yes",-L209,""),"")</f>
        <v/>
      </c>
      <c r="V209" s="216" t="str">
        <f aca="false">IF('Bulk Order Details'!J219="","",SUM(R209:U209))</f>
        <v/>
      </c>
      <c r="W209" s="217" t="str">
        <f aca="false">IF('Bulk Order Details'!J219="","",D209+Q209)</f>
        <v/>
      </c>
      <c r="X209" s="218" t="str">
        <f aca="false">IF('Bulk Order Details'!J219="","",D209+Q209+V209)</f>
        <v/>
      </c>
      <c r="Y209" s="219" t="str">
        <f aca="false">IFERROR((W209-X209)/W209,"")</f>
        <v/>
      </c>
      <c r="Z209" s="220" t="str">
        <f aca="false">IF('Bulk Order Details'!J219="","",MAX(1,'Bulk Order Details'!D219))</f>
        <v/>
      </c>
      <c r="AA209" s="217" t="str">
        <f aca="false">IF(Pricing_Details[[#This Row],[Quantity]]="","",Pricing_Details[[#This Row],[Retail Price]]*Pricing_Details[[#This Row],[Quantity]])</f>
        <v/>
      </c>
      <c r="AB209" s="217" t="str">
        <f aca="false">IF(Pricing_Details[[#This Row],[Quantity]]="","",Pricing_Details[[#This Row],[Total Discount]]*Pricing_Details[[#This Row],[Quantity]])</f>
        <v/>
      </c>
      <c r="AC209" s="221" t="str">
        <f aca="false">IFERROR(ROUND(Pricing_Details[[#This Row],[Actual Price]]*Pricing_Details[[#This Row],[Quantity]],2),"")</f>
        <v/>
      </c>
      <c r="AE209" s="179" t="str">
        <f aca="false">IF('Bulk Order Details'!J219="","",VLOOKUP('Bulk Order Details'!H219,Collection[],3)&amp;VLOOKUP('Bulk Order Details'!J219,Collar[],4)&amp;VLOOKUP('Bulk Order Details'!I219,Sleeve[],4))</f>
        <v/>
      </c>
      <c r="AF209" s="179" t="str">
        <f aca="false">IF('Bulk Order Details'!J219="","",LOOKUP('Bulk Order Details'!E219,Cut[Display],Cut[Code])&amp;LOOKUP('Bulk Order Details'!F219,#REF!,#REF!)&amp;IF('Bulk Order Details'!G219="","",LOOKUP('Bulk Order Details'!G219,Length[Display],Length[Code])))</f>
        <v/>
      </c>
      <c r="AG209" s="179" t="str">
        <f aca="false">IF('Bulk Order Details'!J219="","",IF('Bulk Order Details'!C219="","",'Bulk Order Details'!C219))</f>
        <v/>
      </c>
      <c r="AH209" s="179" t="str">
        <f aca="false">IF('Bulk Order Details'!O219="","","-"&amp;LOOKUP('Bulk Order Details'!O219,#REF!,#REF!))</f>
        <v/>
      </c>
      <c r="AI209" s="179" t="str">
        <f aca="false">IF('Bulk Order Details'!P219="","","-"&amp;LOOKUP('Bulk Order Details'!P219,#REF!,#REF!))</f>
        <v/>
      </c>
      <c r="AJ209" s="179" t="str">
        <f aca="false">IF('Bulk Order Details'!Q219="","","-"&amp;LOOKUP('Bulk Order Details'!Q219,#REF!,#REF!))</f>
        <v/>
      </c>
      <c r="AK209" s="179" t="str">
        <f aca="false">IF('Bulk Order Details'!R219="","","-"&amp;LOOKUP('Bulk Order Details'!R219,#REF!,#REF!))</f>
        <v/>
      </c>
      <c r="AL209" s="179" t="str">
        <f aca="false">IF('Bulk Order Details'!S219="","","-"&amp;LOOKUP('Bulk Order Details'!S219,#REF!,#REF!))</f>
        <v/>
      </c>
      <c r="AM209" s="179" t="str">
        <f aca="false">IF(_xlfn.CONCAT(AH209:AL209)="","","Lo"&amp;_xlfn.CONCAT(AH209:AL209))</f>
        <v/>
      </c>
      <c r="AN209" s="179" t="str">
        <f aca="false">IF('Bulk Order Details'!K219="","","Na-"&amp;'Bulk Order Details'!K219)</f>
        <v/>
      </c>
      <c r="AO209" s="179" t="str">
        <f aca="false">IF('Bulk Order Details'!N219="","","Fo-"&amp;'Bulk Order Details'!N219)</f>
        <v/>
      </c>
      <c r="AP209" s="179" t="str">
        <f aca="false">IF(AE209="","",AE209&amp;"_"&amp;AF209&amp;"_"&amp;AG209&amp;IF(AM209="","","_"&amp;AM209)&amp;IF(AN209="","","_"&amp;AN209)&amp;IF(AO209="","","_"&amp;AO209))</f>
        <v/>
      </c>
      <c r="AQ209" s="218" t="str">
        <f aca="false">IF(X209="","",X209)</f>
        <v/>
      </c>
    </row>
    <row r="210" customFormat="false" ht="15" hidden="false" customHeight="true" outlineLevel="0" collapsed="false">
      <c r="B210" s="209" t="n">
        <f aca="false">'Bulk Order Details'!B220</f>
        <v>207</v>
      </c>
      <c r="C210" s="209" t="e">
        <f aca="false">IF('bulk order details'!#ref!="","",'bulk order details'!#ref!&amp;" "&amp;'bulk order details'!#ref!)</f>
        <v>#VALUE!</v>
      </c>
      <c r="D210" s="210" t="str">
        <f aca="false">IF('Bulk Order Details'!J220="","",VLOOKUP(1,Price[],3))</f>
        <v/>
      </c>
      <c r="E210" s="211" t="str">
        <f aca="false">IF('Bulk Order Details'!J220="","",Summary!$D$9)</f>
        <v/>
      </c>
      <c r="F210" s="212" t="str">
        <f aca="false">IF('Bulk Order Details'!F220="","",_xlfn.xlookup('Bulk Order Details'!F220,Size[Display],Size[Price]))</f>
        <v/>
      </c>
      <c r="G210" s="212" t="str">
        <f aca="false">IF('Bulk Order Details'!G220="","",_xlfn.xlookup('Bulk Order Details'!G220,Length[Display],Length[Price]))</f>
        <v/>
      </c>
      <c r="H210" s="212" t="str">
        <f aca="false">IF('Bulk Order Details'!H220="","",_xlfn.xlookup('Bulk Order Details'!H220,Collection[Display],Collection[Price]))</f>
        <v/>
      </c>
      <c r="I210" s="212" t="str">
        <f aca="false">IF('Bulk Order Details'!I220="","",_xlfn.xlookup('Bulk Order Details'!I220,Sleeve[Display],Sleeve[Price]))</f>
        <v/>
      </c>
      <c r="J210" s="212" t="str">
        <f aca="false">IF('Bulk Order Details'!J220="","",_xlfn.xlookup('Bulk Order Details'!J220,Collar[Display],Collar[Price]))</f>
        <v/>
      </c>
      <c r="K210" s="212" t="str">
        <f aca="false">IF('Bulk Order Details'!K220="","",_xlfn.xlookup("Name",Name[Name],Name[Price]))</f>
        <v/>
      </c>
      <c r="L210" s="213" t="str">
        <f aca="false">IFERROR(IF('Bulk Order Details'!O220="","",IF(_xlfn.xlookup('Bulk Order Details'!O220,Logos[Display],Logos[Use])="Flat",_xlfn.xlookup('Bulk Order Details'!O220,Logos[Display],Logos[Flat]),ROUND(_xlfn.xlookup('Bulk Order Details'!O220,Logos[Display],Logos[Pct])*$E210,2))),"")</f>
        <v/>
      </c>
      <c r="M210" s="222" t="str">
        <f aca="false">IFERROR(IF('Bulk Order Details'!P220="","",IF(_xlfn.xlookup('Bulk Order Details'!P220,Chest[Display],Chest[Use])="Flat",_xlfn.xlookup('Bulk Order Details'!P220,Chest[Display],Chest[Flat]),ROUND(_xlfn.xlookup('Bulk Order Details'!P220,Chest[Display],Chest[Pct])*$E210,2))),"")</f>
        <v/>
      </c>
      <c r="N210" s="222" t="str">
        <f aca="false">IFERROR(IF('Bulk Order Details'!Q220="","",IF(_xlfn.xlookup('Bulk Order Details'!Q220,Chest[Display],Chest[Use])="Flat",_xlfn.xlookup('Bulk Order Details'!Q220,Chest[Display],Chest[Flat]),ROUND(_xlfn.xlookup('Bulk Order Details'!Q220,Chest[Display],Chest[Pct])*$E210,2))),"")</f>
        <v/>
      </c>
      <c r="O210" s="222" t="str">
        <f aca="false">IFERROR(IF('Bulk Order Details'!R220="","",IF(_xlfn.xlookup('Bulk Order Details'!R220,LeftSleeve[Display],LeftSleeve[Use])="Flat",_xlfn.xlookup('Bulk Order Details'!R220,LeftSleeve[Display],LeftSleeve[Flat]),ROUND(_xlfn.xlookup('Bulk Order Details'!R220,LeftSleeve[Display],LeftSleeve[Pct])*$E210,2))),"")</f>
        <v/>
      </c>
      <c r="P210" s="222" t="str">
        <f aca="false">IFERROR(IF('Bulk Order Details'!S220="","",IF(_xlfn.xlookup('Bulk Order Details'!S220,RightSleeve[Display],RightSleeve[Use])="Flat",_xlfn.xlookup('Bulk Order Details'!S220,RightSleeve[Display],RightSleeve[Flat]),ROUND(_xlfn.xlookup('Bulk Order Details'!S220,RightSleeve[Display],RightSleeve[Pct])*$E210,2))),"")</f>
        <v/>
      </c>
      <c r="Q210" s="214" t="str">
        <f aca="false">IF('Bulk Order Details'!J220="","",SUM(F210:P210))</f>
        <v/>
      </c>
      <c r="R210" s="213" t="str">
        <f aca="false">IFERROR(E210-D210,"")</f>
        <v/>
      </c>
      <c r="S210" s="215" t="str">
        <f aca="false">IFERROR(MIN(IF(Summary!$D$11="Yes",-J210,0),IF(H210&gt;0,-J210,0)),"")</f>
        <v/>
      </c>
      <c r="T210" s="212" t="str">
        <f aca="false">IFERROR(IF(Summary!$D$10="Yes",-K210,""),"")</f>
        <v/>
      </c>
      <c r="U210" s="213" t="str">
        <f aca="false">IFERROR(IF(Summary!$D$12="Yes",-L210,""),"")</f>
        <v/>
      </c>
      <c r="V210" s="216" t="str">
        <f aca="false">IF('Bulk Order Details'!J220="","",SUM(R210:U210))</f>
        <v/>
      </c>
      <c r="W210" s="217" t="str">
        <f aca="false">IF('Bulk Order Details'!J220="","",D210+Q210)</f>
        <v/>
      </c>
      <c r="X210" s="218" t="str">
        <f aca="false">IF('Bulk Order Details'!J220="","",D210+Q210+V210)</f>
        <v/>
      </c>
      <c r="Y210" s="219" t="str">
        <f aca="false">IFERROR((W210-X210)/W210,"")</f>
        <v/>
      </c>
      <c r="Z210" s="220" t="str">
        <f aca="false">IF('Bulk Order Details'!J220="","",MAX(1,'Bulk Order Details'!D220))</f>
        <v/>
      </c>
      <c r="AA210" s="217" t="str">
        <f aca="false">IF(Pricing_Details[[#This Row],[Quantity]]="","",Pricing_Details[[#This Row],[Retail Price]]*Pricing_Details[[#This Row],[Quantity]])</f>
        <v/>
      </c>
      <c r="AB210" s="217" t="str">
        <f aca="false">IF(Pricing_Details[[#This Row],[Quantity]]="","",Pricing_Details[[#This Row],[Total Discount]]*Pricing_Details[[#This Row],[Quantity]])</f>
        <v/>
      </c>
      <c r="AC210" s="221" t="str">
        <f aca="false">IFERROR(ROUND(Pricing_Details[[#This Row],[Actual Price]]*Pricing_Details[[#This Row],[Quantity]],2),"")</f>
        <v/>
      </c>
      <c r="AE210" s="179" t="str">
        <f aca="false">IF('Bulk Order Details'!J220="","",VLOOKUP('Bulk Order Details'!H220,Collection[],3)&amp;VLOOKUP('Bulk Order Details'!J220,Collar[],4)&amp;VLOOKUP('Bulk Order Details'!I220,Sleeve[],4))</f>
        <v/>
      </c>
      <c r="AF210" s="179" t="str">
        <f aca="false">IF('Bulk Order Details'!J220="","",LOOKUP('Bulk Order Details'!E220,Cut[Display],Cut[Code])&amp;LOOKUP('Bulk Order Details'!F220,#REF!,#REF!)&amp;IF('Bulk Order Details'!G220="","",LOOKUP('Bulk Order Details'!G220,Length[Display],Length[Code])))</f>
        <v/>
      </c>
      <c r="AG210" s="179" t="str">
        <f aca="false">IF('Bulk Order Details'!J220="","",IF('Bulk Order Details'!C220="","",'Bulk Order Details'!C220))</f>
        <v/>
      </c>
      <c r="AH210" s="179" t="str">
        <f aca="false">IF('Bulk Order Details'!O220="","","-"&amp;LOOKUP('Bulk Order Details'!O220,#REF!,#REF!))</f>
        <v/>
      </c>
      <c r="AI210" s="179" t="str">
        <f aca="false">IF('Bulk Order Details'!P220="","","-"&amp;LOOKUP('Bulk Order Details'!P220,#REF!,#REF!))</f>
        <v/>
      </c>
      <c r="AJ210" s="179" t="str">
        <f aca="false">IF('Bulk Order Details'!Q220="","","-"&amp;LOOKUP('Bulk Order Details'!Q220,#REF!,#REF!))</f>
        <v/>
      </c>
      <c r="AK210" s="179" t="str">
        <f aca="false">IF('Bulk Order Details'!R220="","","-"&amp;LOOKUP('Bulk Order Details'!R220,#REF!,#REF!))</f>
        <v/>
      </c>
      <c r="AL210" s="179" t="str">
        <f aca="false">IF('Bulk Order Details'!S220="","","-"&amp;LOOKUP('Bulk Order Details'!S220,#REF!,#REF!))</f>
        <v/>
      </c>
      <c r="AM210" s="179" t="str">
        <f aca="false">IF(_xlfn.CONCAT(AH210:AL210)="","","Lo"&amp;_xlfn.CONCAT(AH210:AL210))</f>
        <v/>
      </c>
      <c r="AN210" s="179" t="str">
        <f aca="false">IF('Bulk Order Details'!K220="","","Na-"&amp;'Bulk Order Details'!K220)</f>
        <v/>
      </c>
      <c r="AO210" s="179" t="str">
        <f aca="false">IF('Bulk Order Details'!N220="","","Fo-"&amp;'Bulk Order Details'!N220)</f>
        <v/>
      </c>
      <c r="AP210" s="179" t="str">
        <f aca="false">IF(AE210="","",AE210&amp;"_"&amp;AF210&amp;"_"&amp;AG210&amp;IF(AM210="","","_"&amp;AM210)&amp;IF(AN210="","","_"&amp;AN210)&amp;IF(AO210="","","_"&amp;AO210))</f>
        <v/>
      </c>
      <c r="AQ210" s="218" t="str">
        <f aca="false">IF(X210="","",X210)</f>
        <v/>
      </c>
    </row>
    <row r="211" customFormat="false" ht="15" hidden="false" customHeight="true" outlineLevel="0" collapsed="false">
      <c r="B211" s="209" t="n">
        <f aca="false">'Bulk Order Details'!B221</f>
        <v>208</v>
      </c>
      <c r="C211" s="209" t="e">
        <f aca="false">IF('bulk order details'!#ref!="","",'bulk order details'!#ref!&amp;" "&amp;'bulk order details'!#ref!)</f>
        <v>#VALUE!</v>
      </c>
      <c r="D211" s="210" t="str">
        <f aca="false">IF('Bulk Order Details'!J221="","",VLOOKUP(1,Price[],3))</f>
        <v/>
      </c>
      <c r="E211" s="211" t="str">
        <f aca="false">IF('Bulk Order Details'!J221="","",Summary!$D$9)</f>
        <v/>
      </c>
      <c r="F211" s="212" t="str">
        <f aca="false">IF('Bulk Order Details'!F221="","",_xlfn.xlookup('Bulk Order Details'!F221,Size[Display],Size[Price]))</f>
        <v/>
      </c>
      <c r="G211" s="212" t="str">
        <f aca="false">IF('Bulk Order Details'!G221="","",_xlfn.xlookup('Bulk Order Details'!G221,Length[Display],Length[Price]))</f>
        <v/>
      </c>
      <c r="H211" s="212" t="str">
        <f aca="false">IF('Bulk Order Details'!H221="","",_xlfn.xlookup('Bulk Order Details'!H221,Collection[Display],Collection[Price]))</f>
        <v/>
      </c>
      <c r="I211" s="212" t="str">
        <f aca="false">IF('Bulk Order Details'!I221="","",_xlfn.xlookup('Bulk Order Details'!I221,Sleeve[Display],Sleeve[Price]))</f>
        <v/>
      </c>
      <c r="J211" s="212" t="str">
        <f aca="false">IF('Bulk Order Details'!J221="","",_xlfn.xlookup('Bulk Order Details'!J221,Collar[Display],Collar[Price]))</f>
        <v/>
      </c>
      <c r="K211" s="212" t="str">
        <f aca="false">IF('Bulk Order Details'!K221="","",_xlfn.xlookup("Name",Name[Name],Name[Price]))</f>
        <v/>
      </c>
      <c r="L211" s="213" t="str">
        <f aca="false">IFERROR(IF('Bulk Order Details'!O221="","",IF(_xlfn.xlookup('Bulk Order Details'!O221,Logos[Display],Logos[Use])="Flat",_xlfn.xlookup('Bulk Order Details'!O221,Logos[Display],Logos[Flat]),ROUND(_xlfn.xlookup('Bulk Order Details'!O221,Logos[Display],Logos[Pct])*$E211,2))),"")</f>
        <v/>
      </c>
      <c r="M211" s="222" t="str">
        <f aca="false">IFERROR(IF('Bulk Order Details'!P221="","",IF(_xlfn.xlookup('Bulk Order Details'!P221,Chest[Display],Chest[Use])="Flat",_xlfn.xlookup('Bulk Order Details'!P221,Chest[Display],Chest[Flat]),ROUND(_xlfn.xlookup('Bulk Order Details'!P221,Chest[Display],Chest[Pct])*$E211,2))),"")</f>
        <v/>
      </c>
      <c r="N211" s="222" t="str">
        <f aca="false">IFERROR(IF('Bulk Order Details'!Q221="","",IF(_xlfn.xlookup('Bulk Order Details'!Q221,Chest[Display],Chest[Use])="Flat",_xlfn.xlookup('Bulk Order Details'!Q221,Chest[Display],Chest[Flat]),ROUND(_xlfn.xlookup('Bulk Order Details'!Q221,Chest[Display],Chest[Pct])*$E211,2))),"")</f>
        <v/>
      </c>
      <c r="O211" s="222" t="str">
        <f aca="false">IFERROR(IF('Bulk Order Details'!R221="","",IF(_xlfn.xlookup('Bulk Order Details'!R221,LeftSleeve[Display],LeftSleeve[Use])="Flat",_xlfn.xlookup('Bulk Order Details'!R221,LeftSleeve[Display],LeftSleeve[Flat]),ROUND(_xlfn.xlookup('Bulk Order Details'!R221,LeftSleeve[Display],LeftSleeve[Pct])*$E211,2))),"")</f>
        <v/>
      </c>
      <c r="P211" s="222" t="str">
        <f aca="false">IFERROR(IF('Bulk Order Details'!S221="","",IF(_xlfn.xlookup('Bulk Order Details'!S221,RightSleeve[Display],RightSleeve[Use])="Flat",_xlfn.xlookup('Bulk Order Details'!S221,RightSleeve[Display],RightSleeve[Flat]),ROUND(_xlfn.xlookup('Bulk Order Details'!S221,RightSleeve[Display],RightSleeve[Pct])*$E211,2))),"")</f>
        <v/>
      </c>
      <c r="Q211" s="214" t="str">
        <f aca="false">IF('Bulk Order Details'!J221="","",SUM(F211:P211))</f>
        <v/>
      </c>
      <c r="R211" s="213" t="str">
        <f aca="false">IFERROR(E211-D211,"")</f>
        <v/>
      </c>
      <c r="S211" s="215" t="str">
        <f aca="false">IFERROR(MIN(IF(Summary!$D$11="Yes",-J211,0),IF(H211&gt;0,-J211,0)),"")</f>
        <v/>
      </c>
      <c r="T211" s="212" t="str">
        <f aca="false">IFERROR(IF(Summary!$D$10="Yes",-K211,""),"")</f>
        <v/>
      </c>
      <c r="U211" s="213" t="str">
        <f aca="false">IFERROR(IF(Summary!$D$12="Yes",-L211,""),"")</f>
        <v/>
      </c>
      <c r="V211" s="216" t="str">
        <f aca="false">IF('Bulk Order Details'!J221="","",SUM(R211:U211))</f>
        <v/>
      </c>
      <c r="W211" s="217" t="str">
        <f aca="false">IF('Bulk Order Details'!J221="","",D211+Q211)</f>
        <v/>
      </c>
      <c r="X211" s="218" t="str">
        <f aca="false">IF('Bulk Order Details'!J221="","",D211+Q211+V211)</f>
        <v/>
      </c>
      <c r="Y211" s="219" t="str">
        <f aca="false">IFERROR((W211-X211)/W211,"")</f>
        <v/>
      </c>
      <c r="Z211" s="220" t="str">
        <f aca="false">IF('Bulk Order Details'!J221="","",MAX(1,'Bulk Order Details'!D221))</f>
        <v/>
      </c>
      <c r="AA211" s="217" t="str">
        <f aca="false">IF(Pricing_Details[[#This Row],[Quantity]]="","",Pricing_Details[[#This Row],[Retail Price]]*Pricing_Details[[#This Row],[Quantity]])</f>
        <v/>
      </c>
      <c r="AB211" s="217" t="str">
        <f aca="false">IF(Pricing_Details[[#This Row],[Quantity]]="","",Pricing_Details[[#This Row],[Total Discount]]*Pricing_Details[[#This Row],[Quantity]])</f>
        <v/>
      </c>
      <c r="AC211" s="221" t="str">
        <f aca="false">IFERROR(ROUND(Pricing_Details[[#This Row],[Actual Price]]*Pricing_Details[[#This Row],[Quantity]],2),"")</f>
        <v/>
      </c>
      <c r="AE211" s="179" t="str">
        <f aca="false">IF('Bulk Order Details'!J221="","",VLOOKUP('Bulk Order Details'!H221,Collection[],3)&amp;VLOOKUP('Bulk Order Details'!J221,Collar[],4)&amp;VLOOKUP('Bulk Order Details'!I221,Sleeve[],4))</f>
        <v/>
      </c>
      <c r="AF211" s="179" t="str">
        <f aca="false">IF('Bulk Order Details'!J221="","",LOOKUP('Bulk Order Details'!E221,Cut[Display],Cut[Code])&amp;LOOKUP('Bulk Order Details'!F221,#REF!,#REF!)&amp;IF('Bulk Order Details'!G221="","",LOOKUP('Bulk Order Details'!G221,Length[Display],Length[Code])))</f>
        <v/>
      </c>
      <c r="AG211" s="179" t="str">
        <f aca="false">IF('Bulk Order Details'!J221="","",IF('Bulk Order Details'!C221="","",'Bulk Order Details'!C221))</f>
        <v/>
      </c>
      <c r="AH211" s="179" t="str">
        <f aca="false">IF('Bulk Order Details'!O221="","","-"&amp;LOOKUP('Bulk Order Details'!O221,#REF!,#REF!))</f>
        <v/>
      </c>
      <c r="AI211" s="179" t="str">
        <f aca="false">IF('Bulk Order Details'!P221="","","-"&amp;LOOKUP('Bulk Order Details'!P221,#REF!,#REF!))</f>
        <v/>
      </c>
      <c r="AJ211" s="179" t="str">
        <f aca="false">IF('Bulk Order Details'!Q221="","","-"&amp;LOOKUP('Bulk Order Details'!Q221,#REF!,#REF!))</f>
        <v/>
      </c>
      <c r="AK211" s="179" t="str">
        <f aca="false">IF('Bulk Order Details'!R221="","","-"&amp;LOOKUP('Bulk Order Details'!R221,#REF!,#REF!))</f>
        <v/>
      </c>
      <c r="AL211" s="179" t="str">
        <f aca="false">IF('Bulk Order Details'!S221="","","-"&amp;LOOKUP('Bulk Order Details'!S221,#REF!,#REF!))</f>
        <v/>
      </c>
      <c r="AM211" s="179" t="str">
        <f aca="false">IF(_xlfn.CONCAT(AH211:AL211)="","","Lo"&amp;_xlfn.CONCAT(AH211:AL211))</f>
        <v/>
      </c>
      <c r="AN211" s="179" t="str">
        <f aca="false">IF('Bulk Order Details'!K221="","","Na-"&amp;'Bulk Order Details'!K221)</f>
        <v/>
      </c>
      <c r="AO211" s="179" t="str">
        <f aca="false">IF('Bulk Order Details'!N221="","","Fo-"&amp;'Bulk Order Details'!N221)</f>
        <v/>
      </c>
      <c r="AP211" s="179" t="str">
        <f aca="false">IF(AE211="","",AE211&amp;"_"&amp;AF211&amp;"_"&amp;AG211&amp;IF(AM211="","","_"&amp;AM211)&amp;IF(AN211="","","_"&amp;AN211)&amp;IF(AO211="","","_"&amp;AO211))</f>
        <v/>
      </c>
      <c r="AQ211" s="218" t="str">
        <f aca="false">IF(X211="","",X211)</f>
        <v/>
      </c>
    </row>
    <row r="212" customFormat="false" ht="15" hidden="false" customHeight="true" outlineLevel="0" collapsed="false">
      <c r="B212" s="209" t="n">
        <f aca="false">'Bulk Order Details'!B222</f>
        <v>209</v>
      </c>
      <c r="C212" s="209" t="e">
        <f aca="false">IF('bulk order details'!#ref!="","",'bulk order details'!#ref!&amp;" "&amp;'bulk order details'!#ref!)</f>
        <v>#VALUE!</v>
      </c>
      <c r="D212" s="210" t="str">
        <f aca="false">IF('Bulk Order Details'!J222="","",VLOOKUP(1,Price[],3))</f>
        <v/>
      </c>
      <c r="E212" s="211" t="str">
        <f aca="false">IF('Bulk Order Details'!J222="","",Summary!$D$9)</f>
        <v/>
      </c>
      <c r="F212" s="212" t="str">
        <f aca="false">IF('Bulk Order Details'!F222="","",_xlfn.xlookup('Bulk Order Details'!F222,Size[Display],Size[Price]))</f>
        <v/>
      </c>
      <c r="G212" s="212" t="str">
        <f aca="false">IF('Bulk Order Details'!G222="","",_xlfn.xlookup('Bulk Order Details'!G222,Length[Display],Length[Price]))</f>
        <v/>
      </c>
      <c r="H212" s="212" t="str">
        <f aca="false">IF('Bulk Order Details'!H222="","",_xlfn.xlookup('Bulk Order Details'!H222,Collection[Display],Collection[Price]))</f>
        <v/>
      </c>
      <c r="I212" s="212" t="str">
        <f aca="false">IF('Bulk Order Details'!I222="","",_xlfn.xlookup('Bulk Order Details'!I222,Sleeve[Display],Sleeve[Price]))</f>
        <v/>
      </c>
      <c r="J212" s="212" t="str">
        <f aca="false">IF('Bulk Order Details'!J222="","",_xlfn.xlookup('Bulk Order Details'!J222,Collar[Display],Collar[Price]))</f>
        <v/>
      </c>
      <c r="K212" s="212" t="str">
        <f aca="false">IF('Bulk Order Details'!K222="","",_xlfn.xlookup("Name",Name[Name],Name[Price]))</f>
        <v/>
      </c>
      <c r="L212" s="213" t="str">
        <f aca="false">IFERROR(IF('Bulk Order Details'!O222="","",IF(_xlfn.xlookup('Bulk Order Details'!O222,Logos[Display],Logos[Use])="Flat",_xlfn.xlookup('Bulk Order Details'!O222,Logos[Display],Logos[Flat]),ROUND(_xlfn.xlookup('Bulk Order Details'!O222,Logos[Display],Logos[Pct])*$E212,2))),"")</f>
        <v/>
      </c>
      <c r="M212" s="222" t="str">
        <f aca="false">IFERROR(IF('Bulk Order Details'!P222="","",IF(_xlfn.xlookup('Bulk Order Details'!P222,Chest[Display],Chest[Use])="Flat",_xlfn.xlookup('Bulk Order Details'!P222,Chest[Display],Chest[Flat]),ROUND(_xlfn.xlookup('Bulk Order Details'!P222,Chest[Display],Chest[Pct])*$E212,2))),"")</f>
        <v/>
      </c>
      <c r="N212" s="222" t="str">
        <f aca="false">IFERROR(IF('Bulk Order Details'!Q222="","",IF(_xlfn.xlookup('Bulk Order Details'!Q222,Chest[Display],Chest[Use])="Flat",_xlfn.xlookup('Bulk Order Details'!Q222,Chest[Display],Chest[Flat]),ROUND(_xlfn.xlookup('Bulk Order Details'!Q222,Chest[Display],Chest[Pct])*$E212,2))),"")</f>
        <v/>
      </c>
      <c r="O212" s="222" t="str">
        <f aca="false">IFERROR(IF('Bulk Order Details'!R222="","",IF(_xlfn.xlookup('Bulk Order Details'!R222,LeftSleeve[Display],LeftSleeve[Use])="Flat",_xlfn.xlookup('Bulk Order Details'!R222,LeftSleeve[Display],LeftSleeve[Flat]),ROUND(_xlfn.xlookup('Bulk Order Details'!R222,LeftSleeve[Display],LeftSleeve[Pct])*$E212,2))),"")</f>
        <v/>
      </c>
      <c r="P212" s="222" t="str">
        <f aca="false">IFERROR(IF('Bulk Order Details'!S222="","",IF(_xlfn.xlookup('Bulk Order Details'!S222,RightSleeve[Display],RightSleeve[Use])="Flat",_xlfn.xlookup('Bulk Order Details'!S222,RightSleeve[Display],RightSleeve[Flat]),ROUND(_xlfn.xlookup('Bulk Order Details'!S222,RightSleeve[Display],RightSleeve[Pct])*$E212,2))),"")</f>
        <v/>
      </c>
      <c r="Q212" s="214" t="str">
        <f aca="false">IF('Bulk Order Details'!J222="","",SUM(F212:P212))</f>
        <v/>
      </c>
      <c r="R212" s="213" t="str">
        <f aca="false">IFERROR(E212-D212,"")</f>
        <v/>
      </c>
      <c r="S212" s="215" t="str">
        <f aca="false">IFERROR(MIN(IF(Summary!$D$11="Yes",-J212,0),IF(H212&gt;0,-J212,0)),"")</f>
        <v/>
      </c>
      <c r="T212" s="212" t="str">
        <f aca="false">IFERROR(IF(Summary!$D$10="Yes",-K212,""),"")</f>
        <v/>
      </c>
      <c r="U212" s="213" t="str">
        <f aca="false">IFERROR(IF(Summary!$D$12="Yes",-L212,""),"")</f>
        <v/>
      </c>
      <c r="V212" s="216" t="str">
        <f aca="false">IF('Bulk Order Details'!J222="","",SUM(R212:U212))</f>
        <v/>
      </c>
      <c r="W212" s="217" t="str">
        <f aca="false">IF('Bulk Order Details'!J222="","",D212+Q212)</f>
        <v/>
      </c>
      <c r="X212" s="218" t="str">
        <f aca="false">IF('Bulk Order Details'!J222="","",D212+Q212+V212)</f>
        <v/>
      </c>
      <c r="Y212" s="219" t="str">
        <f aca="false">IFERROR((W212-X212)/W212,"")</f>
        <v/>
      </c>
      <c r="Z212" s="220" t="str">
        <f aca="false">IF('Bulk Order Details'!J222="","",MAX(1,'Bulk Order Details'!D222))</f>
        <v/>
      </c>
      <c r="AA212" s="217" t="str">
        <f aca="false">IF(Pricing_Details[[#This Row],[Quantity]]="","",Pricing_Details[[#This Row],[Retail Price]]*Pricing_Details[[#This Row],[Quantity]])</f>
        <v/>
      </c>
      <c r="AB212" s="217" t="str">
        <f aca="false">IF(Pricing_Details[[#This Row],[Quantity]]="","",Pricing_Details[[#This Row],[Total Discount]]*Pricing_Details[[#This Row],[Quantity]])</f>
        <v/>
      </c>
      <c r="AC212" s="221" t="str">
        <f aca="false">IFERROR(ROUND(Pricing_Details[[#This Row],[Actual Price]]*Pricing_Details[[#This Row],[Quantity]],2),"")</f>
        <v/>
      </c>
      <c r="AE212" s="179" t="str">
        <f aca="false">IF('Bulk Order Details'!J222="","",VLOOKUP('Bulk Order Details'!H222,Collection[],3)&amp;VLOOKUP('Bulk Order Details'!J222,Collar[],4)&amp;VLOOKUP('Bulk Order Details'!I222,Sleeve[],4))</f>
        <v/>
      </c>
      <c r="AF212" s="179" t="str">
        <f aca="false">IF('Bulk Order Details'!J222="","",LOOKUP('Bulk Order Details'!E222,Cut[Display],Cut[Code])&amp;LOOKUP('Bulk Order Details'!F222,#REF!,#REF!)&amp;IF('Bulk Order Details'!G222="","",LOOKUP('Bulk Order Details'!G222,Length[Display],Length[Code])))</f>
        <v/>
      </c>
      <c r="AG212" s="179" t="str">
        <f aca="false">IF('Bulk Order Details'!J222="","",IF('Bulk Order Details'!C222="","",'Bulk Order Details'!C222))</f>
        <v/>
      </c>
      <c r="AH212" s="179" t="str">
        <f aca="false">IF('Bulk Order Details'!O222="","","-"&amp;LOOKUP('Bulk Order Details'!O222,#REF!,#REF!))</f>
        <v/>
      </c>
      <c r="AI212" s="179" t="str">
        <f aca="false">IF('Bulk Order Details'!P222="","","-"&amp;LOOKUP('Bulk Order Details'!P222,#REF!,#REF!))</f>
        <v/>
      </c>
      <c r="AJ212" s="179" t="str">
        <f aca="false">IF('Bulk Order Details'!Q222="","","-"&amp;LOOKUP('Bulk Order Details'!Q222,#REF!,#REF!))</f>
        <v/>
      </c>
      <c r="AK212" s="179" t="str">
        <f aca="false">IF('Bulk Order Details'!R222="","","-"&amp;LOOKUP('Bulk Order Details'!R222,#REF!,#REF!))</f>
        <v/>
      </c>
      <c r="AL212" s="179" t="str">
        <f aca="false">IF('Bulk Order Details'!S222="","","-"&amp;LOOKUP('Bulk Order Details'!S222,#REF!,#REF!))</f>
        <v/>
      </c>
      <c r="AM212" s="179" t="str">
        <f aca="false">IF(_xlfn.CONCAT(AH212:AL212)="","","Lo"&amp;_xlfn.CONCAT(AH212:AL212))</f>
        <v/>
      </c>
      <c r="AN212" s="179" t="str">
        <f aca="false">IF('Bulk Order Details'!K222="","","Na-"&amp;'Bulk Order Details'!K222)</f>
        <v/>
      </c>
      <c r="AO212" s="179" t="str">
        <f aca="false">IF('Bulk Order Details'!N222="","","Fo-"&amp;'Bulk Order Details'!N222)</f>
        <v/>
      </c>
      <c r="AP212" s="179" t="str">
        <f aca="false">IF(AE212="","",AE212&amp;"_"&amp;AF212&amp;"_"&amp;AG212&amp;IF(AM212="","","_"&amp;AM212)&amp;IF(AN212="","","_"&amp;AN212)&amp;IF(AO212="","","_"&amp;AO212))</f>
        <v/>
      </c>
      <c r="AQ212" s="218" t="str">
        <f aca="false">IF(X212="","",X212)</f>
        <v/>
      </c>
    </row>
    <row r="213" customFormat="false" ht="15" hidden="false" customHeight="true" outlineLevel="0" collapsed="false">
      <c r="B213" s="209" t="n">
        <f aca="false">'Bulk Order Details'!B223</f>
        <v>210</v>
      </c>
      <c r="C213" s="209" t="e">
        <f aca="false">IF('bulk order details'!#ref!="","",'bulk order details'!#ref!&amp;" "&amp;'bulk order details'!#ref!)</f>
        <v>#VALUE!</v>
      </c>
      <c r="D213" s="210" t="str">
        <f aca="false">IF('Bulk Order Details'!J223="","",VLOOKUP(1,Price[],3))</f>
        <v/>
      </c>
      <c r="E213" s="211" t="str">
        <f aca="false">IF('Bulk Order Details'!J223="","",Summary!$D$9)</f>
        <v/>
      </c>
      <c r="F213" s="212" t="str">
        <f aca="false">IF('Bulk Order Details'!F223="","",_xlfn.xlookup('Bulk Order Details'!F223,Size[Display],Size[Price]))</f>
        <v/>
      </c>
      <c r="G213" s="212" t="str">
        <f aca="false">IF('Bulk Order Details'!G223="","",_xlfn.xlookup('Bulk Order Details'!G223,Length[Display],Length[Price]))</f>
        <v/>
      </c>
      <c r="H213" s="212" t="str">
        <f aca="false">IF('Bulk Order Details'!H223="","",_xlfn.xlookup('Bulk Order Details'!H223,Collection[Display],Collection[Price]))</f>
        <v/>
      </c>
      <c r="I213" s="212" t="str">
        <f aca="false">IF('Bulk Order Details'!I223="","",_xlfn.xlookup('Bulk Order Details'!I223,Sleeve[Display],Sleeve[Price]))</f>
        <v/>
      </c>
      <c r="J213" s="212" t="str">
        <f aca="false">IF('Bulk Order Details'!J223="","",_xlfn.xlookup('Bulk Order Details'!J223,Collar[Display],Collar[Price]))</f>
        <v/>
      </c>
      <c r="K213" s="212" t="str">
        <f aca="false">IF('Bulk Order Details'!K223="","",_xlfn.xlookup("Name",Name[Name],Name[Price]))</f>
        <v/>
      </c>
      <c r="L213" s="213" t="str">
        <f aca="false">IFERROR(IF('Bulk Order Details'!O223="","",IF(_xlfn.xlookup('Bulk Order Details'!O223,Logos[Display],Logos[Use])="Flat",_xlfn.xlookup('Bulk Order Details'!O223,Logos[Display],Logos[Flat]),ROUND(_xlfn.xlookup('Bulk Order Details'!O223,Logos[Display],Logos[Pct])*$E213,2))),"")</f>
        <v/>
      </c>
      <c r="M213" s="222" t="str">
        <f aca="false">IFERROR(IF('Bulk Order Details'!P223="","",IF(_xlfn.xlookup('Bulk Order Details'!P223,Chest[Display],Chest[Use])="Flat",_xlfn.xlookup('Bulk Order Details'!P223,Chest[Display],Chest[Flat]),ROUND(_xlfn.xlookup('Bulk Order Details'!P223,Chest[Display],Chest[Pct])*$E213,2))),"")</f>
        <v/>
      </c>
      <c r="N213" s="222" t="str">
        <f aca="false">IFERROR(IF('Bulk Order Details'!Q223="","",IF(_xlfn.xlookup('Bulk Order Details'!Q223,Chest[Display],Chest[Use])="Flat",_xlfn.xlookup('Bulk Order Details'!Q223,Chest[Display],Chest[Flat]),ROUND(_xlfn.xlookup('Bulk Order Details'!Q223,Chest[Display],Chest[Pct])*$E213,2))),"")</f>
        <v/>
      </c>
      <c r="O213" s="222" t="str">
        <f aca="false">IFERROR(IF('Bulk Order Details'!R223="","",IF(_xlfn.xlookup('Bulk Order Details'!R223,LeftSleeve[Display],LeftSleeve[Use])="Flat",_xlfn.xlookup('Bulk Order Details'!R223,LeftSleeve[Display],LeftSleeve[Flat]),ROUND(_xlfn.xlookup('Bulk Order Details'!R223,LeftSleeve[Display],LeftSleeve[Pct])*$E213,2))),"")</f>
        <v/>
      </c>
      <c r="P213" s="222" t="str">
        <f aca="false">IFERROR(IF('Bulk Order Details'!S223="","",IF(_xlfn.xlookup('Bulk Order Details'!S223,RightSleeve[Display],RightSleeve[Use])="Flat",_xlfn.xlookup('Bulk Order Details'!S223,RightSleeve[Display],RightSleeve[Flat]),ROUND(_xlfn.xlookup('Bulk Order Details'!S223,RightSleeve[Display],RightSleeve[Pct])*$E213,2))),"")</f>
        <v/>
      </c>
      <c r="Q213" s="214" t="str">
        <f aca="false">IF('Bulk Order Details'!J223="","",SUM(F213:P213))</f>
        <v/>
      </c>
      <c r="R213" s="213" t="str">
        <f aca="false">IFERROR(E213-D213,"")</f>
        <v/>
      </c>
      <c r="S213" s="215" t="str">
        <f aca="false">IFERROR(MIN(IF(Summary!$D$11="Yes",-J213,0),IF(H213&gt;0,-J213,0)),"")</f>
        <v/>
      </c>
      <c r="T213" s="212" t="str">
        <f aca="false">IFERROR(IF(Summary!$D$10="Yes",-K213,""),"")</f>
        <v/>
      </c>
      <c r="U213" s="213" t="str">
        <f aca="false">IFERROR(IF(Summary!$D$12="Yes",-L213,""),"")</f>
        <v/>
      </c>
      <c r="V213" s="216" t="str">
        <f aca="false">IF('Bulk Order Details'!J223="","",SUM(R213:U213))</f>
        <v/>
      </c>
      <c r="W213" s="217" t="str">
        <f aca="false">IF('Bulk Order Details'!J223="","",D213+Q213)</f>
        <v/>
      </c>
      <c r="X213" s="218" t="str">
        <f aca="false">IF('Bulk Order Details'!J223="","",D213+Q213+V213)</f>
        <v/>
      </c>
      <c r="Y213" s="219" t="str">
        <f aca="false">IFERROR((W213-X213)/W213,"")</f>
        <v/>
      </c>
      <c r="Z213" s="220" t="str">
        <f aca="false">IF('Bulk Order Details'!J223="","",MAX(1,'Bulk Order Details'!D223))</f>
        <v/>
      </c>
      <c r="AA213" s="217" t="str">
        <f aca="false">IF(Pricing_Details[[#This Row],[Quantity]]="","",Pricing_Details[[#This Row],[Retail Price]]*Pricing_Details[[#This Row],[Quantity]])</f>
        <v/>
      </c>
      <c r="AB213" s="217" t="str">
        <f aca="false">IF(Pricing_Details[[#This Row],[Quantity]]="","",Pricing_Details[[#This Row],[Total Discount]]*Pricing_Details[[#This Row],[Quantity]])</f>
        <v/>
      </c>
      <c r="AC213" s="221" t="str">
        <f aca="false">IFERROR(ROUND(Pricing_Details[[#This Row],[Actual Price]]*Pricing_Details[[#This Row],[Quantity]],2),"")</f>
        <v/>
      </c>
      <c r="AE213" s="179" t="str">
        <f aca="false">IF('Bulk Order Details'!J223="","",VLOOKUP('Bulk Order Details'!H223,Collection[],3)&amp;VLOOKUP('Bulk Order Details'!J223,Collar[],4)&amp;VLOOKUP('Bulk Order Details'!I223,Sleeve[],4))</f>
        <v/>
      </c>
      <c r="AF213" s="179" t="str">
        <f aca="false">IF('Bulk Order Details'!J223="","",LOOKUP('Bulk Order Details'!E223,Cut[Display],Cut[Code])&amp;LOOKUP('Bulk Order Details'!F223,#REF!,#REF!)&amp;IF('Bulk Order Details'!G223="","",LOOKUP('Bulk Order Details'!G223,Length[Display],Length[Code])))</f>
        <v/>
      </c>
      <c r="AG213" s="179" t="str">
        <f aca="false">IF('Bulk Order Details'!J223="","",IF('Bulk Order Details'!C223="","",'Bulk Order Details'!C223))</f>
        <v/>
      </c>
      <c r="AH213" s="179" t="str">
        <f aca="false">IF('Bulk Order Details'!O223="","","-"&amp;LOOKUP('Bulk Order Details'!O223,#REF!,#REF!))</f>
        <v/>
      </c>
      <c r="AI213" s="179" t="str">
        <f aca="false">IF('Bulk Order Details'!P223="","","-"&amp;LOOKUP('Bulk Order Details'!P223,#REF!,#REF!))</f>
        <v/>
      </c>
      <c r="AJ213" s="179" t="str">
        <f aca="false">IF('Bulk Order Details'!Q223="","","-"&amp;LOOKUP('Bulk Order Details'!Q223,#REF!,#REF!))</f>
        <v/>
      </c>
      <c r="AK213" s="179" t="str">
        <f aca="false">IF('Bulk Order Details'!R223="","","-"&amp;LOOKUP('Bulk Order Details'!R223,#REF!,#REF!))</f>
        <v/>
      </c>
      <c r="AL213" s="179" t="str">
        <f aca="false">IF('Bulk Order Details'!S223="","","-"&amp;LOOKUP('Bulk Order Details'!S223,#REF!,#REF!))</f>
        <v/>
      </c>
      <c r="AM213" s="179" t="str">
        <f aca="false">IF(_xlfn.CONCAT(AH213:AL213)="","","Lo"&amp;_xlfn.CONCAT(AH213:AL213))</f>
        <v/>
      </c>
      <c r="AN213" s="179" t="str">
        <f aca="false">IF('Bulk Order Details'!K223="","","Na-"&amp;'Bulk Order Details'!K223)</f>
        <v/>
      </c>
      <c r="AO213" s="179" t="str">
        <f aca="false">IF('Bulk Order Details'!N223="","","Fo-"&amp;'Bulk Order Details'!N223)</f>
        <v/>
      </c>
      <c r="AP213" s="179" t="str">
        <f aca="false">IF(AE213="","",AE213&amp;"_"&amp;AF213&amp;"_"&amp;AG213&amp;IF(AM213="","","_"&amp;AM213)&amp;IF(AN213="","","_"&amp;AN213)&amp;IF(AO213="","","_"&amp;AO213))</f>
        <v/>
      </c>
      <c r="AQ213" s="218" t="str">
        <f aca="false">IF(X213="","",X213)</f>
        <v/>
      </c>
    </row>
    <row r="214" customFormat="false" ht="15" hidden="false" customHeight="true" outlineLevel="0" collapsed="false">
      <c r="B214" s="209" t="n">
        <f aca="false">'Bulk Order Details'!B224</f>
        <v>211</v>
      </c>
      <c r="C214" s="209" t="e">
        <f aca="false">IF('bulk order details'!#ref!="","",'bulk order details'!#ref!&amp;" "&amp;'bulk order details'!#ref!)</f>
        <v>#VALUE!</v>
      </c>
      <c r="D214" s="210" t="str">
        <f aca="false">IF('Bulk Order Details'!J224="","",VLOOKUP(1,Price[],3))</f>
        <v/>
      </c>
      <c r="E214" s="211" t="str">
        <f aca="false">IF('Bulk Order Details'!J224="","",Summary!$D$9)</f>
        <v/>
      </c>
      <c r="F214" s="212" t="str">
        <f aca="false">IF('Bulk Order Details'!F224="","",_xlfn.xlookup('Bulk Order Details'!F224,Size[Display],Size[Price]))</f>
        <v/>
      </c>
      <c r="G214" s="212" t="str">
        <f aca="false">IF('Bulk Order Details'!G224="","",_xlfn.xlookup('Bulk Order Details'!G224,Length[Display],Length[Price]))</f>
        <v/>
      </c>
      <c r="H214" s="212" t="str">
        <f aca="false">IF('Bulk Order Details'!H224="","",_xlfn.xlookup('Bulk Order Details'!H224,Collection[Display],Collection[Price]))</f>
        <v/>
      </c>
      <c r="I214" s="212" t="str">
        <f aca="false">IF('Bulk Order Details'!I224="","",_xlfn.xlookup('Bulk Order Details'!I224,Sleeve[Display],Sleeve[Price]))</f>
        <v/>
      </c>
      <c r="J214" s="212" t="str">
        <f aca="false">IF('Bulk Order Details'!J224="","",_xlfn.xlookup('Bulk Order Details'!J224,Collar[Display],Collar[Price]))</f>
        <v/>
      </c>
      <c r="K214" s="212" t="str">
        <f aca="false">IF('Bulk Order Details'!K224="","",_xlfn.xlookup("Name",Name[Name],Name[Price]))</f>
        <v/>
      </c>
      <c r="L214" s="213" t="str">
        <f aca="false">IFERROR(IF('Bulk Order Details'!O224="","",IF(_xlfn.xlookup('Bulk Order Details'!O224,Logos[Display],Logos[Use])="Flat",_xlfn.xlookup('Bulk Order Details'!O224,Logos[Display],Logos[Flat]),ROUND(_xlfn.xlookup('Bulk Order Details'!O224,Logos[Display],Logos[Pct])*$E214,2))),"")</f>
        <v/>
      </c>
      <c r="M214" s="222" t="str">
        <f aca="false">IFERROR(IF('Bulk Order Details'!P224="","",IF(_xlfn.xlookup('Bulk Order Details'!P224,Chest[Display],Chest[Use])="Flat",_xlfn.xlookup('Bulk Order Details'!P224,Chest[Display],Chest[Flat]),ROUND(_xlfn.xlookup('Bulk Order Details'!P224,Chest[Display],Chest[Pct])*$E214,2))),"")</f>
        <v/>
      </c>
      <c r="N214" s="222" t="str">
        <f aca="false">IFERROR(IF('Bulk Order Details'!Q224="","",IF(_xlfn.xlookup('Bulk Order Details'!Q224,Chest[Display],Chest[Use])="Flat",_xlfn.xlookup('Bulk Order Details'!Q224,Chest[Display],Chest[Flat]),ROUND(_xlfn.xlookup('Bulk Order Details'!Q224,Chest[Display],Chest[Pct])*$E214,2))),"")</f>
        <v/>
      </c>
      <c r="O214" s="222" t="str">
        <f aca="false">IFERROR(IF('Bulk Order Details'!R224="","",IF(_xlfn.xlookup('Bulk Order Details'!R224,LeftSleeve[Display],LeftSleeve[Use])="Flat",_xlfn.xlookup('Bulk Order Details'!R224,LeftSleeve[Display],LeftSleeve[Flat]),ROUND(_xlfn.xlookup('Bulk Order Details'!R224,LeftSleeve[Display],LeftSleeve[Pct])*$E214,2))),"")</f>
        <v/>
      </c>
      <c r="P214" s="222" t="str">
        <f aca="false">IFERROR(IF('Bulk Order Details'!S224="","",IF(_xlfn.xlookup('Bulk Order Details'!S224,RightSleeve[Display],RightSleeve[Use])="Flat",_xlfn.xlookup('Bulk Order Details'!S224,RightSleeve[Display],RightSleeve[Flat]),ROUND(_xlfn.xlookup('Bulk Order Details'!S224,RightSleeve[Display],RightSleeve[Pct])*$E214,2))),"")</f>
        <v/>
      </c>
      <c r="Q214" s="214" t="str">
        <f aca="false">IF('Bulk Order Details'!J224="","",SUM(F214:P214))</f>
        <v/>
      </c>
      <c r="R214" s="213" t="str">
        <f aca="false">IFERROR(E214-D214,"")</f>
        <v/>
      </c>
      <c r="S214" s="215" t="str">
        <f aca="false">IFERROR(MIN(IF(Summary!$D$11="Yes",-J214,0),IF(H214&gt;0,-J214,0)),"")</f>
        <v/>
      </c>
      <c r="T214" s="212" t="str">
        <f aca="false">IFERROR(IF(Summary!$D$10="Yes",-K214,""),"")</f>
        <v/>
      </c>
      <c r="U214" s="213" t="str">
        <f aca="false">IFERROR(IF(Summary!$D$12="Yes",-L214,""),"")</f>
        <v/>
      </c>
      <c r="V214" s="216" t="str">
        <f aca="false">IF('Bulk Order Details'!J224="","",SUM(R214:U214))</f>
        <v/>
      </c>
      <c r="W214" s="217" t="str">
        <f aca="false">IF('Bulk Order Details'!J224="","",D214+Q214)</f>
        <v/>
      </c>
      <c r="X214" s="218" t="str">
        <f aca="false">IF('Bulk Order Details'!J224="","",D214+Q214+V214)</f>
        <v/>
      </c>
      <c r="Y214" s="219" t="str">
        <f aca="false">IFERROR((W214-X214)/W214,"")</f>
        <v/>
      </c>
      <c r="Z214" s="220" t="str">
        <f aca="false">IF('Bulk Order Details'!J224="","",MAX(1,'Bulk Order Details'!D224))</f>
        <v/>
      </c>
      <c r="AA214" s="217" t="str">
        <f aca="false">IF(Pricing_Details[[#This Row],[Quantity]]="","",Pricing_Details[[#This Row],[Retail Price]]*Pricing_Details[[#This Row],[Quantity]])</f>
        <v/>
      </c>
      <c r="AB214" s="217" t="str">
        <f aca="false">IF(Pricing_Details[[#This Row],[Quantity]]="","",Pricing_Details[[#This Row],[Total Discount]]*Pricing_Details[[#This Row],[Quantity]])</f>
        <v/>
      </c>
      <c r="AC214" s="221" t="str">
        <f aca="false">IFERROR(ROUND(Pricing_Details[[#This Row],[Actual Price]]*Pricing_Details[[#This Row],[Quantity]],2),"")</f>
        <v/>
      </c>
      <c r="AE214" s="179" t="str">
        <f aca="false">IF('Bulk Order Details'!J224="","",VLOOKUP('Bulk Order Details'!H224,Collection[],3)&amp;VLOOKUP('Bulk Order Details'!J224,Collar[],4)&amp;VLOOKUP('Bulk Order Details'!I224,Sleeve[],4))</f>
        <v/>
      </c>
      <c r="AF214" s="179" t="str">
        <f aca="false">IF('Bulk Order Details'!J224="","",LOOKUP('Bulk Order Details'!E224,Cut[Display],Cut[Code])&amp;LOOKUP('Bulk Order Details'!F224,#REF!,#REF!)&amp;IF('Bulk Order Details'!G224="","",LOOKUP('Bulk Order Details'!G224,Length[Display],Length[Code])))</f>
        <v/>
      </c>
      <c r="AG214" s="179" t="str">
        <f aca="false">IF('Bulk Order Details'!J224="","",IF('Bulk Order Details'!C224="","",'Bulk Order Details'!C224))</f>
        <v/>
      </c>
      <c r="AH214" s="179" t="str">
        <f aca="false">IF('Bulk Order Details'!O224="","","-"&amp;LOOKUP('Bulk Order Details'!O224,#REF!,#REF!))</f>
        <v/>
      </c>
      <c r="AI214" s="179" t="str">
        <f aca="false">IF('Bulk Order Details'!P224="","","-"&amp;LOOKUP('Bulk Order Details'!P224,#REF!,#REF!))</f>
        <v/>
      </c>
      <c r="AJ214" s="179" t="str">
        <f aca="false">IF('Bulk Order Details'!Q224="","","-"&amp;LOOKUP('Bulk Order Details'!Q224,#REF!,#REF!))</f>
        <v/>
      </c>
      <c r="AK214" s="179" t="str">
        <f aca="false">IF('Bulk Order Details'!R224="","","-"&amp;LOOKUP('Bulk Order Details'!R224,#REF!,#REF!))</f>
        <v/>
      </c>
      <c r="AL214" s="179" t="str">
        <f aca="false">IF('Bulk Order Details'!S224="","","-"&amp;LOOKUP('Bulk Order Details'!S224,#REF!,#REF!))</f>
        <v/>
      </c>
      <c r="AM214" s="179" t="str">
        <f aca="false">IF(_xlfn.CONCAT(AH214:AL214)="","","Lo"&amp;_xlfn.CONCAT(AH214:AL214))</f>
        <v/>
      </c>
      <c r="AN214" s="179" t="str">
        <f aca="false">IF('Bulk Order Details'!K224="","","Na-"&amp;'Bulk Order Details'!K224)</f>
        <v/>
      </c>
      <c r="AO214" s="179" t="str">
        <f aca="false">IF('Bulk Order Details'!N224="","","Fo-"&amp;'Bulk Order Details'!N224)</f>
        <v/>
      </c>
      <c r="AP214" s="179" t="str">
        <f aca="false">IF(AE214="","",AE214&amp;"_"&amp;AF214&amp;"_"&amp;AG214&amp;IF(AM214="","","_"&amp;AM214)&amp;IF(AN214="","","_"&amp;AN214)&amp;IF(AO214="","","_"&amp;AO214))</f>
        <v/>
      </c>
      <c r="AQ214" s="218" t="str">
        <f aca="false">IF(X214="","",X214)</f>
        <v/>
      </c>
    </row>
    <row r="215" customFormat="false" ht="15" hidden="false" customHeight="true" outlineLevel="0" collapsed="false">
      <c r="B215" s="209" t="n">
        <f aca="false">'Bulk Order Details'!B225</f>
        <v>212</v>
      </c>
      <c r="C215" s="209" t="e">
        <f aca="false">IF('bulk order details'!#ref!="","",'bulk order details'!#ref!&amp;" "&amp;'bulk order details'!#ref!)</f>
        <v>#VALUE!</v>
      </c>
      <c r="D215" s="210" t="str">
        <f aca="false">IF('Bulk Order Details'!J225="","",VLOOKUP(1,Price[],3))</f>
        <v/>
      </c>
      <c r="E215" s="211" t="str">
        <f aca="false">IF('Bulk Order Details'!J225="","",Summary!$D$9)</f>
        <v/>
      </c>
      <c r="F215" s="212" t="str">
        <f aca="false">IF('Bulk Order Details'!F225="","",_xlfn.xlookup('Bulk Order Details'!F225,Size[Display],Size[Price]))</f>
        <v/>
      </c>
      <c r="G215" s="212" t="str">
        <f aca="false">IF('Bulk Order Details'!G225="","",_xlfn.xlookup('Bulk Order Details'!G225,Length[Display],Length[Price]))</f>
        <v/>
      </c>
      <c r="H215" s="212" t="str">
        <f aca="false">IF('Bulk Order Details'!H225="","",_xlfn.xlookup('Bulk Order Details'!H225,Collection[Display],Collection[Price]))</f>
        <v/>
      </c>
      <c r="I215" s="212" t="str">
        <f aca="false">IF('Bulk Order Details'!I225="","",_xlfn.xlookup('Bulk Order Details'!I225,Sleeve[Display],Sleeve[Price]))</f>
        <v/>
      </c>
      <c r="J215" s="212" t="str">
        <f aca="false">IF('Bulk Order Details'!J225="","",_xlfn.xlookup('Bulk Order Details'!J225,Collar[Display],Collar[Price]))</f>
        <v/>
      </c>
      <c r="K215" s="212" t="str">
        <f aca="false">IF('Bulk Order Details'!K225="","",_xlfn.xlookup("Name",Name[Name],Name[Price]))</f>
        <v/>
      </c>
      <c r="L215" s="213" t="str">
        <f aca="false">IFERROR(IF('Bulk Order Details'!O225="","",IF(_xlfn.xlookup('Bulk Order Details'!O225,Logos[Display],Logos[Use])="Flat",_xlfn.xlookup('Bulk Order Details'!O225,Logos[Display],Logos[Flat]),ROUND(_xlfn.xlookup('Bulk Order Details'!O225,Logos[Display],Logos[Pct])*$E215,2))),"")</f>
        <v/>
      </c>
      <c r="M215" s="222" t="str">
        <f aca="false">IFERROR(IF('Bulk Order Details'!P225="","",IF(_xlfn.xlookup('Bulk Order Details'!P225,Chest[Display],Chest[Use])="Flat",_xlfn.xlookup('Bulk Order Details'!P225,Chest[Display],Chest[Flat]),ROUND(_xlfn.xlookup('Bulk Order Details'!P225,Chest[Display],Chest[Pct])*$E215,2))),"")</f>
        <v/>
      </c>
      <c r="N215" s="222" t="str">
        <f aca="false">IFERROR(IF('Bulk Order Details'!Q225="","",IF(_xlfn.xlookup('Bulk Order Details'!Q225,Chest[Display],Chest[Use])="Flat",_xlfn.xlookup('Bulk Order Details'!Q225,Chest[Display],Chest[Flat]),ROUND(_xlfn.xlookup('Bulk Order Details'!Q225,Chest[Display],Chest[Pct])*$E215,2))),"")</f>
        <v/>
      </c>
      <c r="O215" s="222" t="str">
        <f aca="false">IFERROR(IF('Bulk Order Details'!R225="","",IF(_xlfn.xlookup('Bulk Order Details'!R225,LeftSleeve[Display],LeftSleeve[Use])="Flat",_xlfn.xlookup('Bulk Order Details'!R225,LeftSleeve[Display],LeftSleeve[Flat]),ROUND(_xlfn.xlookup('Bulk Order Details'!R225,LeftSleeve[Display],LeftSleeve[Pct])*$E215,2))),"")</f>
        <v/>
      </c>
      <c r="P215" s="222" t="str">
        <f aca="false">IFERROR(IF('Bulk Order Details'!S225="","",IF(_xlfn.xlookup('Bulk Order Details'!S225,RightSleeve[Display],RightSleeve[Use])="Flat",_xlfn.xlookup('Bulk Order Details'!S225,RightSleeve[Display],RightSleeve[Flat]),ROUND(_xlfn.xlookup('Bulk Order Details'!S225,RightSleeve[Display],RightSleeve[Pct])*$E215,2))),"")</f>
        <v/>
      </c>
      <c r="Q215" s="214" t="str">
        <f aca="false">IF('Bulk Order Details'!J225="","",SUM(F215:P215))</f>
        <v/>
      </c>
      <c r="R215" s="213" t="str">
        <f aca="false">IFERROR(E215-D215,"")</f>
        <v/>
      </c>
      <c r="S215" s="215" t="str">
        <f aca="false">IFERROR(MIN(IF(Summary!$D$11="Yes",-J215,0),IF(H215&gt;0,-J215,0)),"")</f>
        <v/>
      </c>
      <c r="T215" s="212" t="str">
        <f aca="false">IFERROR(IF(Summary!$D$10="Yes",-K215,""),"")</f>
        <v/>
      </c>
      <c r="U215" s="213" t="str">
        <f aca="false">IFERROR(IF(Summary!$D$12="Yes",-L215,""),"")</f>
        <v/>
      </c>
      <c r="V215" s="216" t="str">
        <f aca="false">IF('Bulk Order Details'!J225="","",SUM(R215:U215))</f>
        <v/>
      </c>
      <c r="W215" s="217" t="str">
        <f aca="false">IF('Bulk Order Details'!J225="","",D215+Q215)</f>
        <v/>
      </c>
      <c r="X215" s="218" t="str">
        <f aca="false">IF('Bulk Order Details'!J225="","",D215+Q215+V215)</f>
        <v/>
      </c>
      <c r="Y215" s="219" t="str">
        <f aca="false">IFERROR((W215-X215)/W215,"")</f>
        <v/>
      </c>
      <c r="Z215" s="220" t="str">
        <f aca="false">IF('Bulk Order Details'!J225="","",MAX(1,'Bulk Order Details'!D225))</f>
        <v/>
      </c>
      <c r="AA215" s="217" t="str">
        <f aca="false">IF(Pricing_Details[[#This Row],[Quantity]]="","",Pricing_Details[[#This Row],[Retail Price]]*Pricing_Details[[#This Row],[Quantity]])</f>
        <v/>
      </c>
      <c r="AB215" s="217" t="str">
        <f aca="false">IF(Pricing_Details[[#This Row],[Quantity]]="","",Pricing_Details[[#This Row],[Total Discount]]*Pricing_Details[[#This Row],[Quantity]])</f>
        <v/>
      </c>
      <c r="AC215" s="221" t="str">
        <f aca="false">IFERROR(ROUND(Pricing_Details[[#This Row],[Actual Price]]*Pricing_Details[[#This Row],[Quantity]],2),"")</f>
        <v/>
      </c>
      <c r="AE215" s="179" t="str">
        <f aca="false">IF('Bulk Order Details'!J225="","",VLOOKUP('Bulk Order Details'!H225,Collection[],3)&amp;VLOOKUP('Bulk Order Details'!J225,Collar[],4)&amp;VLOOKUP('Bulk Order Details'!I225,Sleeve[],4))</f>
        <v/>
      </c>
      <c r="AF215" s="179" t="str">
        <f aca="false">IF('Bulk Order Details'!J225="","",LOOKUP('Bulk Order Details'!E225,Cut[Display],Cut[Code])&amp;LOOKUP('Bulk Order Details'!F225,#REF!,#REF!)&amp;IF('Bulk Order Details'!G225="","",LOOKUP('Bulk Order Details'!G225,Length[Display],Length[Code])))</f>
        <v/>
      </c>
      <c r="AG215" s="179" t="str">
        <f aca="false">IF('Bulk Order Details'!J225="","",IF('Bulk Order Details'!C225="","",'Bulk Order Details'!C225))</f>
        <v/>
      </c>
      <c r="AH215" s="179" t="str">
        <f aca="false">IF('Bulk Order Details'!O225="","","-"&amp;LOOKUP('Bulk Order Details'!O225,#REF!,#REF!))</f>
        <v/>
      </c>
      <c r="AI215" s="179" t="str">
        <f aca="false">IF('Bulk Order Details'!P225="","","-"&amp;LOOKUP('Bulk Order Details'!P225,#REF!,#REF!))</f>
        <v/>
      </c>
      <c r="AJ215" s="179" t="str">
        <f aca="false">IF('Bulk Order Details'!Q225="","","-"&amp;LOOKUP('Bulk Order Details'!Q225,#REF!,#REF!))</f>
        <v/>
      </c>
      <c r="AK215" s="179" t="str">
        <f aca="false">IF('Bulk Order Details'!R225="","","-"&amp;LOOKUP('Bulk Order Details'!R225,#REF!,#REF!))</f>
        <v/>
      </c>
      <c r="AL215" s="179" t="str">
        <f aca="false">IF('Bulk Order Details'!S225="","","-"&amp;LOOKUP('Bulk Order Details'!S225,#REF!,#REF!))</f>
        <v/>
      </c>
      <c r="AM215" s="179" t="str">
        <f aca="false">IF(_xlfn.CONCAT(AH215:AL215)="","","Lo"&amp;_xlfn.CONCAT(AH215:AL215))</f>
        <v/>
      </c>
      <c r="AN215" s="179" t="str">
        <f aca="false">IF('Bulk Order Details'!K225="","","Na-"&amp;'Bulk Order Details'!K225)</f>
        <v/>
      </c>
      <c r="AO215" s="179" t="str">
        <f aca="false">IF('Bulk Order Details'!N225="","","Fo-"&amp;'Bulk Order Details'!N225)</f>
        <v/>
      </c>
      <c r="AP215" s="179" t="str">
        <f aca="false">IF(AE215="","",AE215&amp;"_"&amp;AF215&amp;"_"&amp;AG215&amp;IF(AM215="","","_"&amp;AM215)&amp;IF(AN215="","","_"&amp;AN215)&amp;IF(AO215="","","_"&amp;AO215))</f>
        <v/>
      </c>
      <c r="AQ215" s="218" t="str">
        <f aca="false">IF(X215="","",X215)</f>
        <v/>
      </c>
    </row>
    <row r="216" customFormat="false" ht="15" hidden="false" customHeight="true" outlineLevel="0" collapsed="false">
      <c r="B216" s="209" t="n">
        <f aca="false">'Bulk Order Details'!B226</f>
        <v>213</v>
      </c>
      <c r="C216" s="209" t="e">
        <f aca="false">IF('bulk order details'!#ref!="","",'bulk order details'!#ref!&amp;" "&amp;'bulk order details'!#ref!)</f>
        <v>#VALUE!</v>
      </c>
      <c r="D216" s="210" t="str">
        <f aca="false">IF('Bulk Order Details'!J226="","",VLOOKUP(1,Price[],3))</f>
        <v/>
      </c>
      <c r="E216" s="211" t="str">
        <f aca="false">IF('Bulk Order Details'!J226="","",Summary!$D$9)</f>
        <v/>
      </c>
      <c r="F216" s="212" t="str">
        <f aca="false">IF('Bulk Order Details'!F226="","",_xlfn.xlookup('Bulk Order Details'!F226,Size[Display],Size[Price]))</f>
        <v/>
      </c>
      <c r="G216" s="212" t="str">
        <f aca="false">IF('Bulk Order Details'!G226="","",_xlfn.xlookup('Bulk Order Details'!G226,Length[Display],Length[Price]))</f>
        <v/>
      </c>
      <c r="H216" s="212" t="str">
        <f aca="false">IF('Bulk Order Details'!H226="","",_xlfn.xlookup('Bulk Order Details'!H226,Collection[Display],Collection[Price]))</f>
        <v/>
      </c>
      <c r="I216" s="212" t="str">
        <f aca="false">IF('Bulk Order Details'!I226="","",_xlfn.xlookup('Bulk Order Details'!I226,Sleeve[Display],Sleeve[Price]))</f>
        <v/>
      </c>
      <c r="J216" s="212" t="str">
        <f aca="false">IF('Bulk Order Details'!J226="","",_xlfn.xlookup('Bulk Order Details'!J226,Collar[Display],Collar[Price]))</f>
        <v/>
      </c>
      <c r="K216" s="212" t="str">
        <f aca="false">IF('Bulk Order Details'!K226="","",_xlfn.xlookup("Name",Name[Name],Name[Price]))</f>
        <v/>
      </c>
      <c r="L216" s="213" t="str">
        <f aca="false">IFERROR(IF('Bulk Order Details'!O226="","",IF(_xlfn.xlookup('Bulk Order Details'!O226,Logos[Display],Logos[Use])="Flat",_xlfn.xlookup('Bulk Order Details'!O226,Logos[Display],Logos[Flat]),ROUND(_xlfn.xlookup('Bulk Order Details'!O226,Logos[Display],Logos[Pct])*$E216,2))),"")</f>
        <v/>
      </c>
      <c r="M216" s="222" t="str">
        <f aca="false">IFERROR(IF('Bulk Order Details'!P226="","",IF(_xlfn.xlookup('Bulk Order Details'!P226,Chest[Display],Chest[Use])="Flat",_xlfn.xlookup('Bulk Order Details'!P226,Chest[Display],Chest[Flat]),ROUND(_xlfn.xlookup('Bulk Order Details'!P226,Chest[Display],Chest[Pct])*$E216,2))),"")</f>
        <v/>
      </c>
      <c r="N216" s="222" t="str">
        <f aca="false">IFERROR(IF('Bulk Order Details'!Q226="","",IF(_xlfn.xlookup('Bulk Order Details'!Q226,Chest[Display],Chest[Use])="Flat",_xlfn.xlookup('Bulk Order Details'!Q226,Chest[Display],Chest[Flat]),ROUND(_xlfn.xlookup('Bulk Order Details'!Q226,Chest[Display],Chest[Pct])*$E216,2))),"")</f>
        <v/>
      </c>
      <c r="O216" s="222" t="str">
        <f aca="false">IFERROR(IF('Bulk Order Details'!R226="","",IF(_xlfn.xlookup('Bulk Order Details'!R226,LeftSleeve[Display],LeftSleeve[Use])="Flat",_xlfn.xlookup('Bulk Order Details'!R226,LeftSleeve[Display],LeftSleeve[Flat]),ROUND(_xlfn.xlookup('Bulk Order Details'!R226,LeftSleeve[Display],LeftSleeve[Pct])*$E216,2))),"")</f>
        <v/>
      </c>
      <c r="P216" s="222" t="str">
        <f aca="false">IFERROR(IF('Bulk Order Details'!S226="","",IF(_xlfn.xlookup('Bulk Order Details'!S226,RightSleeve[Display],RightSleeve[Use])="Flat",_xlfn.xlookup('Bulk Order Details'!S226,RightSleeve[Display],RightSleeve[Flat]),ROUND(_xlfn.xlookup('Bulk Order Details'!S226,RightSleeve[Display],RightSleeve[Pct])*$E216,2))),"")</f>
        <v/>
      </c>
      <c r="Q216" s="214" t="str">
        <f aca="false">IF('Bulk Order Details'!J226="","",SUM(F216:P216))</f>
        <v/>
      </c>
      <c r="R216" s="213" t="str">
        <f aca="false">IFERROR(E216-D216,"")</f>
        <v/>
      </c>
      <c r="S216" s="215" t="str">
        <f aca="false">IFERROR(MIN(IF(Summary!$D$11="Yes",-J216,0),IF(H216&gt;0,-J216,0)),"")</f>
        <v/>
      </c>
      <c r="T216" s="212" t="str">
        <f aca="false">IFERROR(IF(Summary!$D$10="Yes",-K216,""),"")</f>
        <v/>
      </c>
      <c r="U216" s="213" t="str">
        <f aca="false">IFERROR(IF(Summary!$D$12="Yes",-L216,""),"")</f>
        <v/>
      </c>
      <c r="V216" s="216" t="str">
        <f aca="false">IF('Bulk Order Details'!J226="","",SUM(R216:U216))</f>
        <v/>
      </c>
      <c r="W216" s="217" t="str">
        <f aca="false">IF('Bulk Order Details'!J226="","",D216+Q216)</f>
        <v/>
      </c>
      <c r="X216" s="218" t="str">
        <f aca="false">IF('Bulk Order Details'!J226="","",D216+Q216+V216)</f>
        <v/>
      </c>
      <c r="Y216" s="219" t="str">
        <f aca="false">IFERROR((W216-X216)/W216,"")</f>
        <v/>
      </c>
      <c r="Z216" s="220" t="str">
        <f aca="false">IF('Bulk Order Details'!J226="","",MAX(1,'Bulk Order Details'!D226))</f>
        <v/>
      </c>
      <c r="AA216" s="217" t="str">
        <f aca="false">IF(Pricing_Details[[#This Row],[Quantity]]="","",Pricing_Details[[#This Row],[Retail Price]]*Pricing_Details[[#This Row],[Quantity]])</f>
        <v/>
      </c>
      <c r="AB216" s="217" t="str">
        <f aca="false">IF(Pricing_Details[[#This Row],[Quantity]]="","",Pricing_Details[[#This Row],[Total Discount]]*Pricing_Details[[#This Row],[Quantity]])</f>
        <v/>
      </c>
      <c r="AC216" s="221" t="str">
        <f aca="false">IFERROR(ROUND(Pricing_Details[[#This Row],[Actual Price]]*Pricing_Details[[#This Row],[Quantity]],2),"")</f>
        <v/>
      </c>
      <c r="AE216" s="179" t="str">
        <f aca="false">IF('Bulk Order Details'!J226="","",VLOOKUP('Bulk Order Details'!H226,Collection[],3)&amp;VLOOKUP('Bulk Order Details'!J226,Collar[],4)&amp;VLOOKUP('Bulk Order Details'!I226,Sleeve[],4))</f>
        <v/>
      </c>
      <c r="AF216" s="179" t="str">
        <f aca="false">IF('Bulk Order Details'!J226="","",LOOKUP('Bulk Order Details'!E226,Cut[Display],Cut[Code])&amp;LOOKUP('Bulk Order Details'!F226,#REF!,#REF!)&amp;IF('Bulk Order Details'!G226="","",LOOKUP('Bulk Order Details'!G226,Length[Display],Length[Code])))</f>
        <v/>
      </c>
      <c r="AG216" s="179" t="str">
        <f aca="false">IF('Bulk Order Details'!J226="","",IF('Bulk Order Details'!C226="","",'Bulk Order Details'!C226))</f>
        <v/>
      </c>
      <c r="AH216" s="179" t="str">
        <f aca="false">IF('Bulk Order Details'!O226="","","-"&amp;LOOKUP('Bulk Order Details'!O226,#REF!,#REF!))</f>
        <v/>
      </c>
      <c r="AI216" s="179" t="str">
        <f aca="false">IF('Bulk Order Details'!P226="","","-"&amp;LOOKUP('Bulk Order Details'!P226,#REF!,#REF!))</f>
        <v/>
      </c>
      <c r="AJ216" s="179" t="str">
        <f aca="false">IF('Bulk Order Details'!Q226="","","-"&amp;LOOKUP('Bulk Order Details'!Q226,#REF!,#REF!))</f>
        <v/>
      </c>
      <c r="AK216" s="179" t="str">
        <f aca="false">IF('Bulk Order Details'!R226="","","-"&amp;LOOKUP('Bulk Order Details'!R226,#REF!,#REF!))</f>
        <v/>
      </c>
      <c r="AL216" s="179" t="str">
        <f aca="false">IF('Bulk Order Details'!S226="","","-"&amp;LOOKUP('Bulk Order Details'!S226,#REF!,#REF!))</f>
        <v/>
      </c>
      <c r="AM216" s="179" t="str">
        <f aca="false">IF(_xlfn.CONCAT(AH216:AL216)="","","Lo"&amp;_xlfn.CONCAT(AH216:AL216))</f>
        <v/>
      </c>
      <c r="AN216" s="179" t="str">
        <f aca="false">IF('Bulk Order Details'!K226="","","Na-"&amp;'Bulk Order Details'!K226)</f>
        <v/>
      </c>
      <c r="AO216" s="179" t="str">
        <f aca="false">IF('Bulk Order Details'!N226="","","Fo-"&amp;'Bulk Order Details'!N226)</f>
        <v/>
      </c>
      <c r="AP216" s="179" t="str">
        <f aca="false">IF(AE216="","",AE216&amp;"_"&amp;AF216&amp;"_"&amp;AG216&amp;IF(AM216="","","_"&amp;AM216)&amp;IF(AN216="","","_"&amp;AN216)&amp;IF(AO216="","","_"&amp;AO216))</f>
        <v/>
      </c>
      <c r="AQ216" s="218" t="str">
        <f aca="false">IF(X216="","",X216)</f>
        <v/>
      </c>
    </row>
    <row r="217" customFormat="false" ht="15" hidden="false" customHeight="true" outlineLevel="0" collapsed="false">
      <c r="B217" s="209" t="n">
        <f aca="false">'Bulk Order Details'!B227</f>
        <v>214</v>
      </c>
      <c r="C217" s="209" t="e">
        <f aca="false">IF('bulk order details'!#ref!="","",'bulk order details'!#ref!&amp;" "&amp;'bulk order details'!#ref!)</f>
        <v>#VALUE!</v>
      </c>
      <c r="D217" s="210" t="str">
        <f aca="false">IF('Bulk Order Details'!J227="","",VLOOKUP(1,Price[],3))</f>
        <v/>
      </c>
      <c r="E217" s="211" t="str">
        <f aca="false">IF('Bulk Order Details'!J227="","",Summary!$D$9)</f>
        <v/>
      </c>
      <c r="F217" s="212" t="str">
        <f aca="false">IF('Bulk Order Details'!F227="","",_xlfn.xlookup('Bulk Order Details'!F227,Size[Display],Size[Price]))</f>
        <v/>
      </c>
      <c r="G217" s="212" t="str">
        <f aca="false">IF('Bulk Order Details'!G227="","",_xlfn.xlookup('Bulk Order Details'!G227,Length[Display],Length[Price]))</f>
        <v/>
      </c>
      <c r="H217" s="212" t="str">
        <f aca="false">IF('Bulk Order Details'!H227="","",_xlfn.xlookup('Bulk Order Details'!H227,Collection[Display],Collection[Price]))</f>
        <v/>
      </c>
      <c r="I217" s="212" t="str">
        <f aca="false">IF('Bulk Order Details'!I227="","",_xlfn.xlookup('Bulk Order Details'!I227,Sleeve[Display],Sleeve[Price]))</f>
        <v/>
      </c>
      <c r="J217" s="212" t="str">
        <f aca="false">IF('Bulk Order Details'!J227="","",_xlfn.xlookup('Bulk Order Details'!J227,Collar[Display],Collar[Price]))</f>
        <v/>
      </c>
      <c r="K217" s="212" t="str">
        <f aca="false">IF('Bulk Order Details'!K227="","",_xlfn.xlookup("Name",Name[Name],Name[Price]))</f>
        <v/>
      </c>
      <c r="L217" s="213" t="str">
        <f aca="false">IFERROR(IF('Bulk Order Details'!O227="","",IF(_xlfn.xlookup('Bulk Order Details'!O227,Logos[Display],Logos[Use])="Flat",_xlfn.xlookup('Bulk Order Details'!O227,Logos[Display],Logos[Flat]),ROUND(_xlfn.xlookup('Bulk Order Details'!O227,Logos[Display],Logos[Pct])*$E217,2))),"")</f>
        <v/>
      </c>
      <c r="M217" s="222" t="str">
        <f aca="false">IFERROR(IF('Bulk Order Details'!P227="","",IF(_xlfn.xlookup('Bulk Order Details'!P227,Chest[Display],Chest[Use])="Flat",_xlfn.xlookup('Bulk Order Details'!P227,Chest[Display],Chest[Flat]),ROUND(_xlfn.xlookup('Bulk Order Details'!P227,Chest[Display],Chest[Pct])*$E217,2))),"")</f>
        <v/>
      </c>
      <c r="N217" s="222" t="str">
        <f aca="false">IFERROR(IF('Bulk Order Details'!Q227="","",IF(_xlfn.xlookup('Bulk Order Details'!Q227,Chest[Display],Chest[Use])="Flat",_xlfn.xlookup('Bulk Order Details'!Q227,Chest[Display],Chest[Flat]),ROUND(_xlfn.xlookup('Bulk Order Details'!Q227,Chest[Display],Chest[Pct])*$E217,2))),"")</f>
        <v/>
      </c>
      <c r="O217" s="222" t="str">
        <f aca="false">IFERROR(IF('Bulk Order Details'!R227="","",IF(_xlfn.xlookup('Bulk Order Details'!R227,LeftSleeve[Display],LeftSleeve[Use])="Flat",_xlfn.xlookup('Bulk Order Details'!R227,LeftSleeve[Display],LeftSleeve[Flat]),ROUND(_xlfn.xlookup('Bulk Order Details'!R227,LeftSleeve[Display],LeftSleeve[Pct])*$E217,2))),"")</f>
        <v/>
      </c>
      <c r="P217" s="222" t="str">
        <f aca="false">IFERROR(IF('Bulk Order Details'!S227="","",IF(_xlfn.xlookup('Bulk Order Details'!S227,RightSleeve[Display],RightSleeve[Use])="Flat",_xlfn.xlookup('Bulk Order Details'!S227,RightSleeve[Display],RightSleeve[Flat]),ROUND(_xlfn.xlookup('Bulk Order Details'!S227,RightSleeve[Display],RightSleeve[Pct])*$E217,2))),"")</f>
        <v/>
      </c>
      <c r="Q217" s="214" t="str">
        <f aca="false">IF('Bulk Order Details'!J227="","",SUM(F217:P217))</f>
        <v/>
      </c>
      <c r="R217" s="213" t="str">
        <f aca="false">IFERROR(E217-D217,"")</f>
        <v/>
      </c>
      <c r="S217" s="215" t="str">
        <f aca="false">IFERROR(MIN(IF(Summary!$D$11="Yes",-J217,0),IF(H217&gt;0,-J217,0)),"")</f>
        <v/>
      </c>
      <c r="T217" s="212" t="str">
        <f aca="false">IFERROR(IF(Summary!$D$10="Yes",-K217,""),"")</f>
        <v/>
      </c>
      <c r="U217" s="213" t="str">
        <f aca="false">IFERROR(IF(Summary!$D$12="Yes",-L217,""),"")</f>
        <v/>
      </c>
      <c r="V217" s="216" t="str">
        <f aca="false">IF('Bulk Order Details'!J227="","",SUM(R217:U217))</f>
        <v/>
      </c>
      <c r="W217" s="217" t="str">
        <f aca="false">IF('Bulk Order Details'!J227="","",D217+Q217)</f>
        <v/>
      </c>
      <c r="X217" s="218" t="str">
        <f aca="false">IF('Bulk Order Details'!J227="","",D217+Q217+V217)</f>
        <v/>
      </c>
      <c r="Y217" s="219" t="str">
        <f aca="false">IFERROR((W217-X217)/W217,"")</f>
        <v/>
      </c>
      <c r="Z217" s="220" t="str">
        <f aca="false">IF('Bulk Order Details'!J227="","",MAX(1,'Bulk Order Details'!D227))</f>
        <v/>
      </c>
      <c r="AA217" s="217" t="str">
        <f aca="false">IF(Pricing_Details[[#This Row],[Quantity]]="","",Pricing_Details[[#This Row],[Retail Price]]*Pricing_Details[[#This Row],[Quantity]])</f>
        <v/>
      </c>
      <c r="AB217" s="217" t="str">
        <f aca="false">IF(Pricing_Details[[#This Row],[Quantity]]="","",Pricing_Details[[#This Row],[Total Discount]]*Pricing_Details[[#This Row],[Quantity]])</f>
        <v/>
      </c>
      <c r="AC217" s="221" t="str">
        <f aca="false">IFERROR(ROUND(Pricing_Details[[#This Row],[Actual Price]]*Pricing_Details[[#This Row],[Quantity]],2),"")</f>
        <v/>
      </c>
      <c r="AE217" s="179" t="str">
        <f aca="false">IF('Bulk Order Details'!J227="","",VLOOKUP('Bulk Order Details'!H227,Collection[],3)&amp;VLOOKUP('Bulk Order Details'!J227,Collar[],4)&amp;VLOOKUP('Bulk Order Details'!I227,Sleeve[],4))</f>
        <v/>
      </c>
      <c r="AF217" s="179" t="str">
        <f aca="false">IF('Bulk Order Details'!J227="","",LOOKUP('Bulk Order Details'!E227,Cut[Display],Cut[Code])&amp;LOOKUP('Bulk Order Details'!F227,#REF!,#REF!)&amp;IF('Bulk Order Details'!G227="","",LOOKUP('Bulk Order Details'!G227,Length[Display],Length[Code])))</f>
        <v/>
      </c>
      <c r="AG217" s="179" t="str">
        <f aca="false">IF('Bulk Order Details'!J227="","",IF('Bulk Order Details'!C227="","",'Bulk Order Details'!C227))</f>
        <v/>
      </c>
      <c r="AH217" s="179" t="str">
        <f aca="false">IF('Bulk Order Details'!O227="","","-"&amp;LOOKUP('Bulk Order Details'!O227,#REF!,#REF!))</f>
        <v/>
      </c>
      <c r="AI217" s="179" t="str">
        <f aca="false">IF('Bulk Order Details'!P227="","","-"&amp;LOOKUP('Bulk Order Details'!P227,#REF!,#REF!))</f>
        <v/>
      </c>
      <c r="AJ217" s="179" t="str">
        <f aca="false">IF('Bulk Order Details'!Q227="","","-"&amp;LOOKUP('Bulk Order Details'!Q227,#REF!,#REF!))</f>
        <v/>
      </c>
      <c r="AK217" s="179" t="str">
        <f aca="false">IF('Bulk Order Details'!R227="","","-"&amp;LOOKUP('Bulk Order Details'!R227,#REF!,#REF!))</f>
        <v/>
      </c>
      <c r="AL217" s="179" t="str">
        <f aca="false">IF('Bulk Order Details'!S227="","","-"&amp;LOOKUP('Bulk Order Details'!S227,#REF!,#REF!))</f>
        <v/>
      </c>
      <c r="AM217" s="179" t="str">
        <f aca="false">IF(_xlfn.CONCAT(AH217:AL217)="","","Lo"&amp;_xlfn.CONCAT(AH217:AL217))</f>
        <v/>
      </c>
      <c r="AN217" s="179" t="str">
        <f aca="false">IF('Bulk Order Details'!K227="","","Na-"&amp;'Bulk Order Details'!K227)</f>
        <v/>
      </c>
      <c r="AO217" s="179" t="str">
        <f aca="false">IF('Bulk Order Details'!N227="","","Fo-"&amp;'Bulk Order Details'!N227)</f>
        <v/>
      </c>
      <c r="AP217" s="179" t="str">
        <f aca="false">IF(AE217="","",AE217&amp;"_"&amp;AF217&amp;"_"&amp;AG217&amp;IF(AM217="","","_"&amp;AM217)&amp;IF(AN217="","","_"&amp;AN217)&amp;IF(AO217="","","_"&amp;AO217))</f>
        <v/>
      </c>
      <c r="AQ217" s="218" t="str">
        <f aca="false">IF(X217="","",X217)</f>
        <v/>
      </c>
    </row>
    <row r="218" customFormat="false" ht="15" hidden="false" customHeight="true" outlineLevel="0" collapsed="false">
      <c r="B218" s="209" t="n">
        <f aca="false">'Bulk Order Details'!B228</f>
        <v>215</v>
      </c>
      <c r="C218" s="209" t="e">
        <f aca="false">IF('bulk order details'!#ref!="","",'bulk order details'!#ref!&amp;" "&amp;'bulk order details'!#ref!)</f>
        <v>#VALUE!</v>
      </c>
      <c r="D218" s="210" t="str">
        <f aca="false">IF('Bulk Order Details'!J228="","",VLOOKUP(1,Price[],3))</f>
        <v/>
      </c>
      <c r="E218" s="211" t="str">
        <f aca="false">IF('Bulk Order Details'!J228="","",Summary!$D$9)</f>
        <v/>
      </c>
      <c r="F218" s="212" t="str">
        <f aca="false">IF('Bulk Order Details'!F228="","",_xlfn.xlookup('Bulk Order Details'!F228,Size[Display],Size[Price]))</f>
        <v/>
      </c>
      <c r="G218" s="212" t="str">
        <f aca="false">IF('Bulk Order Details'!G228="","",_xlfn.xlookup('Bulk Order Details'!G228,Length[Display],Length[Price]))</f>
        <v/>
      </c>
      <c r="H218" s="212" t="str">
        <f aca="false">IF('Bulk Order Details'!H228="","",_xlfn.xlookup('Bulk Order Details'!H228,Collection[Display],Collection[Price]))</f>
        <v/>
      </c>
      <c r="I218" s="212" t="str">
        <f aca="false">IF('Bulk Order Details'!I228="","",_xlfn.xlookup('Bulk Order Details'!I228,Sleeve[Display],Sleeve[Price]))</f>
        <v/>
      </c>
      <c r="J218" s="212" t="str">
        <f aca="false">IF('Bulk Order Details'!J228="","",_xlfn.xlookup('Bulk Order Details'!J228,Collar[Display],Collar[Price]))</f>
        <v/>
      </c>
      <c r="K218" s="212" t="str">
        <f aca="false">IF('Bulk Order Details'!K228="","",_xlfn.xlookup("Name",Name[Name],Name[Price]))</f>
        <v/>
      </c>
      <c r="L218" s="213" t="str">
        <f aca="false">IFERROR(IF('Bulk Order Details'!O228="","",IF(_xlfn.xlookup('Bulk Order Details'!O228,Logos[Display],Logos[Use])="Flat",_xlfn.xlookup('Bulk Order Details'!O228,Logos[Display],Logos[Flat]),ROUND(_xlfn.xlookup('Bulk Order Details'!O228,Logos[Display],Logos[Pct])*$E218,2))),"")</f>
        <v/>
      </c>
      <c r="M218" s="222" t="str">
        <f aca="false">IFERROR(IF('Bulk Order Details'!P228="","",IF(_xlfn.xlookup('Bulk Order Details'!P228,Chest[Display],Chest[Use])="Flat",_xlfn.xlookup('Bulk Order Details'!P228,Chest[Display],Chest[Flat]),ROUND(_xlfn.xlookup('Bulk Order Details'!P228,Chest[Display],Chest[Pct])*$E218,2))),"")</f>
        <v/>
      </c>
      <c r="N218" s="222" t="str">
        <f aca="false">IFERROR(IF('Bulk Order Details'!Q228="","",IF(_xlfn.xlookup('Bulk Order Details'!Q228,Chest[Display],Chest[Use])="Flat",_xlfn.xlookup('Bulk Order Details'!Q228,Chest[Display],Chest[Flat]),ROUND(_xlfn.xlookup('Bulk Order Details'!Q228,Chest[Display],Chest[Pct])*$E218,2))),"")</f>
        <v/>
      </c>
      <c r="O218" s="222" t="str">
        <f aca="false">IFERROR(IF('Bulk Order Details'!R228="","",IF(_xlfn.xlookup('Bulk Order Details'!R228,LeftSleeve[Display],LeftSleeve[Use])="Flat",_xlfn.xlookup('Bulk Order Details'!R228,LeftSleeve[Display],LeftSleeve[Flat]),ROUND(_xlfn.xlookup('Bulk Order Details'!R228,LeftSleeve[Display],LeftSleeve[Pct])*$E218,2))),"")</f>
        <v/>
      </c>
      <c r="P218" s="222" t="str">
        <f aca="false">IFERROR(IF('Bulk Order Details'!S228="","",IF(_xlfn.xlookup('Bulk Order Details'!S228,RightSleeve[Display],RightSleeve[Use])="Flat",_xlfn.xlookup('Bulk Order Details'!S228,RightSleeve[Display],RightSleeve[Flat]),ROUND(_xlfn.xlookup('Bulk Order Details'!S228,RightSleeve[Display],RightSleeve[Pct])*$E218,2))),"")</f>
        <v/>
      </c>
      <c r="Q218" s="214" t="str">
        <f aca="false">IF('Bulk Order Details'!J228="","",SUM(F218:P218))</f>
        <v/>
      </c>
      <c r="R218" s="213" t="str">
        <f aca="false">IFERROR(E218-D218,"")</f>
        <v/>
      </c>
      <c r="S218" s="215" t="str">
        <f aca="false">IFERROR(MIN(IF(Summary!$D$11="Yes",-J218,0),IF(H218&gt;0,-J218,0)),"")</f>
        <v/>
      </c>
      <c r="T218" s="212" t="str">
        <f aca="false">IFERROR(IF(Summary!$D$10="Yes",-K218,""),"")</f>
        <v/>
      </c>
      <c r="U218" s="213" t="str">
        <f aca="false">IFERROR(IF(Summary!$D$12="Yes",-L218,""),"")</f>
        <v/>
      </c>
      <c r="V218" s="216" t="str">
        <f aca="false">IF('Bulk Order Details'!J228="","",SUM(R218:U218))</f>
        <v/>
      </c>
      <c r="W218" s="217" t="str">
        <f aca="false">IF('Bulk Order Details'!J228="","",D218+Q218)</f>
        <v/>
      </c>
      <c r="X218" s="218" t="str">
        <f aca="false">IF('Bulk Order Details'!J228="","",D218+Q218+V218)</f>
        <v/>
      </c>
      <c r="Y218" s="219" t="str">
        <f aca="false">IFERROR((W218-X218)/W218,"")</f>
        <v/>
      </c>
      <c r="Z218" s="220" t="str">
        <f aca="false">IF('Bulk Order Details'!J228="","",MAX(1,'Bulk Order Details'!D228))</f>
        <v/>
      </c>
      <c r="AA218" s="217" t="str">
        <f aca="false">IF(Pricing_Details[[#This Row],[Quantity]]="","",Pricing_Details[[#This Row],[Retail Price]]*Pricing_Details[[#This Row],[Quantity]])</f>
        <v/>
      </c>
      <c r="AB218" s="217" t="str">
        <f aca="false">IF(Pricing_Details[[#This Row],[Quantity]]="","",Pricing_Details[[#This Row],[Total Discount]]*Pricing_Details[[#This Row],[Quantity]])</f>
        <v/>
      </c>
      <c r="AC218" s="221" t="str">
        <f aca="false">IFERROR(ROUND(Pricing_Details[[#This Row],[Actual Price]]*Pricing_Details[[#This Row],[Quantity]],2),"")</f>
        <v/>
      </c>
      <c r="AE218" s="179" t="str">
        <f aca="false">IF('Bulk Order Details'!J228="","",VLOOKUP('Bulk Order Details'!H228,Collection[],3)&amp;VLOOKUP('Bulk Order Details'!J228,Collar[],4)&amp;VLOOKUP('Bulk Order Details'!I228,Sleeve[],4))</f>
        <v/>
      </c>
      <c r="AF218" s="179" t="str">
        <f aca="false">IF('Bulk Order Details'!J228="","",LOOKUP('Bulk Order Details'!E228,Cut[Display],Cut[Code])&amp;LOOKUP('Bulk Order Details'!F228,#REF!,#REF!)&amp;IF('Bulk Order Details'!G228="","",LOOKUP('Bulk Order Details'!G228,Length[Display],Length[Code])))</f>
        <v/>
      </c>
      <c r="AG218" s="179" t="str">
        <f aca="false">IF('Bulk Order Details'!J228="","",IF('Bulk Order Details'!C228="","",'Bulk Order Details'!C228))</f>
        <v/>
      </c>
      <c r="AH218" s="179" t="str">
        <f aca="false">IF('Bulk Order Details'!O228="","","-"&amp;LOOKUP('Bulk Order Details'!O228,#REF!,#REF!))</f>
        <v/>
      </c>
      <c r="AI218" s="179" t="str">
        <f aca="false">IF('Bulk Order Details'!P228="","","-"&amp;LOOKUP('Bulk Order Details'!P228,#REF!,#REF!))</f>
        <v/>
      </c>
      <c r="AJ218" s="179" t="str">
        <f aca="false">IF('Bulk Order Details'!Q228="","","-"&amp;LOOKUP('Bulk Order Details'!Q228,#REF!,#REF!))</f>
        <v/>
      </c>
      <c r="AK218" s="179" t="str">
        <f aca="false">IF('Bulk Order Details'!R228="","","-"&amp;LOOKUP('Bulk Order Details'!R228,#REF!,#REF!))</f>
        <v/>
      </c>
      <c r="AL218" s="179" t="str">
        <f aca="false">IF('Bulk Order Details'!S228="","","-"&amp;LOOKUP('Bulk Order Details'!S228,#REF!,#REF!))</f>
        <v/>
      </c>
      <c r="AM218" s="179" t="str">
        <f aca="false">IF(_xlfn.CONCAT(AH218:AL218)="","","Lo"&amp;_xlfn.CONCAT(AH218:AL218))</f>
        <v/>
      </c>
      <c r="AN218" s="179" t="str">
        <f aca="false">IF('Bulk Order Details'!K228="","","Na-"&amp;'Bulk Order Details'!K228)</f>
        <v/>
      </c>
      <c r="AO218" s="179" t="str">
        <f aca="false">IF('Bulk Order Details'!N228="","","Fo-"&amp;'Bulk Order Details'!N228)</f>
        <v/>
      </c>
      <c r="AP218" s="179" t="str">
        <f aca="false">IF(AE218="","",AE218&amp;"_"&amp;AF218&amp;"_"&amp;AG218&amp;IF(AM218="","","_"&amp;AM218)&amp;IF(AN218="","","_"&amp;AN218)&amp;IF(AO218="","","_"&amp;AO218))</f>
        <v/>
      </c>
      <c r="AQ218" s="218" t="str">
        <f aca="false">IF(X218="","",X218)</f>
        <v/>
      </c>
    </row>
    <row r="219" customFormat="false" ht="15" hidden="false" customHeight="true" outlineLevel="0" collapsed="false">
      <c r="B219" s="209" t="n">
        <f aca="false">'Bulk Order Details'!B229</f>
        <v>216</v>
      </c>
      <c r="C219" s="209" t="e">
        <f aca="false">IF('bulk order details'!#ref!="","",'bulk order details'!#ref!&amp;" "&amp;'bulk order details'!#ref!)</f>
        <v>#VALUE!</v>
      </c>
      <c r="D219" s="210" t="str">
        <f aca="false">IF('Bulk Order Details'!J229="","",VLOOKUP(1,Price[],3))</f>
        <v/>
      </c>
      <c r="E219" s="211" t="str">
        <f aca="false">IF('Bulk Order Details'!J229="","",Summary!$D$9)</f>
        <v/>
      </c>
      <c r="F219" s="212" t="str">
        <f aca="false">IF('Bulk Order Details'!F229="","",_xlfn.xlookup('Bulk Order Details'!F229,Size[Display],Size[Price]))</f>
        <v/>
      </c>
      <c r="G219" s="212" t="str">
        <f aca="false">IF('Bulk Order Details'!G229="","",_xlfn.xlookup('Bulk Order Details'!G229,Length[Display],Length[Price]))</f>
        <v/>
      </c>
      <c r="H219" s="212" t="str">
        <f aca="false">IF('Bulk Order Details'!H229="","",_xlfn.xlookup('Bulk Order Details'!H229,Collection[Display],Collection[Price]))</f>
        <v/>
      </c>
      <c r="I219" s="212" t="str">
        <f aca="false">IF('Bulk Order Details'!I229="","",_xlfn.xlookup('Bulk Order Details'!I229,Sleeve[Display],Sleeve[Price]))</f>
        <v/>
      </c>
      <c r="J219" s="212" t="str">
        <f aca="false">IF('Bulk Order Details'!J229="","",_xlfn.xlookup('Bulk Order Details'!J229,Collar[Display],Collar[Price]))</f>
        <v/>
      </c>
      <c r="K219" s="212" t="str">
        <f aca="false">IF('Bulk Order Details'!K229="","",_xlfn.xlookup("Name",Name[Name],Name[Price]))</f>
        <v/>
      </c>
      <c r="L219" s="213" t="str">
        <f aca="false">IFERROR(IF('Bulk Order Details'!O229="","",IF(_xlfn.xlookup('Bulk Order Details'!O229,Logos[Display],Logos[Use])="Flat",_xlfn.xlookup('Bulk Order Details'!O229,Logos[Display],Logos[Flat]),ROUND(_xlfn.xlookup('Bulk Order Details'!O229,Logos[Display],Logos[Pct])*$E219,2))),"")</f>
        <v/>
      </c>
      <c r="M219" s="222" t="str">
        <f aca="false">IFERROR(IF('Bulk Order Details'!P229="","",IF(_xlfn.xlookup('Bulk Order Details'!P229,Chest[Display],Chest[Use])="Flat",_xlfn.xlookup('Bulk Order Details'!P229,Chest[Display],Chest[Flat]),ROUND(_xlfn.xlookup('Bulk Order Details'!P229,Chest[Display],Chest[Pct])*$E219,2))),"")</f>
        <v/>
      </c>
      <c r="N219" s="222" t="str">
        <f aca="false">IFERROR(IF('Bulk Order Details'!Q229="","",IF(_xlfn.xlookup('Bulk Order Details'!Q229,Chest[Display],Chest[Use])="Flat",_xlfn.xlookup('Bulk Order Details'!Q229,Chest[Display],Chest[Flat]),ROUND(_xlfn.xlookup('Bulk Order Details'!Q229,Chest[Display],Chest[Pct])*$E219,2))),"")</f>
        <v/>
      </c>
      <c r="O219" s="222" t="str">
        <f aca="false">IFERROR(IF('Bulk Order Details'!R229="","",IF(_xlfn.xlookup('Bulk Order Details'!R229,LeftSleeve[Display],LeftSleeve[Use])="Flat",_xlfn.xlookup('Bulk Order Details'!R229,LeftSleeve[Display],LeftSleeve[Flat]),ROUND(_xlfn.xlookup('Bulk Order Details'!R229,LeftSleeve[Display],LeftSleeve[Pct])*$E219,2))),"")</f>
        <v/>
      </c>
      <c r="P219" s="222" t="str">
        <f aca="false">IFERROR(IF('Bulk Order Details'!S229="","",IF(_xlfn.xlookup('Bulk Order Details'!S229,RightSleeve[Display],RightSleeve[Use])="Flat",_xlfn.xlookup('Bulk Order Details'!S229,RightSleeve[Display],RightSleeve[Flat]),ROUND(_xlfn.xlookup('Bulk Order Details'!S229,RightSleeve[Display],RightSleeve[Pct])*$E219,2))),"")</f>
        <v/>
      </c>
      <c r="Q219" s="214" t="str">
        <f aca="false">IF('Bulk Order Details'!J229="","",SUM(F219:P219))</f>
        <v/>
      </c>
      <c r="R219" s="213" t="str">
        <f aca="false">IFERROR(E219-D219,"")</f>
        <v/>
      </c>
      <c r="S219" s="215" t="str">
        <f aca="false">IFERROR(MIN(IF(Summary!$D$11="Yes",-J219,0),IF(H219&gt;0,-J219,0)),"")</f>
        <v/>
      </c>
      <c r="T219" s="212" t="str">
        <f aca="false">IFERROR(IF(Summary!$D$10="Yes",-K219,""),"")</f>
        <v/>
      </c>
      <c r="U219" s="213" t="str">
        <f aca="false">IFERROR(IF(Summary!$D$12="Yes",-L219,""),"")</f>
        <v/>
      </c>
      <c r="V219" s="216" t="str">
        <f aca="false">IF('Bulk Order Details'!J229="","",SUM(R219:U219))</f>
        <v/>
      </c>
      <c r="W219" s="217" t="str">
        <f aca="false">IF('Bulk Order Details'!J229="","",D219+Q219)</f>
        <v/>
      </c>
      <c r="X219" s="218" t="str">
        <f aca="false">IF('Bulk Order Details'!J229="","",D219+Q219+V219)</f>
        <v/>
      </c>
      <c r="Y219" s="219" t="str">
        <f aca="false">IFERROR((W219-X219)/W219,"")</f>
        <v/>
      </c>
      <c r="Z219" s="220" t="str">
        <f aca="false">IF('Bulk Order Details'!J229="","",MAX(1,'Bulk Order Details'!D229))</f>
        <v/>
      </c>
      <c r="AA219" s="217" t="str">
        <f aca="false">IF(Pricing_Details[[#This Row],[Quantity]]="","",Pricing_Details[[#This Row],[Retail Price]]*Pricing_Details[[#This Row],[Quantity]])</f>
        <v/>
      </c>
      <c r="AB219" s="217" t="str">
        <f aca="false">IF(Pricing_Details[[#This Row],[Quantity]]="","",Pricing_Details[[#This Row],[Total Discount]]*Pricing_Details[[#This Row],[Quantity]])</f>
        <v/>
      </c>
      <c r="AC219" s="221" t="str">
        <f aca="false">IFERROR(ROUND(Pricing_Details[[#This Row],[Actual Price]]*Pricing_Details[[#This Row],[Quantity]],2),"")</f>
        <v/>
      </c>
      <c r="AE219" s="179" t="str">
        <f aca="false">IF('Bulk Order Details'!J229="","",VLOOKUP('Bulk Order Details'!H229,Collection[],3)&amp;VLOOKUP('Bulk Order Details'!J229,Collar[],4)&amp;VLOOKUP('Bulk Order Details'!I229,Sleeve[],4))</f>
        <v/>
      </c>
      <c r="AF219" s="179" t="str">
        <f aca="false">IF('Bulk Order Details'!J229="","",LOOKUP('Bulk Order Details'!E229,Cut[Display],Cut[Code])&amp;LOOKUP('Bulk Order Details'!F229,#REF!,#REF!)&amp;IF('Bulk Order Details'!G229="","",LOOKUP('Bulk Order Details'!G229,Length[Display],Length[Code])))</f>
        <v/>
      </c>
      <c r="AG219" s="179" t="str">
        <f aca="false">IF('Bulk Order Details'!J229="","",IF('Bulk Order Details'!C229="","",'Bulk Order Details'!C229))</f>
        <v/>
      </c>
      <c r="AH219" s="179" t="str">
        <f aca="false">IF('Bulk Order Details'!O229="","","-"&amp;LOOKUP('Bulk Order Details'!O229,#REF!,#REF!))</f>
        <v/>
      </c>
      <c r="AI219" s="179" t="str">
        <f aca="false">IF('Bulk Order Details'!P229="","","-"&amp;LOOKUP('Bulk Order Details'!P229,#REF!,#REF!))</f>
        <v/>
      </c>
      <c r="AJ219" s="179" t="str">
        <f aca="false">IF('Bulk Order Details'!Q229="","","-"&amp;LOOKUP('Bulk Order Details'!Q229,#REF!,#REF!))</f>
        <v/>
      </c>
      <c r="AK219" s="179" t="str">
        <f aca="false">IF('Bulk Order Details'!R229="","","-"&amp;LOOKUP('Bulk Order Details'!R229,#REF!,#REF!))</f>
        <v/>
      </c>
      <c r="AL219" s="179" t="str">
        <f aca="false">IF('Bulk Order Details'!S229="","","-"&amp;LOOKUP('Bulk Order Details'!S229,#REF!,#REF!))</f>
        <v/>
      </c>
      <c r="AM219" s="179" t="str">
        <f aca="false">IF(_xlfn.CONCAT(AH219:AL219)="","","Lo"&amp;_xlfn.CONCAT(AH219:AL219))</f>
        <v/>
      </c>
      <c r="AN219" s="179" t="str">
        <f aca="false">IF('Bulk Order Details'!K229="","","Na-"&amp;'Bulk Order Details'!K229)</f>
        <v/>
      </c>
      <c r="AO219" s="179" t="str">
        <f aca="false">IF('Bulk Order Details'!N229="","","Fo-"&amp;'Bulk Order Details'!N229)</f>
        <v/>
      </c>
      <c r="AP219" s="179" t="str">
        <f aca="false">IF(AE219="","",AE219&amp;"_"&amp;AF219&amp;"_"&amp;AG219&amp;IF(AM219="","","_"&amp;AM219)&amp;IF(AN219="","","_"&amp;AN219)&amp;IF(AO219="","","_"&amp;AO219))</f>
        <v/>
      </c>
      <c r="AQ219" s="218" t="str">
        <f aca="false">IF(X219="","",X219)</f>
        <v/>
      </c>
    </row>
    <row r="220" customFormat="false" ht="15" hidden="false" customHeight="true" outlineLevel="0" collapsed="false">
      <c r="B220" s="209" t="n">
        <f aca="false">'Bulk Order Details'!B230</f>
        <v>217</v>
      </c>
      <c r="C220" s="209" t="e">
        <f aca="false">IF('bulk order details'!#ref!="","",'bulk order details'!#ref!&amp;" "&amp;'bulk order details'!#ref!)</f>
        <v>#VALUE!</v>
      </c>
      <c r="D220" s="210" t="str">
        <f aca="false">IF('Bulk Order Details'!J230="","",VLOOKUP(1,Price[],3))</f>
        <v/>
      </c>
      <c r="E220" s="211" t="str">
        <f aca="false">IF('Bulk Order Details'!J230="","",Summary!$D$9)</f>
        <v/>
      </c>
      <c r="F220" s="212" t="str">
        <f aca="false">IF('Bulk Order Details'!F230="","",_xlfn.xlookup('Bulk Order Details'!F230,Size[Display],Size[Price]))</f>
        <v/>
      </c>
      <c r="G220" s="212" t="str">
        <f aca="false">IF('Bulk Order Details'!G230="","",_xlfn.xlookup('Bulk Order Details'!G230,Length[Display],Length[Price]))</f>
        <v/>
      </c>
      <c r="H220" s="212" t="str">
        <f aca="false">IF('Bulk Order Details'!H230="","",_xlfn.xlookup('Bulk Order Details'!H230,Collection[Display],Collection[Price]))</f>
        <v/>
      </c>
      <c r="I220" s="212" t="str">
        <f aca="false">IF('Bulk Order Details'!I230="","",_xlfn.xlookup('Bulk Order Details'!I230,Sleeve[Display],Sleeve[Price]))</f>
        <v/>
      </c>
      <c r="J220" s="212" t="str">
        <f aca="false">IF('Bulk Order Details'!J230="","",_xlfn.xlookup('Bulk Order Details'!J230,Collar[Display],Collar[Price]))</f>
        <v/>
      </c>
      <c r="K220" s="212" t="str">
        <f aca="false">IF('Bulk Order Details'!K230="","",_xlfn.xlookup("Name",Name[Name],Name[Price]))</f>
        <v/>
      </c>
      <c r="L220" s="213" t="str">
        <f aca="false">IFERROR(IF('Bulk Order Details'!O230="","",IF(_xlfn.xlookup('Bulk Order Details'!O230,Logos[Display],Logos[Use])="Flat",_xlfn.xlookup('Bulk Order Details'!O230,Logos[Display],Logos[Flat]),ROUND(_xlfn.xlookup('Bulk Order Details'!O230,Logos[Display],Logos[Pct])*$E220,2))),"")</f>
        <v/>
      </c>
      <c r="M220" s="222" t="str">
        <f aca="false">IFERROR(IF('Bulk Order Details'!P230="","",IF(_xlfn.xlookup('Bulk Order Details'!P230,Chest[Display],Chest[Use])="Flat",_xlfn.xlookup('Bulk Order Details'!P230,Chest[Display],Chest[Flat]),ROUND(_xlfn.xlookup('Bulk Order Details'!P230,Chest[Display],Chest[Pct])*$E220,2))),"")</f>
        <v/>
      </c>
      <c r="N220" s="222" t="str">
        <f aca="false">IFERROR(IF('Bulk Order Details'!Q230="","",IF(_xlfn.xlookup('Bulk Order Details'!Q230,Chest[Display],Chest[Use])="Flat",_xlfn.xlookup('Bulk Order Details'!Q230,Chest[Display],Chest[Flat]),ROUND(_xlfn.xlookup('Bulk Order Details'!Q230,Chest[Display],Chest[Pct])*$E220,2))),"")</f>
        <v/>
      </c>
      <c r="O220" s="222" t="str">
        <f aca="false">IFERROR(IF('Bulk Order Details'!R230="","",IF(_xlfn.xlookup('Bulk Order Details'!R230,LeftSleeve[Display],LeftSleeve[Use])="Flat",_xlfn.xlookup('Bulk Order Details'!R230,LeftSleeve[Display],LeftSleeve[Flat]),ROUND(_xlfn.xlookup('Bulk Order Details'!R230,LeftSleeve[Display],LeftSleeve[Pct])*$E220,2))),"")</f>
        <v/>
      </c>
      <c r="P220" s="222" t="str">
        <f aca="false">IFERROR(IF('Bulk Order Details'!S230="","",IF(_xlfn.xlookup('Bulk Order Details'!S230,RightSleeve[Display],RightSleeve[Use])="Flat",_xlfn.xlookup('Bulk Order Details'!S230,RightSleeve[Display],RightSleeve[Flat]),ROUND(_xlfn.xlookup('Bulk Order Details'!S230,RightSleeve[Display],RightSleeve[Pct])*$E220,2))),"")</f>
        <v/>
      </c>
      <c r="Q220" s="214" t="str">
        <f aca="false">IF('Bulk Order Details'!J230="","",SUM(F220:P220))</f>
        <v/>
      </c>
      <c r="R220" s="213" t="str">
        <f aca="false">IFERROR(E220-D220,"")</f>
        <v/>
      </c>
      <c r="S220" s="215" t="str">
        <f aca="false">IFERROR(MIN(IF(Summary!$D$11="Yes",-J220,0),IF(H220&gt;0,-J220,0)),"")</f>
        <v/>
      </c>
      <c r="T220" s="212" t="str">
        <f aca="false">IFERROR(IF(Summary!$D$10="Yes",-K220,""),"")</f>
        <v/>
      </c>
      <c r="U220" s="213" t="str">
        <f aca="false">IFERROR(IF(Summary!$D$12="Yes",-L220,""),"")</f>
        <v/>
      </c>
      <c r="V220" s="216" t="str">
        <f aca="false">IF('Bulk Order Details'!J230="","",SUM(R220:U220))</f>
        <v/>
      </c>
      <c r="W220" s="217" t="str">
        <f aca="false">IF('Bulk Order Details'!J230="","",D220+Q220)</f>
        <v/>
      </c>
      <c r="X220" s="218" t="str">
        <f aca="false">IF('Bulk Order Details'!J230="","",D220+Q220+V220)</f>
        <v/>
      </c>
      <c r="Y220" s="219" t="str">
        <f aca="false">IFERROR((W220-X220)/W220,"")</f>
        <v/>
      </c>
      <c r="Z220" s="220" t="str">
        <f aca="false">IF('Bulk Order Details'!J230="","",MAX(1,'Bulk Order Details'!D230))</f>
        <v/>
      </c>
      <c r="AA220" s="217" t="str">
        <f aca="false">IF(Pricing_Details[[#This Row],[Quantity]]="","",Pricing_Details[[#This Row],[Retail Price]]*Pricing_Details[[#This Row],[Quantity]])</f>
        <v/>
      </c>
      <c r="AB220" s="217" t="str">
        <f aca="false">IF(Pricing_Details[[#This Row],[Quantity]]="","",Pricing_Details[[#This Row],[Total Discount]]*Pricing_Details[[#This Row],[Quantity]])</f>
        <v/>
      </c>
      <c r="AC220" s="221" t="str">
        <f aca="false">IFERROR(ROUND(Pricing_Details[[#This Row],[Actual Price]]*Pricing_Details[[#This Row],[Quantity]],2),"")</f>
        <v/>
      </c>
      <c r="AE220" s="179" t="str">
        <f aca="false">IF('Bulk Order Details'!J230="","",VLOOKUP('Bulk Order Details'!H230,Collection[],3)&amp;VLOOKUP('Bulk Order Details'!J230,Collar[],4)&amp;VLOOKUP('Bulk Order Details'!I230,Sleeve[],4))</f>
        <v/>
      </c>
      <c r="AF220" s="179" t="str">
        <f aca="false">IF('Bulk Order Details'!J230="","",LOOKUP('Bulk Order Details'!E230,Cut[Display],Cut[Code])&amp;LOOKUP('Bulk Order Details'!F230,#REF!,#REF!)&amp;IF('Bulk Order Details'!G230="","",LOOKUP('Bulk Order Details'!G230,Length[Display],Length[Code])))</f>
        <v/>
      </c>
      <c r="AG220" s="179" t="str">
        <f aca="false">IF('Bulk Order Details'!J230="","",IF('Bulk Order Details'!C230="","",'Bulk Order Details'!C230))</f>
        <v/>
      </c>
      <c r="AH220" s="179" t="str">
        <f aca="false">IF('Bulk Order Details'!O230="","","-"&amp;LOOKUP('Bulk Order Details'!O230,#REF!,#REF!))</f>
        <v/>
      </c>
      <c r="AI220" s="179" t="str">
        <f aca="false">IF('Bulk Order Details'!P230="","","-"&amp;LOOKUP('Bulk Order Details'!P230,#REF!,#REF!))</f>
        <v/>
      </c>
      <c r="AJ220" s="179" t="str">
        <f aca="false">IF('Bulk Order Details'!Q230="","","-"&amp;LOOKUP('Bulk Order Details'!Q230,#REF!,#REF!))</f>
        <v/>
      </c>
      <c r="AK220" s="179" t="str">
        <f aca="false">IF('Bulk Order Details'!R230="","","-"&amp;LOOKUP('Bulk Order Details'!R230,#REF!,#REF!))</f>
        <v/>
      </c>
      <c r="AL220" s="179" t="str">
        <f aca="false">IF('Bulk Order Details'!S230="","","-"&amp;LOOKUP('Bulk Order Details'!S230,#REF!,#REF!))</f>
        <v/>
      </c>
      <c r="AM220" s="179" t="str">
        <f aca="false">IF(_xlfn.CONCAT(AH220:AL220)="","","Lo"&amp;_xlfn.CONCAT(AH220:AL220))</f>
        <v/>
      </c>
      <c r="AN220" s="179" t="str">
        <f aca="false">IF('Bulk Order Details'!K230="","","Na-"&amp;'Bulk Order Details'!K230)</f>
        <v/>
      </c>
      <c r="AO220" s="179" t="str">
        <f aca="false">IF('Bulk Order Details'!N230="","","Fo-"&amp;'Bulk Order Details'!N230)</f>
        <v/>
      </c>
      <c r="AP220" s="179" t="str">
        <f aca="false">IF(AE220="","",AE220&amp;"_"&amp;AF220&amp;"_"&amp;AG220&amp;IF(AM220="","","_"&amp;AM220)&amp;IF(AN220="","","_"&amp;AN220)&amp;IF(AO220="","","_"&amp;AO220))</f>
        <v/>
      </c>
      <c r="AQ220" s="218" t="str">
        <f aca="false">IF(X220="","",X220)</f>
        <v/>
      </c>
    </row>
    <row r="221" customFormat="false" ht="15" hidden="false" customHeight="true" outlineLevel="0" collapsed="false">
      <c r="B221" s="209" t="n">
        <f aca="false">'Bulk Order Details'!B231</f>
        <v>218</v>
      </c>
      <c r="C221" s="209" t="e">
        <f aca="false">IF('bulk order details'!#ref!="","",'bulk order details'!#ref!&amp;" "&amp;'bulk order details'!#ref!)</f>
        <v>#VALUE!</v>
      </c>
      <c r="D221" s="210" t="str">
        <f aca="false">IF('Bulk Order Details'!J231="","",VLOOKUP(1,Price[],3))</f>
        <v/>
      </c>
      <c r="E221" s="211" t="str">
        <f aca="false">IF('Bulk Order Details'!J231="","",Summary!$D$9)</f>
        <v/>
      </c>
      <c r="F221" s="212" t="str">
        <f aca="false">IF('Bulk Order Details'!F231="","",_xlfn.xlookup('Bulk Order Details'!F231,Size[Display],Size[Price]))</f>
        <v/>
      </c>
      <c r="G221" s="212" t="str">
        <f aca="false">IF('Bulk Order Details'!G231="","",_xlfn.xlookup('Bulk Order Details'!G231,Length[Display],Length[Price]))</f>
        <v/>
      </c>
      <c r="H221" s="212" t="str">
        <f aca="false">IF('Bulk Order Details'!H231="","",_xlfn.xlookup('Bulk Order Details'!H231,Collection[Display],Collection[Price]))</f>
        <v/>
      </c>
      <c r="I221" s="212" t="str">
        <f aca="false">IF('Bulk Order Details'!I231="","",_xlfn.xlookup('Bulk Order Details'!I231,Sleeve[Display],Sleeve[Price]))</f>
        <v/>
      </c>
      <c r="J221" s="212" t="str">
        <f aca="false">IF('Bulk Order Details'!J231="","",_xlfn.xlookup('Bulk Order Details'!J231,Collar[Display],Collar[Price]))</f>
        <v/>
      </c>
      <c r="K221" s="212" t="str">
        <f aca="false">IF('Bulk Order Details'!K231="","",_xlfn.xlookup("Name",Name[Name],Name[Price]))</f>
        <v/>
      </c>
      <c r="L221" s="213" t="str">
        <f aca="false">IFERROR(IF('Bulk Order Details'!O231="","",IF(_xlfn.xlookup('Bulk Order Details'!O231,Logos[Display],Logos[Use])="Flat",_xlfn.xlookup('Bulk Order Details'!O231,Logos[Display],Logos[Flat]),ROUND(_xlfn.xlookup('Bulk Order Details'!O231,Logos[Display],Logos[Pct])*$E221,2))),"")</f>
        <v/>
      </c>
      <c r="M221" s="222" t="str">
        <f aca="false">IFERROR(IF('Bulk Order Details'!P231="","",IF(_xlfn.xlookup('Bulk Order Details'!P231,Chest[Display],Chest[Use])="Flat",_xlfn.xlookup('Bulk Order Details'!P231,Chest[Display],Chest[Flat]),ROUND(_xlfn.xlookup('Bulk Order Details'!P231,Chest[Display],Chest[Pct])*$E221,2))),"")</f>
        <v/>
      </c>
      <c r="N221" s="222" t="str">
        <f aca="false">IFERROR(IF('Bulk Order Details'!Q231="","",IF(_xlfn.xlookup('Bulk Order Details'!Q231,Chest[Display],Chest[Use])="Flat",_xlfn.xlookup('Bulk Order Details'!Q231,Chest[Display],Chest[Flat]),ROUND(_xlfn.xlookup('Bulk Order Details'!Q231,Chest[Display],Chest[Pct])*$E221,2))),"")</f>
        <v/>
      </c>
      <c r="O221" s="222" t="str">
        <f aca="false">IFERROR(IF('Bulk Order Details'!R231="","",IF(_xlfn.xlookup('Bulk Order Details'!R231,LeftSleeve[Display],LeftSleeve[Use])="Flat",_xlfn.xlookup('Bulk Order Details'!R231,LeftSleeve[Display],LeftSleeve[Flat]),ROUND(_xlfn.xlookup('Bulk Order Details'!R231,LeftSleeve[Display],LeftSleeve[Pct])*$E221,2))),"")</f>
        <v/>
      </c>
      <c r="P221" s="222" t="str">
        <f aca="false">IFERROR(IF('Bulk Order Details'!S231="","",IF(_xlfn.xlookup('Bulk Order Details'!S231,RightSleeve[Display],RightSleeve[Use])="Flat",_xlfn.xlookup('Bulk Order Details'!S231,RightSleeve[Display],RightSleeve[Flat]),ROUND(_xlfn.xlookup('Bulk Order Details'!S231,RightSleeve[Display],RightSleeve[Pct])*$E221,2))),"")</f>
        <v/>
      </c>
      <c r="Q221" s="214" t="str">
        <f aca="false">IF('Bulk Order Details'!J231="","",SUM(F221:P221))</f>
        <v/>
      </c>
      <c r="R221" s="213" t="str">
        <f aca="false">IFERROR(E221-D221,"")</f>
        <v/>
      </c>
      <c r="S221" s="215" t="str">
        <f aca="false">IFERROR(MIN(IF(Summary!$D$11="Yes",-J221,0),IF(H221&gt;0,-J221,0)),"")</f>
        <v/>
      </c>
      <c r="T221" s="212" t="str">
        <f aca="false">IFERROR(IF(Summary!$D$10="Yes",-K221,""),"")</f>
        <v/>
      </c>
      <c r="U221" s="213" t="str">
        <f aca="false">IFERROR(IF(Summary!$D$12="Yes",-L221,""),"")</f>
        <v/>
      </c>
      <c r="V221" s="216" t="str">
        <f aca="false">IF('Bulk Order Details'!J231="","",SUM(R221:U221))</f>
        <v/>
      </c>
      <c r="W221" s="217" t="str">
        <f aca="false">IF('Bulk Order Details'!J231="","",D221+Q221)</f>
        <v/>
      </c>
      <c r="X221" s="218" t="str">
        <f aca="false">IF('Bulk Order Details'!J231="","",D221+Q221+V221)</f>
        <v/>
      </c>
      <c r="Y221" s="219" t="str">
        <f aca="false">IFERROR((W221-X221)/W221,"")</f>
        <v/>
      </c>
      <c r="Z221" s="220" t="str">
        <f aca="false">IF('Bulk Order Details'!J231="","",MAX(1,'Bulk Order Details'!D231))</f>
        <v/>
      </c>
      <c r="AA221" s="217" t="str">
        <f aca="false">IF(Pricing_Details[[#This Row],[Quantity]]="","",Pricing_Details[[#This Row],[Retail Price]]*Pricing_Details[[#This Row],[Quantity]])</f>
        <v/>
      </c>
      <c r="AB221" s="217" t="str">
        <f aca="false">IF(Pricing_Details[[#This Row],[Quantity]]="","",Pricing_Details[[#This Row],[Total Discount]]*Pricing_Details[[#This Row],[Quantity]])</f>
        <v/>
      </c>
      <c r="AC221" s="221" t="str">
        <f aca="false">IFERROR(ROUND(Pricing_Details[[#This Row],[Actual Price]]*Pricing_Details[[#This Row],[Quantity]],2),"")</f>
        <v/>
      </c>
      <c r="AE221" s="179" t="str">
        <f aca="false">IF('Bulk Order Details'!J231="","",VLOOKUP('Bulk Order Details'!H231,Collection[],3)&amp;VLOOKUP('Bulk Order Details'!J231,Collar[],4)&amp;VLOOKUP('Bulk Order Details'!I231,Sleeve[],4))</f>
        <v/>
      </c>
      <c r="AF221" s="179" t="str">
        <f aca="false">IF('Bulk Order Details'!J231="","",LOOKUP('Bulk Order Details'!E231,Cut[Display],Cut[Code])&amp;LOOKUP('Bulk Order Details'!F231,#REF!,#REF!)&amp;IF('Bulk Order Details'!G231="","",LOOKUP('Bulk Order Details'!G231,Length[Display],Length[Code])))</f>
        <v/>
      </c>
      <c r="AG221" s="179" t="str">
        <f aca="false">IF('Bulk Order Details'!J231="","",IF('Bulk Order Details'!C231="","",'Bulk Order Details'!C231))</f>
        <v/>
      </c>
      <c r="AH221" s="179" t="str">
        <f aca="false">IF('Bulk Order Details'!O231="","","-"&amp;LOOKUP('Bulk Order Details'!O231,#REF!,#REF!))</f>
        <v/>
      </c>
      <c r="AI221" s="179" t="str">
        <f aca="false">IF('Bulk Order Details'!P231="","","-"&amp;LOOKUP('Bulk Order Details'!P231,#REF!,#REF!))</f>
        <v/>
      </c>
      <c r="AJ221" s="179" t="str">
        <f aca="false">IF('Bulk Order Details'!Q231="","","-"&amp;LOOKUP('Bulk Order Details'!Q231,#REF!,#REF!))</f>
        <v/>
      </c>
      <c r="AK221" s="179" t="str">
        <f aca="false">IF('Bulk Order Details'!R231="","","-"&amp;LOOKUP('Bulk Order Details'!R231,#REF!,#REF!))</f>
        <v/>
      </c>
      <c r="AL221" s="179" t="str">
        <f aca="false">IF('Bulk Order Details'!S231="","","-"&amp;LOOKUP('Bulk Order Details'!S231,#REF!,#REF!))</f>
        <v/>
      </c>
      <c r="AM221" s="179" t="str">
        <f aca="false">IF(_xlfn.CONCAT(AH221:AL221)="","","Lo"&amp;_xlfn.CONCAT(AH221:AL221))</f>
        <v/>
      </c>
      <c r="AN221" s="179" t="str">
        <f aca="false">IF('Bulk Order Details'!K231="","","Na-"&amp;'Bulk Order Details'!K231)</f>
        <v/>
      </c>
      <c r="AO221" s="179" t="str">
        <f aca="false">IF('Bulk Order Details'!N231="","","Fo-"&amp;'Bulk Order Details'!N231)</f>
        <v/>
      </c>
      <c r="AP221" s="179" t="str">
        <f aca="false">IF(AE221="","",AE221&amp;"_"&amp;AF221&amp;"_"&amp;AG221&amp;IF(AM221="","","_"&amp;AM221)&amp;IF(AN221="","","_"&amp;AN221)&amp;IF(AO221="","","_"&amp;AO221))</f>
        <v/>
      </c>
      <c r="AQ221" s="218" t="str">
        <f aca="false">IF(X221="","",X221)</f>
        <v/>
      </c>
    </row>
    <row r="222" customFormat="false" ht="15" hidden="false" customHeight="true" outlineLevel="0" collapsed="false">
      <c r="B222" s="209" t="n">
        <f aca="false">'Bulk Order Details'!B232</f>
        <v>219</v>
      </c>
      <c r="C222" s="209" t="e">
        <f aca="false">IF('bulk order details'!#ref!="","",'bulk order details'!#ref!&amp;" "&amp;'bulk order details'!#ref!)</f>
        <v>#VALUE!</v>
      </c>
      <c r="D222" s="210" t="str">
        <f aca="false">IF('Bulk Order Details'!J232="","",VLOOKUP(1,Price[],3))</f>
        <v/>
      </c>
      <c r="E222" s="211" t="str">
        <f aca="false">IF('Bulk Order Details'!J232="","",Summary!$D$9)</f>
        <v/>
      </c>
      <c r="F222" s="212" t="str">
        <f aca="false">IF('Bulk Order Details'!F232="","",_xlfn.xlookup('Bulk Order Details'!F232,Size[Display],Size[Price]))</f>
        <v/>
      </c>
      <c r="G222" s="212" t="str">
        <f aca="false">IF('Bulk Order Details'!G232="","",_xlfn.xlookup('Bulk Order Details'!G232,Length[Display],Length[Price]))</f>
        <v/>
      </c>
      <c r="H222" s="212" t="str">
        <f aca="false">IF('Bulk Order Details'!H232="","",_xlfn.xlookup('Bulk Order Details'!H232,Collection[Display],Collection[Price]))</f>
        <v/>
      </c>
      <c r="I222" s="212" t="str">
        <f aca="false">IF('Bulk Order Details'!I232="","",_xlfn.xlookup('Bulk Order Details'!I232,Sleeve[Display],Sleeve[Price]))</f>
        <v/>
      </c>
      <c r="J222" s="212" t="str">
        <f aca="false">IF('Bulk Order Details'!J232="","",_xlfn.xlookup('Bulk Order Details'!J232,Collar[Display],Collar[Price]))</f>
        <v/>
      </c>
      <c r="K222" s="212" t="str">
        <f aca="false">IF('Bulk Order Details'!K232="","",_xlfn.xlookup("Name",Name[Name],Name[Price]))</f>
        <v/>
      </c>
      <c r="L222" s="213" t="str">
        <f aca="false">IFERROR(IF('Bulk Order Details'!O232="","",IF(_xlfn.xlookup('Bulk Order Details'!O232,Logos[Display],Logos[Use])="Flat",_xlfn.xlookup('Bulk Order Details'!O232,Logos[Display],Logos[Flat]),ROUND(_xlfn.xlookup('Bulk Order Details'!O232,Logos[Display],Logos[Pct])*$E222,2))),"")</f>
        <v/>
      </c>
      <c r="M222" s="222" t="str">
        <f aca="false">IFERROR(IF('Bulk Order Details'!P232="","",IF(_xlfn.xlookup('Bulk Order Details'!P232,Chest[Display],Chest[Use])="Flat",_xlfn.xlookup('Bulk Order Details'!P232,Chest[Display],Chest[Flat]),ROUND(_xlfn.xlookup('Bulk Order Details'!P232,Chest[Display],Chest[Pct])*$E222,2))),"")</f>
        <v/>
      </c>
      <c r="N222" s="222" t="str">
        <f aca="false">IFERROR(IF('Bulk Order Details'!Q232="","",IF(_xlfn.xlookup('Bulk Order Details'!Q232,Chest[Display],Chest[Use])="Flat",_xlfn.xlookup('Bulk Order Details'!Q232,Chest[Display],Chest[Flat]),ROUND(_xlfn.xlookup('Bulk Order Details'!Q232,Chest[Display],Chest[Pct])*$E222,2))),"")</f>
        <v/>
      </c>
      <c r="O222" s="222" t="str">
        <f aca="false">IFERROR(IF('Bulk Order Details'!R232="","",IF(_xlfn.xlookup('Bulk Order Details'!R232,LeftSleeve[Display],LeftSleeve[Use])="Flat",_xlfn.xlookup('Bulk Order Details'!R232,LeftSleeve[Display],LeftSleeve[Flat]),ROUND(_xlfn.xlookup('Bulk Order Details'!R232,LeftSleeve[Display],LeftSleeve[Pct])*$E222,2))),"")</f>
        <v/>
      </c>
      <c r="P222" s="222" t="str">
        <f aca="false">IFERROR(IF('Bulk Order Details'!S232="","",IF(_xlfn.xlookup('Bulk Order Details'!S232,RightSleeve[Display],RightSleeve[Use])="Flat",_xlfn.xlookup('Bulk Order Details'!S232,RightSleeve[Display],RightSleeve[Flat]),ROUND(_xlfn.xlookup('Bulk Order Details'!S232,RightSleeve[Display],RightSleeve[Pct])*$E222,2))),"")</f>
        <v/>
      </c>
      <c r="Q222" s="214" t="str">
        <f aca="false">IF('Bulk Order Details'!J232="","",SUM(F222:P222))</f>
        <v/>
      </c>
      <c r="R222" s="213" t="str">
        <f aca="false">IFERROR(E222-D222,"")</f>
        <v/>
      </c>
      <c r="S222" s="215" t="str">
        <f aca="false">IFERROR(MIN(IF(Summary!$D$11="Yes",-J222,0),IF(H222&gt;0,-J222,0)),"")</f>
        <v/>
      </c>
      <c r="T222" s="212" t="str">
        <f aca="false">IFERROR(IF(Summary!$D$10="Yes",-K222,""),"")</f>
        <v/>
      </c>
      <c r="U222" s="213" t="str">
        <f aca="false">IFERROR(IF(Summary!$D$12="Yes",-L222,""),"")</f>
        <v/>
      </c>
      <c r="V222" s="216" t="str">
        <f aca="false">IF('Bulk Order Details'!J232="","",SUM(R222:U222))</f>
        <v/>
      </c>
      <c r="W222" s="217" t="str">
        <f aca="false">IF('Bulk Order Details'!J232="","",D222+Q222)</f>
        <v/>
      </c>
      <c r="X222" s="218" t="str">
        <f aca="false">IF('Bulk Order Details'!J232="","",D222+Q222+V222)</f>
        <v/>
      </c>
      <c r="Y222" s="219" t="str">
        <f aca="false">IFERROR((W222-X222)/W222,"")</f>
        <v/>
      </c>
      <c r="Z222" s="220" t="str">
        <f aca="false">IF('Bulk Order Details'!J232="","",MAX(1,'Bulk Order Details'!D232))</f>
        <v/>
      </c>
      <c r="AA222" s="217" t="str">
        <f aca="false">IF(Pricing_Details[[#This Row],[Quantity]]="","",Pricing_Details[[#This Row],[Retail Price]]*Pricing_Details[[#This Row],[Quantity]])</f>
        <v/>
      </c>
      <c r="AB222" s="217" t="str">
        <f aca="false">IF(Pricing_Details[[#This Row],[Quantity]]="","",Pricing_Details[[#This Row],[Total Discount]]*Pricing_Details[[#This Row],[Quantity]])</f>
        <v/>
      </c>
      <c r="AC222" s="221" t="str">
        <f aca="false">IFERROR(ROUND(Pricing_Details[[#This Row],[Actual Price]]*Pricing_Details[[#This Row],[Quantity]],2),"")</f>
        <v/>
      </c>
      <c r="AE222" s="179" t="str">
        <f aca="false">IF('Bulk Order Details'!J232="","",VLOOKUP('Bulk Order Details'!H232,Collection[],3)&amp;VLOOKUP('Bulk Order Details'!J232,Collar[],4)&amp;VLOOKUP('Bulk Order Details'!I232,Sleeve[],4))</f>
        <v/>
      </c>
      <c r="AF222" s="179" t="str">
        <f aca="false">IF('Bulk Order Details'!J232="","",LOOKUP('Bulk Order Details'!E232,Cut[Display],Cut[Code])&amp;LOOKUP('Bulk Order Details'!F232,#REF!,#REF!)&amp;IF('Bulk Order Details'!G232="","",LOOKUP('Bulk Order Details'!G232,Length[Display],Length[Code])))</f>
        <v/>
      </c>
      <c r="AG222" s="179" t="str">
        <f aca="false">IF('Bulk Order Details'!J232="","",IF('Bulk Order Details'!C232="","",'Bulk Order Details'!C232))</f>
        <v/>
      </c>
      <c r="AH222" s="179" t="str">
        <f aca="false">IF('Bulk Order Details'!O232="","","-"&amp;LOOKUP('Bulk Order Details'!O232,#REF!,#REF!))</f>
        <v/>
      </c>
      <c r="AI222" s="179" t="str">
        <f aca="false">IF('Bulk Order Details'!P232="","","-"&amp;LOOKUP('Bulk Order Details'!P232,#REF!,#REF!))</f>
        <v/>
      </c>
      <c r="AJ222" s="179" t="str">
        <f aca="false">IF('Bulk Order Details'!Q232="","","-"&amp;LOOKUP('Bulk Order Details'!Q232,#REF!,#REF!))</f>
        <v/>
      </c>
      <c r="AK222" s="179" t="str">
        <f aca="false">IF('Bulk Order Details'!R232="","","-"&amp;LOOKUP('Bulk Order Details'!R232,#REF!,#REF!))</f>
        <v/>
      </c>
      <c r="AL222" s="179" t="str">
        <f aca="false">IF('Bulk Order Details'!S232="","","-"&amp;LOOKUP('Bulk Order Details'!S232,#REF!,#REF!))</f>
        <v/>
      </c>
      <c r="AM222" s="179" t="str">
        <f aca="false">IF(_xlfn.CONCAT(AH222:AL222)="","","Lo"&amp;_xlfn.CONCAT(AH222:AL222))</f>
        <v/>
      </c>
      <c r="AN222" s="179" t="str">
        <f aca="false">IF('Bulk Order Details'!K232="","","Na-"&amp;'Bulk Order Details'!K232)</f>
        <v/>
      </c>
      <c r="AO222" s="179" t="str">
        <f aca="false">IF('Bulk Order Details'!N232="","","Fo-"&amp;'Bulk Order Details'!N232)</f>
        <v/>
      </c>
      <c r="AP222" s="179" t="str">
        <f aca="false">IF(AE222="","",AE222&amp;"_"&amp;AF222&amp;"_"&amp;AG222&amp;IF(AM222="","","_"&amp;AM222)&amp;IF(AN222="","","_"&amp;AN222)&amp;IF(AO222="","","_"&amp;AO222))</f>
        <v/>
      </c>
      <c r="AQ222" s="218" t="str">
        <f aca="false">IF(X222="","",X222)</f>
        <v/>
      </c>
    </row>
    <row r="223" customFormat="false" ht="15" hidden="false" customHeight="true" outlineLevel="0" collapsed="false">
      <c r="B223" s="209" t="n">
        <f aca="false">'Bulk Order Details'!B233</f>
        <v>220</v>
      </c>
      <c r="C223" s="209" t="e">
        <f aca="false">IF('bulk order details'!#ref!="","",'bulk order details'!#ref!&amp;" "&amp;'bulk order details'!#ref!)</f>
        <v>#VALUE!</v>
      </c>
      <c r="D223" s="210" t="str">
        <f aca="false">IF('Bulk Order Details'!J233="","",VLOOKUP(1,Price[],3))</f>
        <v/>
      </c>
      <c r="E223" s="211" t="str">
        <f aca="false">IF('Bulk Order Details'!J233="","",Summary!$D$9)</f>
        <v/>
      </c>
      <c r="F223" s="212" t="str">
        <f aca="false">IF('Bulk Order Details'!F233="","",_xlfn.xlookup('Bulk Order Details'!F233,Size[Display],Size[Price]))</f>
        <v/>
      </c>
      <c r="G223" s="212" t="str">
        <f aca="false">IF('Bulk Order Details'!G233="","",_xlfn.xlookup('Bulk Order Details'!G233,Length[Display],Length[Price]))</f>
        <v/>
      </c>
      <c r="H223" s="212" t="str">
        <f aca="false">IF('Bulk Order Details'!H233="","",_xlfn.xlookup('Bulk Order Details'!H233,Collection[Display],Collection[Price]))</f>
        <v/>
      </c>
      <c r="I223" s="212" t="str">
        <f aca="false">IF('Bulk Order Details'!I233="","",_xlfn.xlookup('Bulk Order Details'!I233,Sleeve[Display],Sleeve[Price]))</f>
        <v/>
      </c>
      <c r="J223" s="212" t="str">
        <f aca="false">IF('Bulk Order Details'!J233="","",_xlfn.xlookup('Bulk Order Details'!J233,Collar[Display],Collar[Price]))</f>
        <v/>
      </c>
      <c r="K223" s="212" t="str">
        <f aca="false">IF('Bulk Order Details'!K233="","",_xlfn.xlookup("Name",Name[Name],Name[Price]))</f>
        <v/>
      </c>
      <c r="L223" s="213" t="str">
        <f aca="false">IFERROR(IF('Bulk Order Details'!O233="","",IF(_xlfn.xlookup('Bulk Order Details'!O233,Logos[Display],Logos[Use])="Flat",_xlfn.xlookup('Bulk Order Details'!O233,Logos[Display],Logos[Flat]),ROUND(_xlfn.xlookup('Bulk Order Details'!O233,Logos[Display],Logos[Pct])*$E223,2))),"")</f>
        <v/>
      </c>
      <c r="M223" s="222" t="str">
        <f aca="false">IFERROR(IF('Bulk Order Details'!P233="","",IF(_xlfn.xlookup('Bulk Order Details'!P233,Chest[Display],Chest[Use])="Flat",_xlfn.xlookup('Bulk Order Details'!P233,Chest[Display],Chest[Flat]),ROUND(_xlfn.xlookup('Bulk Order Details'!P233,Chest[Display],Chest[Pct])*$E223,2))),"")</f>
        <v/>
      </c>
      <c r="N223" s="222" t="str">
        <f aca="false">IFERROR(IF('Bulk Order Details'!Q233="","",IF(_xlfn.xlookup('Bulk Order Details'!Q233,Chest[Display],Chest[Use])="Flat",_xlfn.xlookup('Bulk Order Details'!Q233,Chest[Display],Chest[Flat]),ROUND(_xlfn.xlookup('Bulk Order Details'!Q233,Chest[Display],Chest[Pct])*$E223,2))),"")</f>
        <v/>
      </c>
      <c r="O223" s="222" t="str">
        <f aca="false">IFERROR(IF('Bulk Order Details'!R233="","",IF(_xlfn.xlookup('Bulk Order Details'!R233,LeftSleeve[Display],LeftSleeve[Use])="Flat",_xlfn.xlookup('Bulk Order Details'!R233,LeftSleeve[Display],LeftSleeve[Flat]),ROUND(_xlfn.xlookup('Bulk Order Details'!R233,LeftSleeve[Display],LeftSleeve[Pct])*$E223,2))),"")</f>
        <v/>
      </c>
      <c r="P223" s="222" t="str">
        <f aca="false">IFERROR(IF('Bulk Order Details'!S233="","",IF(_xlfn.xlookup('Bulk Order Details'!S233,RightSleeve[Display],RightSleeve[Use])="Flat",_xlfn.xlookup('Bulk Order Details'!S233,RightSleeve[Display],RightSleeve[Flat]),ROUND(_xlfn.xlookup('Bulk Order Details'!S233,RightSleeve[Display],RightSleeve[Pct])*$E223,2))),"")</f>
        <v/>
      </c>
      <c r="Q223" s="214" t="str">
        <f aca="false">IF('Bulk Order Details'!J233="","",SUM(F223:P223))</f>
        <v/>
      </c>
      <c r="R223" s="213" t="str">
        <f aca="false">IFERROR(E223-D223,"")</f>
        <v/>
      </c>
      <c r="S223" s="215" t="str">
        <f aca="false">IFERROR(MIN(IF(Summary!$D$11="Yes",-J223,0),IF(H223&gt;0,-J223,0)),"")</f>
        <v/>
      </c>
      <c r="T223" s="212" t="str">
        <f aca="false">IFERROR(IF(Summary!$D$10="Yes",-K223,""),"")</f>
        <v/>
      </c>
      <c r="U223" s="213" t="str">
        <f aca="false">IFERROR(IF(Summary!$D$12="Yes",-L223,""),"")</f>
        <v/>
      </c>
      <c r="V223" s="216" t="str">
        <f aca="false">IF('Bulk Order Details'!J233="","",SUM(R223:U223))</f>
        <v/>
      </c>
      <c r="W223" s="217" t="str">
        <f aca="false">IF('Bulk Order Details'!J233="","",D223+Q223)</f>
        <v/>
      </c>
      <c r="X223" s="218" t="str">
        <f aca="false">IF('Bulk Order Details'!J233="","",D223+Q223+V223)</f>
        <v/>
      </c>
      <c r="Y223" s="219" t="str">
        <f aca="false">IFERROR((W223-X223)/W223,"")</f>
        <v/>
      </c>
      <c r="Z223" s="220" t="str">
        <f aca="false">IF('Bulk Order Details'!J233="","",MAX(1,'Bulk Order Details'!D233))</f>
        <v/>
      </c>
      <c r="AA223" s="217" t="str">
        <f aca="false">IF(Pricing_Details[[#This Row],[Quantity]]="","",Pricing_Details[[#This Row],[Retail Price]]*Pricing_Details[[#This Row],[Quantity]])</f>
        <v/>
      </c>
      <c r="AB223" s="217" t="str">
        <f aca="false">IF(Pricing_Details[[#This Row],[Quantity]]="","",Pricing_Details[[#This Row],[Total Discount]]*Pricing_Details[[#This Row],[Quantity]])</f>
        <v/>
      </c>
      <c r="AC223" s="221" t="str">
        <f aca="false">IFERROR(ROUND(Pricing_Details[[#This Row],[Actual Price]]*Pricing_Details[[#This Row],[Quantity]],2),"")</f>
        <v/>
      </c>
      <c r="AE223" s="179" t="str">
        <f aca="false">IF('Bulk Order Details'!J233="","",VLOOKUP('Bulk Order Details'!H233,Collection[],3)&amp;VLOOKUP('Bulk Order Details'!J233,Collar[],4)&amp;VLOOKUP('Bulk Order Details'!I233,Sleeve[],4))</f>
        <v/>
      </c>
      <c r="AF223" s="179" t="str">
        <f aca="false">IF('Bulk Order Details'!J233="","",LOOKUP('Bulk Order Details'!E233,Cut[Display],Cut[Code])&amp;LOOKUP('Bulk Order Details'!F233,#REF!,#REF!)&amp;IF('Bulk Order Details'!G233="","",LOOKUP('Bulk Order Details'!G233,Length[Display],Length[Code])))</f>
        <v/>
      </c>
      <c r="AG223" s="179" t="str">
        <f aca="false">IF('Bulk Order Details'!J233="","",IF('Bulk Order Details'!C233="","",'Bulk Order Details'!C233))</f>
        <v/>
      </c>
      <c r="AH223" s="179" t="str">
        <f aca="false">IF('Bulk Order Details'!O233="","","-"&amp;LOOKUP('Bulk Order Details'!O233,#REF!,#REF!))</f>
        <v/>
      </c>
      <c r="AI223" s="179" t="str">
        <f aca="false">IF('Bulk Order Details'!P233="","","-"&amp;LOOKUP('Bulk Order Details'!P233,#REF!,#REF!))</f>
        <v/>
      </c>
      <c r="AJ223" s="179" t="str">
        <f aca="false">IF('Bulk Order Details'!Q233="","","-"&amp;LOOKUP('Bulk Order Details'!Q233,#REF!,#REF!))</f>
        <v/>
      </c>
      <c r="AK223" s="179" t="str">
        <f aca="false">IF('Bulk Order Details'!R233="","","-"&amp;LOOKUP('Bulk Order Details'!R233,#REF!,#REF!))</f>
        <v/>
      </c>
      <c r="AL223" s="179" t="str">
        <f aca="false">IF('Bulk Order Details'!S233="","","-"&amp;LOOKUP('Bulk Order Details'!S233,#REF!,#REF!))</f>
        <v/>
      </c>
      <c r="AM223" s="179" t="str">
        <f aca="false">IF(_xlfn.CONCAT(AH223:AL223)="","","Lo"&amp;_xlfn.CONCAT(AH223:AL223))</f>
        <v/>
      </c>
      <c r="AN223" s="179" t="str">
        <f aca="false">IF('Bulk Order Details'!K233="","","Na-"&amp;'Bulk Order Details'!K233)</f>
        <v/>
      </c>
      <c r="AO223" s="179" t="str">
        <f aca="false">IF('Bulk Order Details'!N233="","","Fo-"&amp;'Bulk Order Details'!N233)</f>
        <v/>
      </c>
      <c r="AP223" s="179" t="str">
        <f aca="false">IF(AE223="","",AE223&amp;"_"&amp;AF223&amp;"_"&amp;AG223&amp;IF(AM223="","","_"&amp;AM223)&amp;IF(AN223="","","_"&amp;AN223)&amp;IF(AO223="","","_"&amp;AO223))</f>
        <v/>
      </c>
      <c r="AQ223" s="218" t="str">
        <f aca="false">IF(X223="","",X223)</f>
        <v/>
      </c>
    </row>
    <row r="224" customFormat="false" ht="15" hidden="false" customHeight="true" outlineLevel="0" collapsed="false">
      <c r="B224" s="209" t="n">
        <f aca="false">'Bulk Order Details'!B234</f>
        <v>221</v>
      </c>
      <c r="C224" s="209" t="e">
        <f aca="false">IF('bulk order details'!#ref!="","",'bulk order details'!#ref!&amp;" "&amp;'bulk order details'!#ref!)</f>
        <v>#VALUE!</v>
      </c>
      <c r="D224" s="210" t="str">
        <f aca="false">IF('Bulk Order Details'!J234="","",VLOOKUP(1,Price[],3))</f>
        <v/>
      </c>
      <c r="E224" s="211" t="str">
        <f aca="false">IF('Bulk Order Details'!J234="","",Summary!$D$9)</f>
        <v/>
      </c>
      <c r="F224" s="212" t="str">
        <f aca="false">IF('Bulk Order Details'!F234="","",_xlfn.xlookup('Bulk Order Details'!F234,Size[Display],Size[Price]))</f>
        <v/>
      </c>
      <c r="G224" s="212" t="str">
        <f aca="false">IF('Bulk Order Details'!G234="","",_xlfn.xlookup('Bulk Order Details'!G234,Length[Display],Length[Price]))</f>
        <v/>
      </c>
      <c r="H224" s="212" t="str">
        <f aca="false">IF('Bulk Order Details'!H234="","",_xlfn.xlookup('Bulk Order Details'!H234,Collection[Display],Collection[Price]))</f>
        <v/>
      </c>
      <c r="I224" s="212" t="str">
        <f aca="false">IF('Bulk Order Details'!I234="","",_xlfn.xlookup('Bulk Order Details'!I234,Sleeve[Display],Sleeve[Price]))</f>
        <v/>
      </c>
      <c r="J224" s="212" t="str">
        <f aca="false">IF('Bulk Order Details'!J234="","",_xlfn.xlookup('Bulk Order Details'!J234,Collar[Display],Collar[Price]))</f>
        <v/>
      </c>
      <c r="K224" s="212" t="str">
        <f aca="false">IF('Bulk Order Details'!K234="","",_xlfn.xlookup("Name",Name[Name],Name[Price]))</f>
        <v/>
      </c>
      <c r="L224" s="213" t="str">
        <f aca="false">IFERROR(IF('Bulk Order Details'!O234="","",IF(_xlfn.xlookup('Bulk Order Details'!O234,Logos[Display],Logos[Use])="Flat",_xlfn.xlookup('Bulk Order Details'!O234,Logos[Display],Logos[Flat]),ROUND(_xlfn.xlookup('Bulk Order Details'!O234,Logos[Display],Logos[Pct])*$E224,2))),"")</f>
        <v/>
      </c>
      <c r="M224" s="222" t="str">
        <f aca="false">IFERROR(IF('Bulk Order Details'!P234="","",IF(_xlfn.xlookup('Bulk Order Details'!P234,Chest[Display],Chest[Use])="Flat",_xlfn.xlookup('Bulk Order Details'!P234,Chest[Display],Chest[Flat]),ROUND(_xlfn.xlookup('Bulk Order Details'!P234,Chest[Display],Chest[Pct])*$E224,2))),"")</f>
        <v/>
      </c>
      <c r="N224" s="222" t="str">
        <f aca="false">IFERROR(IF('Bulk Order Details'!Q234="","",IF(_xlfn.xlookup('Bulk Order Details'!Q234,Chest[Display],Chest[Use])="Flat",_xlfn.xlookup('Bulk Order Details'!Q234,Chest[Display],Chest[Flat]),ROUND(_xlfn.xlookup('Bulk Order Details'!Q234,Chest[Display],Chest[Pct])*$E224,2))),"")</f>
        <v/>
      </c>
      <c r="O224" s="222" t="str">
        <f aca="false">IFERROR(IF('Bulk Order Details'!R234="","",IF(_xlfn.xlookup('Bulk Order Details'!R234,LeftSleeve[Display],LeftSleeve[Use])="Flat",_xlfn.xlookup('Bulk Order Details'!R234,LeftSleeve[Display],LeftSleeve[Flat]),ROUND(_xlfn.xlookup('Bulk Order Details'!R234,LeftSleeve[Display],LeftSleeve[Pct])*$E224,2))),"")</f>
        <v/>
      </c>
      <c r="P224" s="222" t="str">
        <f aca="false">IFERROR(IF('Bulk Order Details'!S234="","",IF(_xlfn.xlookup('Bulk Order Details'!S234,RightSleeve[Display],RightSleeve[Use])="Flat",_xlfn.xlookup('Bulk Order Details'!S234,RightSleeve[Display],RightSleeve[Flat]),ROUND(_xlfn.xlookup('Bulk Order Details'!S234,RightSleeve[Display],RightSleeve[Pct])*$E224,2))),"")</f>
        <v/>
      </c>
      <c r="Q224" s="214" t="str">
        <f aca="false">IF('Bulk Order Details'!J234="","",SUM(F224:P224))</f>
        <v/>
      </c>
      <c r="R224" s="213" t="str">
        <f aca="false">IFERROR(E224-D224,"")</f>
        <v/>
      </c>
      <c r="S224" s="215" t="str">
        <f aca="false">IFERROR(MIN(IF(Summary!$D$11="Yes",-J224,0),IF(H224&gt;0,-J224,0)),"")</f>
        <v/>
      </c>
      <c r="T224" s="212" t="str">
        <f aca="false">IFERROR(IF(Summary!$D$10="Yes",-K224,""),"")</f>
        <v/>
      </c>
      <c r="U224" s="213" t="str">
        <f aca="false">IFERROR(IF(Summary!$D$12="Yes",-L224,""),"")</f>
        <v/>
      </c>
      <c r="V224" s="216" t="str">
        <f aca="false">IF('Bulk Order Details'!J234="","",SUM(R224:U224))</f>
        <v/>
      </c>
      <c r="W224" s="217" t="str">
        <f aca="false">IF('Bulk Order Details'!J234="","",D224+Q224)</f>
        <v/>
      </c>
      <c r="X224" s="218" t="str">
        <f aca="false">IF('Bulk Order Details'!J234="","",D224+Q224+V224)</f>
        <v/>
      </c>
      <c r="Y224" s="219" t="str">
        <f aca="false">IFERROR((W224-X224)/W224,"")</f>
        <v/>
      </c>
      <c r="Z224" s="220" t="str">
        <f aca="false">IF('Bulk Order Details'!J234="","",MAX(1,'Bulk Order Details'!D234))</f>
        <v/>
      </c>
      <c r="AA224" s="217" t="str">
        <f aca="false">IF(Pricing_Details[[#This Row],[Quantity]]="","",Pricing_Details[[#This Row],[Retail Price]]*Pricing_Details[[#This Row],[Quantity]])</f>
        <v/>
      </c>
      <c r="AB224" s="217" t="str">
        <f aca="false">IF(Pricing_Details[[#This Row],[Quantity]]="","",Pricing_Details[[#This Row],[Total Discount]]*Pricing_Details[[#This Row],[Quantity]])</f>
        <v/>
      </c>
      <c r="AC224" s="221" t="str">
        <f aca="false">IFERROR(ROUND(Pricing_Details[[#This Row],[Actual Price]]*Pricing_Details[[#This Row],[Quantity]],2),"")</f>
        <v/>
      </c>
      <c r="AE224" s="179" t="str">
        <f aca="false">IF('Bulk Order Details'!J234="","",VLOOKUP('Bulk Order Details'!H234,Collection[],3)&amp;VLOOKUP('Bulk Order Details'!J234,Collar[],4)&amp;VLOOKUP('Bulk Order Details'!I234,Sleeve[],4))</f>
        <v/>
      </c>
      <c r="AF224" s="179" t="str">
        <f aca="false">IF('Bulk Order Details'!J234="","",LOOKUP('Bulk Order Details'!E234,Cut[Display],Cut[Code])&amp;LOOKUP('Bulk Order Details'!F234,#REF!,#REF!)&amp;IF('Bulk Order Details'!G234="","",LOOKUP('Bulk Order Details'!G234,Length[Display],Length[Code])))</f>
        <v/>
      </c>
      <c r="AG224" s="179" t="str">
        <f aca="false">IF('Bulk Order Details'!J234="","",IF('Bulk Order Details'!C234="","",'Bulk Order Details'!C234))</f>
        <v/>
      </c>
      <c r="AH224" s="179" t="str">
        <f aca="false">IF('Bulk Order Details'!O234="","","-"&amp;LOOKUP('Bulk Order Details'!O234,#REF!,#REF!))</f>
        <v/>
      </c>
      <c r="AI224" s="179" t="str">
        <f aca="false">IF('Bulk Order Details'!P234="","","-"&amp;LOOKUP('Bulk Order Details'!P234,#REF!,#REF!))</f>
        <v/>
      </c>
      <c r="AJ224" s="179" t="str">
        <f aca="false">IF('Bulk Order Details'!Q234="","","-"&amp;LOOKUP('Bulk Order Details'!Q234,#REF!,#REF!))</f>
        <v/>
      </c>
      <c r="AK224" s="179" t="str">
        <f aca="false">IF('Bulk Order Details'!R234="","","-"&amp;LOOKUP('Bulk Order Details'!R234,#REF!,#REF!))</f>
        <v/>
      </c>
      <c r="AL224" s="179" t="str">
        <f aca="false">IF('Bulk Order Details'!S234="","","-"&amp;LOOKUP('Bulk Order Details'!S234,#REF!,#REF!))</f>
        <v/>
      </c>
      <c r="AM224" s="179" t="str">
        <f aca="false">IF(_xlfn.CONCAT(AH224:AL224)="","","Lo"&amp;_xlfn.CONCAT(AH224:AL224))</f>
        <v/>
      </c>
      <c r="AN224" s="179" t="str">
        <f aca="false">IF('Bulk Order Details'!K234="","","Na-"&amp;'Bulk Order Details'!K234)</f>
        <v/>
      </c>
      <c r="AO224" s="179" t="str">
        <f aca="false">IF('Bulk Order Details'!N234="","","Fo-"&amp;'Bulk Order Details'!N234)</f>
        <v/>
      </c>
      <c r="AP224" s="179" t="str">
        <f aca="false">IF(AE224="","",AE224&amp;"_"&amp;AF224&amp;"_"&amp;AG224&amp;IF(AM224="","","_"&amp;AM224)&amp;IF(AN224="","","_"&amp;AN224)&amp;IF(AO224="","","_"&amp;AO224))</f>
        <v/>
      </c>
      <c r="AQ224" s="218" t="str">
        <f aca="false">IF(X224="","",X224)</f>
        <v/>
      </c>
    </row>
    <row r="225" customFormat="false" ht="15" hidden="false" customHeight="true" outlineLevel="0" collapsed="false">
      <c r="B225" s="209" t="n">
        <f aca="false">'Bulk Order Details'!B235</f>
        <v>222</v>
      </c>
      <c r="C225" s="209" t="e">
        <f aca="false">IF('bulk order details'!#ref!="","",'bulk order details'!#ref!&amp;" "&amp;'bulk order details'!#ref!)</f>
        <v>#VALUE!</v>
      </c>
      <c r="D225" s="210" t="str">
        <f aca="false">IF('Bulk Order Details'!J235="","",VLOOKUP(1,Price[],3))</f>
        <v/>
      </c>
      <c r="E225" s="211" t="str">
        <f aca="false">IF('Bulk Order Details'!J235="","",Summary!$D$9)</f>
        <v/>
      </c>
      <c r="F225" s="212" t="str">
        <f aca="false">IF('Bulk Order Details'!F235="","",_xlfn.xlookup('Bulk Order Details'!F235,Size[Display],Size[Price]))</f>
        <v/>
      </c>
      <c r="G225" s="212" t="str">
        <f aca="false">IF('Bulk Order Details'!G235="","",_xlfn.xlookup('Bulk Order Details'!G235,Length[Display],Length[Price]))</f>
        <v/>
      </c>
      <c r="H225" s="212" t="str">
        <f aca="false">IF('Bulk Order Details'!H235="","",_xlfn.xlookup('Bulk Order Details'!H235,Collection[Display],Collection[Price]))</f>
        <v/>
      </c>
      <c r="I225" s="212" t="str">
        <f aca="false">IF('Bulk Order Details'!I235="","",_xlfn.xlookup('Bulk Order Details'!I235,Sleeve[Display],Sleeve[Price]))</f>
        <v/>
      </c>
      <c r="J225" s="212" t="str">
        <f aca="false">IF('Bulk Order Details'!J235="","",_xlfn.xlookup('Bulk Order Details'!J235,Collar[Display],Collar[Price]))</f>
        <v/>
      </c>
      <c r="K225" s="212" t="str">
        <f aca="false">IF('Bulk Order Details'!K235="","",_xlfn.xlookup("Name",Name[Name],Name[Price]))</f>
        <v/>
      </c>
      <c r="L225" s="213" t="str">
        <f aca="false">IFERROR(IF('Bulk Order Details'!O235="","",IF(_xlfn.xlookup('Bulk Order Details'!O235,Logos[Display],Logos[Use])="Flat",_xlfn.xlookup('Bulk Order Details'!O235,Logos[Display],Logos[Flat]),ROUND(_xlfn.xlookup('Bulk Order Details'!O235,Logos[Display],Logos[Pct])*$E225,2))),"")</f>
        <v/>
      </c>
      <c r="M225" s="222" t="str">
        <f aca="false">IFERROR(IF('Bulk Order Details'!P235="","",IF(_xlfn.xlookup('Bulk Order Details'!P235,Chest[Display],Chest[Use])="Flat",_xlfn.xlookup('Bulk Order Details'!P235,Chest[Display],Chest[Flat]),ROUND(_xlfn.xlookup('Bulk Order Details'!P235,Chest[Display],Chest[Pct])*$E225,2))),"")</f>
        <v/>
      </c>
      <c r="N225" s="222" t="str">
        <f aca="false">IFERROR(IF('Bulk Order Details'!Q235="","",IF(_xlfn.xlookup('Bulk Order Details'!Q235,Chest[Display],Chest[Use])="Flat",_xlfn.xlookup('Bulk Order Details'!Q235,Chest[Display],Chest[Flat]),ROUND(_xlfn.xlookup('Bulk Order Details'!Q235,Chest[Display],Chest[Pct])*$E225,2))),"")</f>
        <v/>
      </c>
      <c r="O225" s="222" t="str">
        <f aca="false">IFERROR(IF('Bulk Order Details'!R235="","",IF(_xlfn.xlookup('Bulk Order Details'!R235,LeftSleeve[Display],LeftSleeve[Use])="Flat",_xlfn.xlookup('Bulk Order Details'!R235,LeftSleeve[Display],LeftSleeve[Flat]),ROUND(_xlfn.xlookup('Bulk Order Details'!R235,LeftSleeve[Display],LeftSleeve[Pct])*$E225,2))),"")</f>
        <v/>
      </c>
      <c r="P225" s="222" t="str">
        <f aca="false">IFERROR(IF('Bulk Order Details'!S235="","",IF(_xlfn.xlookup('Bulk Order Details'!S235,RightSleeve[Display],RightSleeve[Use])="Flat",_xlfn.xlookup('Bulk Order Details'!S235,RightSleeve[Display],RightSleeve[Flat]),ROUND(_xlfn.xlookup('Bulk Order Details'!S235,RightSleeve[Display],RightSleeve[Pct])*$E225,2))),"")</f>
        <v/>
      </c>
      <c r="Q225" s="214" t="str">
        <f aca="false">IF('Bulk Order Details'!J235="","",SUM(F225:P225))</f>
        <v/>
      </c>
      <c r="R225" s="213" t="str">
        <f aca="false">IFERROR(E225-D225,"")</f>
        <v/>
      </c>
      <c r="S225" s="215" t="str">
        <f aca="false">IFERROR(MIN(IF(Summary!$D$11="Yes",-J225,0),IF(H225&gt;0,-J225,0)),"")</f>
        <v/>
      </c>
      <c r="T225" s="212" t="str">
        <f aca="false">IFERROR(IF(Summary!$D$10="Yes",-K225,""),"")</f>
        <v/>
      </c>
      <c r="U225" s="213" t="str">
        <f aca="false">IFERROR(IF(Summary!$D$12="Yes",-L225,""),"")</f>
        <v/>
      </c>
      <c r="V225" s="216" t="str">
        <f aca="false">IF('Bulk Order Details'!J235="","",SUM(R225:U225))</f>
        <v/>
      </c>
      <c r="W225" s="217" t="str">
        <f aca="false">IF('Bulk Order Details'!J235="","",D225+Q225)</f>
        <v/>
      </c>
      <c r="X225" s="218" t="str">
        <f aca="false">IF('Bulk Order Details'!J235="","",D225+Q225+V225)</f>
        <v/>
      </c>
      <c r="Y225" s="219" t="str">
        <f aca="false">IFERROR((W225-X225)/W225,"")</f>
        <v/>
      </c>
      <c r="Z225" s="220" t="str">
        <f aca="false">IF('Bulk Order Details'!J235="","",MAX(1,'Bulk Order Details'!D235))</f>
        <v/>
      </c>
      <c r="AA225" s="217" t="str">
        <f aca="false">IF(Pricing_Details[[#This Row],[Quantity]]="","",Pricing_Details[[#This Row],[Retail Price]]*Pricing_Details[[#This Row],[Quantity]])</f>
        <v/>
      </c>
      <c r="AB225" s="217" t="str">
        <f aca="false">IF(Pricing_Details[[#This Row],[Quantity]]="","",Pricing_Details[[#This Row],[Total Discount]]*Pricing_Details[[#This Row],[Quantity]])</f>
        <v/>
      </c>
      <c r="AC225" s="221" t="str">
        <f aca="false">IFERROR(ROUND(Pricing_Details[[#This Row],[Actual Price]]*Pricing_Details[[#This Row],[Quantity]],2),"")</f>
        <v/>
      </c>
      <c r="AE225" s="179" t="str">
        <f aca="false">IF('Bulk Order Details'!J235="","",VLOOKUP('Bulk Order Details'!H235,Collection[],3)&amp;VLOOKUP('Bulk Order Details'!J235,Collar[],4)&amp;VLOOKUP('Bulk Order Details'!I235,Sleeve[],4))</f>
        <v/>
      </c>
      <c r="AF225" s="179" t="str">
        <f aca="false">IF('Bulk Order Details'!J235="","",LOOKUP('Bulk Order Details'!E235,Cut[Display],Cut[Code])&amp;LOOKUP('Bulk Order Details'!F235,#REF!,#REF!)&amp;IF('Bulk Order Details'!G235="","",LOOKUP('Bulk Order Details'!G235,Length[Display],Length[Code])))</f>
        <v/>
      </c>
      <c r="AG225" s="179" t="str">
        <f aca="false">IF('Bulk Order Details'!J235="","",IF('Bulk Order Details'!C235="","",'Bulk Order Details'!C235))</f>
        <v/>
      </c>
      <c r="AH225" s="179" t="str">
        <f aca="false">IF('Bulk Order Details'!O235="","","-"&amp;LOOKUP('Bulk Order Details'!O235,#REF!,#REF!))</f>
        <v/>
      </c>
      <c r="AI225" s="179" t="str">
        <f aca="false">IF('Bulk Order Details'!P235="","","-"&amp;LOOKUP('Bulk Order Details'!P235,#REF!,#REF!))</f>
        <v/>
      </c>
      <c r="AJ225" s="179" t="str">
        <f aca="false">IF('Bulk Order Details'!Q235="","","-"&amp;LOOKUP('Bulk Order Details'!Q235,#REF!,#REF!))</f>
        <v/>
      </c>
      <c r="AK225" s="179" t="str">
        <f aca="false">IF('Bulk Order Details'!R235="","","-"&amp;LOOKUP('Bulk Order Details'!R235,#REF!,#REF!))</f>
        <v/>
      </c>
      <c r="AL225" s="179" t="str">
        <f aca="false">IF('Bulk Order Details'!S235="","","-"&amp;LOOKUP('Bulk Order Details'!S235,#REF!,#REF!))</f>
        <v/>
      </c>
      <c r="AM225" s="179" t="str">
        <f aca="false">IF(_xlfn.CONCAT(AH225:AL225)="","","Lo"&amp;_xlfn.CONCAT(AH225:AL225))</f>
        <v/>
      </c>
      <c r="AN225" s="179" t="str">
        <f aca="false">IF('Bulk Order Details'!K235="","","Na-"&amp;'Bulk Order Details'!K235)</f>
        <v/>
      </c>
      <c r="AO225" s="179" t="str">
        <f aca="false">IF('Bulk Order Details'!N235="","","Fo-"&amp;'Bulk Order Details'!N235)</f>
        <v/>
      </c>
      <c r="AP225" s="179" t="str">
        <f aca="false">IF(AE225="","",AE225&amp;"_"&amp;AF225&amp;"_"&amp;AG225&amp;IF(AM225="","","_"&amp;AM225)&amp;IF(AN225="","","_"&amp;AN225)&amp;IF(AO225="","","_"&amp;AO225))</f>
        <v/>
      </c>
      <c r="AQ225" s="218" t="str">
        <f aca="false">IF(X225="","",X225)</f>
        <v/>
      </c>
    </row>
    <row r="226" customFormat="false" ht="15" hidden="false" customHeight="true" outlineLevel="0" collapsed="false">
      <c r="B226" s="209" t="n">
        <f aca="false">'Bulk Order Details'!B236</f>
        <v>223</v>
      </c>
      <c r="C226" s="209" t="e">
        <f aca="false">IF('bulk order details'!#ref!="","",'bulk order details'!#ref!&amp;" "&amp;'bulk order details'!#ref!)</f>
        <v>#VALUE!</v>
      </c>
      <c r="D226" s="210" t="str">
        <f aca="false">IF('Bulk Order Details'!J236="","",VLOOKUP(1,Price[],3))</f>
        <v/>
      </c>
      <c r="E226" s="211" t="str">
        <f aca="false">IF('Bulk Order Details'!J236="","",Summary!$D$9)</f>
        <v/>
      </c>
      <c r="F226" s="212" t="str">
        <f aca="false">IF('Bulk Order Details'!F236="","",_xlfn.xlookup('Bulk Order Details'!F236,Size[Display],Size[Price]))</f>
        <v/>
      </c>
      <c r="G226" s="212" t="str">
        <f aca="false">IF('Bulk Order Details'!G236="","",_xlfn.xlookup('Bulk Order Details'!G236,Length[Display],Length[Price]))</f>
        <v/>
      </c>
      <c r="H226" s="212" t="str">
        <f aca="false">IF('Bulk Order Details'!H236="","",_xlfn.xlookup('Bulk Order Details'!H236,Collection[Display],Collection[Price]))</f>
        <v/>
      </c>
      <c r="I226" s="212" t="str">
        <f aca="false">IF('Bulk Order Details'!I236="","",_xlfn.xlookup('Bulk Order Details'!I236,Sleeve[Display],Sleeve[Price]))</f>
        <v/>
      </c>
      <c r="J226" s="212" t="str">
        <f aca="false">IF('Bulk Order Details'!J236="","",_xlfn.xlookup('Bulk Order Details'!J236,Collar[Display],Collar[Price]))</f>
        <v/>
      </c>
      <c r="K226" s="212" t="str">
        <f aca="false">IF('Bulk Order Details'!K236="","",_xlfn.xlookup("Name",Name[Name],Name[Price]))</f>
        <v/>
      </c>
      <c r="L226" s="213" t="str">
        <f aca="false">IFERROR(IF('Bulk Order Details'!O236="","",IF(_xlfn.xlookup('Bulk Order Details'!O236,Logos[Display],Logos[Use])="Flat",_xlfn.xlookup('Bulk Order Details'!O236,Logos[Display],Logos[Flat]),ROUND(_xlfn.xlookup('Bulk Order Details'!O236,Logos[Display],Logos[Pct])*$E226,2))),"")</f>
        <v/>
      </c>
      <c r="M226" s="222" t="str">
        <f aca="false">IFERROR(IF('Bulk Order Details'!P236="","",IF(_xlfn.xlookup('Bulk Order Details'!P236,Chest[Display],Chest[Use])="Flat",_xlfn.xlookup('Bulk Order Details'!P236,Chest[Display],Chest[Flat]),ROUND(_xlfn.xlookup('Bulk Order Details'!P236,Chest[Display],Chest[Pct])*$E226,2))),"")</f>
        <v/>
      </c>
      <c r="N226" s="222" t="str">
        <f aca="false">IFERROR(IF('Bulk Order Details'!Q236="","",IF(_xlfn.xlookup('Bulk Order Details'!Q236,Chest[Display],Chest[Use])="Flat",_xlfn.xlookup('Bulk Order Details'!Q236,Chest[Display],Chest[Flat]),ROUND(_xlfn.xlookup('Bulk Order Details'!Q236,Chest[Display],Chest[Pct])*$E226,2))),"")</f>
        <v/>
      </c>
      <c r="O226" s="222" t="str">
        <f aca="false">IFERROR(IF('Bulk Order Details'!R236="","",IF(_xlfn.xlookup('Bulk Order Details'!R236,LeftSleeve[Display],LeftSleeve[Use])="Flat",_xlfn.xlookup('Bulk Order Details'!R236,LeftSleeve[Display],LeftSleeve[Flat]),ROUND(_xlfn.xlookup('Bulk Order Details'!R236,LeftSleeve[Display],LeftSleeve[Pct])*$E226,2))),"")</f>
        <v/>
      </c>
      <c r="P226" s="222" t="str">
        <f aca="false">IFERROR(IF('Bulk Order Details'!S236="","",IF(_xlfn.xlookup('Bulk Order Details'!S236,RightSleeve[Display],RightSleeve[Use])="Flat",_xlfn.xlookup('Bulk Order Details'!S236,RightSleeve[Display],RightSleeve[Flat]),ROUND(_xlfn.xlookup('Bulk Order Details'!S236,RightSleeve[Display],RightSleeve[Pct])*$E226,2))),"")</f>
        <v/>
      </c>
      <c r="Q226" s="214" t="str">
        <f aca="false">IF('Bulk Order Details'!J236="","",SUM(F226:P226))</f>
        <v/>
      </c>
      <c r="R226" s="213" t="str">
        <f aca="false">IFERROR(E226-D226,"")</f>
        <v/>
      </c>
      <c r="S226" s="215" t="str">
        <f aca="false">IFERROR(MIN(IF(Summary!$D$11="Yes",-J226,0),IF(H226&gt;0,-J226,0)),"")</f>
        <v/>
      </c>
      <c r="T226" s="212" t="str">
        <f aca="false">IFERROR(IF(Summary!$D$10="Yes",-K226,""),"")</f>
        <v/>
      </c>
      <c r="U226" s="213" t="str">
        <f aca="false">IFERROR(IF(Summary!$D$12="Yes",-L226,""),"")</f>
        <v/>
      </c>
      <c r="V226" s="216" t="str">
        <f aca="false">IF('Bulk Order Details'!J236="","",SUM(R226:U226))</f>
        <v/>
      </c>
      <c r="W226" s="217" t="str">
        <f aca="false">IF('Bulk Order Details'!J236="","",D226+Q226)</f>
        <v/>
      </c>
      <c r="X226" s="218" t="str">
        <f aca="false">IF('Bulk Order Details'!J236="","",D226+Q226+V226)</f>
        <v/>
      </c>
      <c r="Y226" s="219" t="str">
        <f aca="false">IFERROR((W226-X226)/W226,"")</f>
        <v/>
      </c>
      <c r="Z226" s="220" t="str">
        <f aca="false">IF('Bulk Order Details'!J236="","",MAX(1,'Bulk Order Details'!D236))</f>
        <v/>
      </c>
      <c r="AA226" s="217" t="str">
        <f aca="false">IF(Pricing_Details[[#This Row],[Quantity]]="","",Pricing_Details[[#This Row],[Retail Price]]*Pricing_Details[[#This Row],[Quantity]])</f>
        <v/>
      </c>
      <c r="AB226" s="217" t="str">
        <f aca="false">IF(Pricing_Details[[#This Row],[Quantity]]="","",Pricing_Details[[#This Row],[Total Discount]]*Pricing_Details[[#This Row],[Quantity]])</f>
        <v/>
      </c>
      <c r="AC226" s="221" t="str">
        <f aca="false">IFERROR(ROUND(Pricing_Details[[#This Row],[Actual Price]]*Pricing_Details[[#This Row],[Quantity]],2),"")</f>
        <v/>
      </c>
      <c r="AE226" s="179" t="str">
        <f aca="false">IF('Bulk Order Details'!J236="","",VLOOKUP('Bulk Order Details'!H236,Collection[],3)&amp;VLOOKUP('Bulk Order Details'!J236,Collar[],4)&amp;VLOOKUP('Bulk Order Details'!I236,Sleeve[],4))</f>
        <v/>
      </c>
      <c r="AF226" s="179" t="str">
        <f aca="false">IF('Bulk Order Details'!J236="","",LOOKUP('Bulk Order Details'!E236,Cut[Display],Cut[Code])&amp;LOOKUP('Bulk Order Details'!F236,#REF!,#REF!)&amp;IF('Bulk Order Details'!G236="","",LOOKUP('Bulk Order Details'!G236,Length[Display],Length[Code])))</f>
        <v/>
      </c>
      <c r="AG226" s="179" t="str">
        <f aca="false">IF('Bulk Order Details'!J236="","",IF('Bulk Order Details'!C236="","",'Bulk Order Details'!C236))</f>
        <v/>
      </c>
      <c r="AH226" s="179" t="str">
        <f aca="false">IF('Bulk Order Details'!O236="","","-"&amp;LOOKUP('Bulk Order Details'!O236,#REF!,#REF!))</f>
        <v/>
      </c>
      <c r="AI226" s="179" t="str">
        <f aca="false">IF('Bulk Order Details'!P236="","","-"&amp;LOOKUP('Bulk Order Details'!P236,#REF!,#REF!))</f>
        <v/>
      </c>
      <c r="AJ226" s="179" t="str">
        <f aca="false">IF('Bulk Order Details'!Q236="","","-"&amp;LOOKUP('Bulk Order Details'!Q236,#REF!,#REF!))</f>
        <v/>
      </c>
      <c r="AK226" s="179" t="str">
        <f aca="false">IF('Bulk Order Details'!R236="","","-"&amp;LOOKUP('Bulk Order Details'!R236,#REF!,#REF!))</f>
        <v/>
      </c>
      <c r="AL226" s="179" t="str">
        <f aca="false">IF('Bulk Order Details'!S236="","","-"&amp;LOOKUP('Bulk Order Details'!S236,#REF!,#REF!))</f>
        <v/>
      </c>
      <c r="AM226" s="179" t="str">
        <f aca="false">IF(_xlfn.CONCAT(AH226:AL226)="","","Lo"&amp;_xlfn.CONCAT(AH226:AL226))</f>
        <v/>
      </c>
      <c r="AN226" s="179" t="str">
        <f aca="false">IF('Bulk Order Details'!K236="","","Na-"&amp;'Bulk Order Details'!K236)</f>
        <v/>
      </c>
      <c r="AO226" s="179" t="str">
        <f aca="false">IF('Bulk Order Details'!N236="","","Fo-"&amp;'Bulk Order Details'!N236)</f>
        <v/>
      </c>
      <c r="AP226" s="179" t="str">
        <f aca="false">IF(AE226="","",AE226&amp;"_"&amp;AF226&amp;"_"&amp;AG226&amp;IF(AM226="","","_"&amp;AM226)&amp;IF(AN226="","","_"&amp;AN226)&amp;IF(AO226="","","_"&amp;AO226))</f>
        <v/>
      </c>
      <c r="AQ226" s="218" t="str">
        <f aca="false">IF(X226="","",X226)</f>
        <v/>
      </c>
    </row>
    <row r="227" customFormat="false" ht="15" hidden="false" customHeight="true" outlineLevel="0" collapsed="false">
      <c r="B227" s="209" t="n">
        <f aca="false">'Bulk Order Details'!B237</f>
        <v>224</v>
      </c>
      <c r="C227" s="209" t="e">
        <f aca="false">IF('bulk order details'!#ref!="","",'bulk order details'!#ref!&amp;" "&amp;'bulk order details'!#ref!)</f>
        <v>#VALUE!</v>
      </c>
      <c r="D227" s="210" t="str">
        <f aca="false">IF('Bulk Order Details'!J237="","",VLOOKUP(1,Price[],3))</f>
        <v/>
      </c>
      <c r="E227" s="211" t="str">
        <f aca="false">IF('Bulk Order Details'!J237="","",Summary!$D$9)</f>
        <v/>
      </c>
      <c r="F227" s="212" t="str">
        <f aca="false">IF('Bulk Order Details'!F237="","",_xlfn.xlookup('Bulk Order Details'!F237,Size[Display],Size[Price]))</f>
        <v/>
      </c>
      <c r="G227" s="212" t="str">
        <f aca="false">IF('Bulk Order Details'!G237="","",_xlfn.xlookup('Bulk Order Details'!G237,Length[Display],Length[Price]))</f>
        <v/>
      </c>
      <c r="H227" s="212" t="str">
        <f aca="false">IF('Bulk Order Details'!H237="","",_xlfn.xlookup('Bulk Order Details'!H237,Collection[Display],Collection[Price]))</f>
        <v/>
      </c>
      <c r="I227" s="212" t="str">
        <f aca="false">IF('Bulk Order Details'!I237="","",_xlfn.xlookup('Bulk Order Details'!I237,Sleeve[Display],Sleeve[Price]))</f>
        <v/>
      </c>
      <c r="J227" s="212" t="str">
        <f aca="false">IF('Bulk Order Details'!J237="","",_xlfn.xlookup('Bulk Order Details'!J237,Collar[Display],Collar[Price]))</f>
        <v/>
      </c>
      <c r="K227" s="212" t="str">
        <f aca="false">IF('Bulk Order Details'!K237="","",_xlfn.xlookup("Name",Name[Name],Name[Price]))</f>
        <v/>
      </c>
      <c r="L227" s="213" t="str">
        <f aca="false">IFERROR(IF('Bulk Order Details'!O237="","",IF(_xlfn.xlookup('Bulk Order Details'!O237,Logos[Display],Logos[Use])="Flat",_xlfn.xlookup('Bulk Order Details'!O237,Logos[Display],Logos[Flat]),ROUND(_xlfn.xlookup('Bulk Order Details'!O237,Logos[Display],Logos[Pct])*$E227,2))),"")</f>
        <v/>
      </c>
      <c r="M227" s="222" t="str">
        <f aca="false">IFERROR(IF('Bulk Order Details'!P237="","",IF(_xlfn.xlookup('Bulk Order Details'!P237,Chest[Display],Chest[Use])="Flat",_xlfn.xlookup('Bulk Order Details'!P237,Chest[Display],Chest[Flat]),ROUND(_xlfn.xlookup('Bulk Order Details'!P237,Chest[Display],Chest[Pct])*$E227,2))),"")</f>
        <v/>
      </c>
      <c r="N227" s="222" t="str">
        <f aca="false">IFERROR(IF('Bulk Order Details'!Q237="","",IF(_xlfn.xlookup('Bulk Order Details'!Q237,Chest[Display],Chest[Use])="Flat",_xlfn.xlookup('Bulk Order Details'!Q237,Chest[Display],Chest[Flat]),ROUND(_xlfn.xlookup('Bulk Order Details'!Q237,Chest[Display],Chest[Pct])*$E227,2))),"")</f>
        <v/>
      </c>
      <c r="O227" s="222" t="str">
        <f aca="false">IFERROR(IF('Bulk Order Details'!R237="","",IF(_xlfn.xlookup('Bulk Order Details'!R237,LeftSleeve[Display],LeftSleeve[Use])="Flat",_xlfn.xlookup('Bulk Order Details'!R237,LeftSleeve[Display],LeftSleeve[Flat]),ROUND(_xlfn.xlookup('Bulk Order Details'!R237,LeftSleeve[Display],LeftSleeve[Pct])*$E227,2))),"")</f>
        <v/>
      </c>
      <c r="P227" s="222" t="str">
        <f aca="false">IFERROR(IF('Bulk Order Details'!S237="","",IF(_xlfn.xlookup('Bulk Order Details'!S237,RightSleeve[Display],RightSleeve[Use])="Flat",_xlfn.xlookup('Bulk Order Details'!S237,RightSleeve[Display],RightSleeve[Flat]),ROUND(_xlfn.xlookup('Bulk Order Details'!S237,RightSleeve[Display],RightSleeve[Pct])*$E227,2))),"")</f>
        <v/>
      </c>
      <c r="Q227" s="214" t="str">
        <f aca="false">IF('Bulk Order Details'!J237="","",SUM(F227:P227))</f>
        <v/>
      </c>
      <c r="R227" s="213" t="str">
        <f aca="false">IFERROR(E227-D227,"")</f>
        <v/>
      </c>
      <c r="S227" s="215" t="str">
        <f aca="false">IFERROR(MIN(IF(Summary!$D$11="Yes",-J227,0),IF(H227&gt;0,-J227,0)),"")</f>
        <v/>
      </c>
      <c r="T227" s="212" t="str">
        <f aca="false">IFERROR(IF(Summary!$D$10="Yes",-K227,""),"")</f>
        <v/>
      </c>
      <c r="U227" s="213" t="str">
        <f aca="false">IFERROR(IF(Summary!$D$12="Yes",-L227,""),"")</f>
        <v/>
      </c>
      <c r="V227" s="216" t="str">
        <f aca="false">IF('Bulk Order Details'!J237="","",SUM(R227:U227))</f>
        <v/>
      </c>
      <c r="W227" s="217" t="str">
        <f aca="false">IF('Bulk Order Details'!J237="","",D227+Q227)</f>
        <v/>
      </c>
      <c r="X227" s="218" t="str">
        <f aca="false">IF('Bulk Order Details'!J237="","",D227+Q227+V227)</f>
        <v/>
      </c>
      <c r="Y227" s="219" t="str">
        <f aca="false">IFERROR((W227-X227)/W227,"")</f>
        <v/>
      </c>
      <c r="Z227" s="220" t="str">
        <f aca="false">IF('Bulk Order Details'!J237="","",MAX(1,'Bulk Order Details'!D237))</f>
        <v/>
      </c>
      <c r="AA227" s="217" t="str">
        <f aca="false">IF(Pricing_Details[[#This Row],[Quantity]]="","",Pricing_Details[[#This Row],[Retail Price]]*Pricing_Details[[#This Row],[Quantity]])</f>
        <v/>
      </c>
      <c r="AB227" s="217" t="str">
        <f aca="false">IF(Pricing_Details[[#This Row],[Quantity]]="","",Pricing_Details[[#This Row],[Total Discount]]*Pricing_Details[[#This Row],[Quantity]])</f>
        <v/>
      </c>
      <c r="AC227" s="221" t="str">
        <f aca="false">IFERROR(ROUND(Pricing_Details[[#This Row],[Actual Price]]*Pricing_Details[[#This Row],[Quantity]],2),"")</f>
        <v/>
      </c>
      <c r="AE227" s="179" t="str">
        <f aca="false">IF('Bulk Order Details'!J237="","",VLOOKUP('Bulk Order Details'!H237,Collection[],3)&amp;VLOOKUP('Bulk Order Details'!J237,Collar[],4)&amp;VLOOKUP('Bulk Order Details'!I237,Sleeve[],4))</f>
        <v/>
      </c>
      <c r="AF227" s="179" t="str">
        <f aca="false">IF('Bulk Order Details'!J237="","",LOOKUP('Bulk Order Details'!E237,Cut[Display],Cut[Code])&amp;LOOKUP('Bulk Order Details'!F237,#REF!,#REF!)&amp;IF('Bulk Order Details'!G237="","",LOOKUP('Bulk Order Details'!G237,Length[Display],Length[Code])))</f>
        <v/>
      </c>
      <c r="AG227" s="179" t="str">
        <f aca="false">IF('Bulk Order Details'!J237="","",IF('Bulk Order Details'!C237="","",'Bulk Order Details'!C237))</f>
        <v/>
      </c>
      <c r="AH227" s="179" t="str">
        <f aca="false">IF('Bulk Order Details'!O237="","","-"&amp;LOOKUP('Bulk Order Details'!O237,#REF!,#REF!))</f>
        <v/>
      </c>
      <c r="AI227" s="179" t="str">
        <f aca="false">IF('Bulk Order Details'!P237="","","-"&amp;LOOKUP('Bulk Order Details'!P237,#REF!,#REF!))</f>
        <v/>
      </c>
      <c r="AJ227" s="179" t="str">
        <f aca="false">IF('Bulk Order Details'!Q237="","","-"&amp;LOOKUP('Bulk Order Details'!Q237,#REF!,#REF!))</f>
        <v/>
      </c>
      <c r="AK227" s="179" t="str">
        <f aca="false">IF('Bulk Order Details'!R237="","","-"&amp;LOOKUP('Bulk Order Details'!R237,#REF!,#REF!))</f>
        <v/>
      </c>
      <c r="AL227" s="179" t="str">
        <f aca="false">IF('Bulk Order Details'!S237="","","-"&amp;LOOKUP('Bulk Order Details'!S237,#REF!,#REF!))</f>
        <v/>
      </c>
      <c r="AM227" s="179" t="str">
        <f aca="false">IF(_xlfn.CONCAT(AH227:AL227)="","","Lo"&amp;_xlfn.CONCAT(AH227:AL227))</f>
        <v/>
      </c>
      <c r="AN227" s="179" t="str">
        <f aca="false">IF('Bulk Order Details'!K237="","","Na-"&amp;'Bulk Order Details'!K237)</f>
        <v/>
      </c>
      <c r="AO227" s="179" t="str">
        <f aca="false">IF('Bulk Order Details'!N237="","","Fo-"&amp;'Bulk Order Details'!N237)</f>
        <v/>
      </c>
      <c r="AP227" s="179" t="str">
        <f aca="false">IF(AE227="","",AE227&amp;"_"&amp;AF227&amp;"_"&amp;AG227&amp;IF(AM227="","","_"&amp;AM227)&amp;IF(AN227="","","_"&amp;AN227)&amp;IF(AO227="","","_"&amp;AO227))</f>
        <v/>
      </c>
      <c r="AQ227" s="218" t="str">
        <f aca="false">IF(X227="","",X227)</f>
        <v/>
      </c>
    </row>
    <row r="228" customFormat="false" ht="15" hidden="false" customHeight="true" outlineLevel="0" collapsed="false">
      <c r="B228" s="209" t="n">
        <f aca="false">'Bulk Order Details'!B238</f>
        <v>225</v>
      </c>
      <c r="C228" s="209" t="e">
        <f aca="false">IF('bulk order details'!#ref!="","",'bulk order details'!#ref!&amp;" "&amp;'bulk order details'!#ref!)</f>
        <v>#VALUE!</v>
      </c>
      <c r="D228" s="210" t="str">
        <f aca="false">IF('Bulk Order Details'!J238="","",VLOOKUP(1,Price[],3))</f>
        <v/>
      </c>
      <c r="E228" s="211" t="str">
        <f aca="false">IF('Bulk Order Details'!J238="","",Summary!$D$9)</f>
        <v/>
      </c>
      <c r="F228" s="212" t="str">
        <f aca="false">IF('Bulk Order Details'!F238="","",_xlfn.xlookup('Bulk Order Details'!F238,Size[Display],Size[Price]))</f>
        <v/>
      </c>
      <c r="G228" s="212" t="str">
        <f aca="false">IF('Bulk Order Details'!G238="","",_xlfn.xlookup('Bulk Order Details'!G238,Length[Display],Length[Price]))</f>
        <v/>
      </c>
      <c r="H228" s="212" t="str">
        <f aca="false">IF('Bulk Order Details'!H238="","",_xlfn.xlookup('Bulk Order Details'!H238,Collection[Display],Collection[Price]))</f>
        <v/>
      </c>
      <c r="I228" s="212" t="str">
        <f aca="false">IF('Bulk Order Details'!I238="","",_xlfn.xlookup('Bulk Order Details'!I238,Sleeve[Display],Sleeve[Price]))</f>
        <v/>
      </c>
      <c r="J228" s="212" t="str">
        <f aca="false">IF('Bulk Order Details'!J238="","",_xlfn.xlookup('Bulk Order Details'!J238,Collar[Display],Collar[Price]))</f>
        <v/>
      </c>
      <c r="K228" s="212" t="str">
        <f aca="false">IF('Bulk Order Details'!K238="","",_xlfn.xlookup("Name",Name[Name],Name[Price]))</f>
        <v/>
      </c>
      <c r="L228" s="213" t="str">
        <f aca="false">IFERROR(IF('Bulk Order Details'!O238="","",IF(_xlfn.xlookup('Bulk Order Details'!O238,Logos[Display],Logos[Use])="Flat",_xlfn.xlookup('Bulk Order Details'!O238,Logos[Display],Logos[Flat]),ROUND(_xlfn.xlookup('Bulk Order Details'!O238,Logos[Display],Logos[Pct])*$E228,2))),"")</f>
        <v/>
      </c>
      <c r="M228" s="222" t="str">
        <f aca="false">IFERROR(IF('Bulk Order Details'!P238="","",IF(_xlfn.xlookup('Bulk Order Details'!P238,Chest[Display],Chest[Use])="Flat",_xlfn.xlookup('Bulk Order Details'!P238,Chest[Display],Chest[Flat]),ROUND(_xlfn.xlookup('Bulk Order Details'!P238,Chest[Display],Chest[Pct])*$E228,2))),"")</f>
        <v/>
      </c>
      <c r="N228" s="222" t="str">
        <f aca="false">IFERROR(IF('Bulk Order Details'!Q238="","",IF(_xlfn.xlookup('Bulk Order Details'!Q238,Chest[Display],Chest[Use])="Flat",_xlfn.xlookup('Bulk Order Details'!Q238,Chest[Display],Chest[Flat]),ROUND(_xlfn.xlookup('Bulk Order Details'!Q238,Chest[Display],Chest[Pct])*$E228,2))),"")</f>
        <v/>
      </c>
      <c r="O228" s="222" t="str">
        <f aca="false">IFERROR(IF('Bulk Order Details'!R238="","",IF(_xlfn.xlookup('Bulk Order Details'!R238,LeftSleeve[Display],LeftSleeve[Use])="Flat",_xlfn.xlookup('Bulk Order Details'!R238,LeftSleeve[Display],LeftSleeve[Flat]),ROUND(_xlfn.xlookup('Bulk Order Details'!R238,LeftSleeve[Display],LeftSleeve[Pct])*$E228,2))),"")</f>
        <v/>
      </c>
      <c r="P228" s="222" t="str">
        <f aca="false">IFERROR(IF('Bulk Order Details'!S238="","",IF(_xlfn.xlookup('Bulk Order Details'!S238,RightSleeve[Display],RightSleeve[Use])="Flat",_xlfn.xlookup('Bulk Order Details'!S238,RightSleeve[Display],RightSleeve[Flat]),ROUND(_xlfn.xlookup('Bulk Order Details'!S238,RightSleeve[Display],RightSleeve[Pct])*$E228,2))),"")</f>
        <v/>
      </c>
      <c r="Q228" s="214" t="str">
        <f aca="false">IF('Bulk Order Details'!J238="","",SUM(F228:P228))</f>
        <v/>
      </c>
      <c r="R228" s="213" t="str">
        <f aca="false">IFERROR(E228-D228,"")</f>
        <v/>
      </c>
      <c r="S228" s="215" t="str">
        <f aca="false">IFERROR(MIN(IF(Summary!$D$11="Yes",-J228,0),IF(H228&gt;0,-J228,0)),"")</f>
        <v/>
      </c>
      <c r="T228" s="212" t="str">
        <f aca="false">IFERROR(IF(Summary!$D$10="Yes",-K228,""),"")</f>
        <v/>
      </c>
      <c r="U228" s="213" t="str">
        <f aca="false">IFERROR(IF(Summary!$D$12="Yes",-L228,""),"")</f>
        <v/>
      </c>
      <c r="V228" s="216" t="str">
        <f aca="false">IF('Bulk Order Details'!J238="","",SUM(R228:U228))</f>
        <v/>
      </c>
      <c r="W228" s="217" t="str">
        <f aca="false">IF('Bulk Order Details'!J238="","",D228+Q228)</f>
        <v/>
      </c>
      <c r="X228" s="218" t="str">
        <f aca="false">IF('Bulk Order Details'!J238="","",D228+Q228+V228)</f>
        <v/>
      </c>
      <c r="Y228" s="219" t="str">
        <f aca="false">IFERROR((W228-X228)/W228,"")</f>
        <v/>
      </c>
      <c r="Z228" s="220" t="str">
        <f aca="false">IF('Bulk Order Details'!J238="","",MAX(1,'Bulk Order Details'!D238))</f>
        <v/>
      </c>
      <c r="AA228" s="217" t="str">
        <f aca="false">IF(Pricing_Details[[#This Row],[Quantity]]="","",Pricing_Details[[#This Row],[Retail Price]]*Pricing_Details[[#This Row],[Quantity]])</f>
        <v/>
      </c>
      <c r="AB228" s="217" t="str">
        <f aca="false">IF(Pricing_Details[[#This Row],[Quantity]]="","",Pricing_Details[[#This Row],[Total Discount]]*Pricing_Details[[#This Row],[Quantity]])</f>
        <v/>
      </c>
      <c r="AC228" s="221" t="str">
        <f aca="false">IFERROR(ROUND(Pricing_Details[[#This Row],[Actual Price]]*Pricing_Details[[#This Row],[Quantity]],2),"")</f>
        <v/>
      </c>
      <c r="AE228" s="179" t="str">
        <f aca="false">IF('Bulk Order Details'!J238="","",VLOOKUP('Bulk Order Details'!H238,Collection[],3)&amp;VLOOKUP('Bulk Order Details'!J238,Collar[],4)&amp;VLOOKUP('Bulk Order Details'!I238,Sleeve[],4))</f>
        <v/>
      </c>
      <c r="AF228" s="179" t="str">
        <f aca="false">IF('Bulk Order Details'!J238="","",LOOKUP('Bulk Order Details'!E238,Cut[Display],Cut[Code])&amp;LOOKUP('Bulk Order Details'!F238,#REF!,#REF!)&amp;IF('Bulk Order Details'!G238="","",LOOKUP('Bulk Order Details'!G238,Length[Display],Length[Code])))</f>
        <v/>
      </c>
      <c r="AG228" s="179" t="str">
        <f aca="false">IF('Bulk Order Details'!J238="","",IF('Bulk Order Details'!C238="","",'Bulk Order Details'!C238))</f>
        <v/>
      </c>
      <c r="AH228" s="179" t="str">
        <f aca="false">IF('Bulk Order Details'!O238="","","-"&amp;LOOKUP('Bulk Order Details'!O238,#REF!,#REF!))</f>
        <v/>
      </c>
      <c r="AI228" s="179" t="str">
        <f aca="false">IF('Bulk Order Details'!P238="","","-"&amp;LOOKUP('Bulk Order Details'!P238,#REF!,#REF!))</f>
        <v/>
      </c>
      <c r="AJ228" s="179" t="str">
        <f aca="false">IF('Bulk Order Details'!Q238="","","-"&amp;LOOKUP('Bulk Order Details'!Q238,#REF!,#REF!))</f>
        <v/>
      </c>
      <c r="AK228" s="179" t="str">
        <f aca="false">IF('Bulk Order Details'!R238="","","-"&amp;LOOKUP('Bulk Order Details'!R238,#REF!,#REF!))</f>
        <v/>
      </c>
      <c r="AL228" s="179" t="str">
        <f aca="false">IF('Bulk Order Details'!S238="","","-"&amp;LOOKUP('Bulk Order Details'!S238,#REF!,#REF!))</f>
        <v/>
      </c>
      <c r="AM228" s="179" t="str">
        <f aca="false">IF(_xlfn.CONCAT(AH228:AL228)="","","Lo"&amp;_xlfn.CONCAT(AH228:AL228))</f>
        <v/>
      </c>
      <c r="AN228" s="179" t="str">
        <f aca="false">IF('Bulk Order Details'!K238="","","Na-"&amp;'Bulk Order Details'!K238)</f>
        <v/>
      </c>
      <c r="AO228" s="179" t="str">
        <f aca="false">IF('Bulk Order Details'!N238="","","Fo-"&amp;'Bulk Order Details'!N238)</f>
        <v/>
      </c>
      <c r="AP228" s="179" t="str">
        <f aca="false">IF(AE228="","",AE228&amp;"_"&amp;AF228&amp;"_"&amp;AG228&amp;IF(AM228="","","_"&amp;AM228)&amp;IF(AN228="","","_"&amp;AN228)&amp;IF(AO228="","","_"&amp;AO228))</f>
        <v/>
      </c>
      <c r="AQ228" s="218" t="str">
        <f aca="false">IF(X228="","",X228)</f>
        <v/>
      </c>
    </row>
    <row r="229" customFormat="false" ht="15" hidden="false" customHeight="true" outlineLevel="0" collapsed="false">
      <c r="B229" s="209" t="n">
        <f aca="false">'Bulk Order Details'!B239</f>
        <v>226</v>
      </c>
      <c r="C229" s="209" t="e">
        <f aca="false">IF('bulk order details'!#ref!="","",'bulk order details'!#ref!&amp;" "&amp;'bulk order details'!#ref!)</f>
        <v>#VALUE!</v>
      </c>
      <c r="D229" s="210" t="str">
        <f aca="false">IF('Bulk Order Details'!J239="","",VLOOKUP(1,Price[],3))</f>
        <v/>
      </c>
      <c r="E229" s="211" t="str">
        <f aca="false">IF('Bulk Order Details'!J239="","",Summary!$D$9)</f>
        <v/>
      </c>
      <c r="F229" s="212" t="str">
        <f aca="false">IF('Bulk Order Details'!F239="","",_xlfn.xlookup('Bulk Order Details'!F239,Size[Display],Size[Price]))</f>
        <v/>
      </c>
      <c r="G229" s="212" t="str">
        <f aca="false">IF('Bulk Order Details'!G239="","",_xlfn.xlookup('Bulk Order Details'!G239,Length[Display],Length[Price]))</f>
        <v/>
      </c>
      <c r="H229" s="212" t="str">
        <f aca="false">IF('Bulk Order Details'!H239="","",_xlfn.xlookup('Bulk Order Details'!H239,Collection[Display],Collection[Price]))</f>
        <v/>
      </c>
      <c r="I229" s="212" t="str">
        <f aca="false">IF('Bulk Order Details'!I239="","",_xlfn.xlookup('Bulk Order Details'!I239,Sleeve[Display],Sleeve[Price]))</f>
        <v/>
      </c>
      <c r="J229" s="212" t="str">
        <f aca="false">IF('Bulk Order Details'!J239="","",_xlfn.xlookup('Bulk Order Details'!J239,Collar[Display],Collar[Price]))</f>
        <v/>
      </c>
      <c r="K229" s="212" t="str">
        <f aca="false">IF('Bulk Order Details'!K239="","",_xlfn.xlookup("Name",Name[Name],Name[Price]))</f>
        <v/>
      </c>
      <c r="L229" s="213" t="str">
        <f aca="false">IFERROR(IF('Bulk Order Details'!O239="","",IF(_xlfn.xlookup('Bulk Order Details'!O239,Logos[Display],Logos[Use])="Flat",_xlfn.xlookup('Bulk Order Details'!O239,Logos[Display],Logos[Flat]),ROUND(_xlfn.xlookup('Bulk Order Details'!O239,Logos[Display],Logos[Pct])*$E229,2))),"")</f>
        <v/>
      </c>
      <c r="M229" s="222" t="str">
        <f aca="false">IFERROR(IF('Bulk Order Details'!P239="","",IF(_xlfn.xlookup('Bulk Order Details'!P239,Chest[Display],Chest[Use])="Flat",_xlfn.xlookup('Bulk Order Details'!P239,Chest[Display],Chest[Flat]),ROUND(_xlfn.xlookup('Bulk Order Details'!P239,Chest[Display],Chest[Pct])*$E229,2))),"")</f>
        <v/>
      </c>
      <c r="N229" s="222" t="str">
        <f aca="false">IFERROR(IF('Bulk Order Details'!Q239="","",IF(_xlfn.xlookup('Bulk Order Details'!Q239,Chest[Display],Chest[Use])="Flat",_xlfn.xlookup('Bulk Order Details'!Q239,Chest[Display],Chest[Flat]),ROUND(_xlfn.xlookup('Bulk Order Details'!Q239,Chest[Display],Chest[Pct])*$E229,2))),"")</f>
        <v/>
      </c>
      <c r="O229" s="222" t="str">
        <f aca="false">IFERROR(IF('Bulk Order Details'!R239="","",IF(_xlfn.xlookup('Bulk Order Details'!R239,LeftSleeve[Display],LeftSleeve[Use])="Flat",_xlfn.xlookup('Bulk Order Details'!R239,LeftSleeve[Display],LeftSleeve[Flat]),ROUND(_xlfn.xlookup('Bulk Order Details'!R239,LeftSleeve[Display],LeftSleeve[Pct])*$E229,2))),"")</f>
        <v/>
      </c>
      <c r="P229" s="222" t="str">
        <f aca="false">IFERROR(IF('Bulk Order Details'!S239="","",IF(_xlfn.xlookup('Bulk Order Details'!S239,RightSleeve[Display],RightSleeve[Use])="Flat",_xlfn.xlookup('Bulk Order Details'!S239,RightSleeve[Display],RightSleeve[Flat]),ROUND(_xlfn.xlookup('Bulk Order Details'!S239,RightSleeve[Display],RightSleeve[Pct])*$E229,2))),"")</f>
        <v/>
      </c>
      <c r="Q229" s="214" t="str">
        <f aca="false">IF('Bulk Order Details'!J239="","",SUM(F229:P229))</f>
        <v/>
      </c>
      <c r="R229" s="213" t="str">
        <f aca="false">IFERROR(E229-D229,"")</f>
        <v/>
      </c>
      <c r="S229" s="215" t="str">
        <f aca="false">IFERROR(MIN(IF(Summary!$D$11="Yes",-J229,0),IF(H229&gt;0,-J229,0)),"")</f>
        <v/>
      </c>
      <c r="T229" s="212" t="str">
        <f aca="false">IFERROR(IF(Summary!$D$10="Yes",-K229,""),"")</f>
        <v/>
      </c>
      <c r="U229" s="213" t="str">
        <f aca="false">IFERROR(IF(Summary!$D$12="Yes",-L229,""),"")</f>
        <v/>
      </c>
      <c r="V229" s="216" t="str">
        <f aca="false">IF('Bulk Order Details'!J239="","",SUM(R229:U229))</f>
        <v/>
      </c>
      <c r="W229" s="217" t="str">
        <f aca="false">IF('Bulk Order Details'!J239="","",D229+Q229)</f>
        <v/>
      </c>
      <c r="X229" s="218" t="str">
        <f aca="false">IF('Bulk Order Details'!J239="","",D229+Q229+V229)</f>
        <v/>
      </c>
      <c r="Y229" s="219" t="str">
        <f aca="false">IFERROR((W229-X229)/W229,"")</f>
        <v/>
      </c>
      <c r="Z229" s="220" t="str">
        <f aca="false">IF('Bulk Order Details'!J239="","",MAX(1,'Bulk Order Details'!D239))</f>
        <v/>
      </c>
      <c r="AA229" s="217" t="str">
        <f aca="false">IF(Pricing_Details[[#This Row],[Quantity]]="","",Pricing_Details[[#This Row],[Retail Price]]*Pricing_Details[[#This Row],[Quantity]])</f>
        <v/>
      </c>
      <c r="AB229" s="217" t="str">
        <f aca="false">IF(Pricing_Details[[#This Row],[Quantity]]="","",Pricing_Details[[#This Row],[Total Discount]]*Pricing_Details[[#This Row],[Quantity]])</f>
        <v/>
      </c>
      <c r="AC229" s="221" t="str">
        <f aca="false">IFERROR(ROUND(Pricing_Details[[#This Row],[Actual Price]]*Pricing_Details[[#This Row],[Quantity]],2),"")</f>
        <v/>
      </c>
      <c r="AE229" s="179" t="str">
        <f aca="false">IF('Bulk Order Details'!J239="","",VLOOKUP('Bulk Order Details'!H239,Collection[],3)&amp;VLOOKUP('Bulk Order Details'!J239,Collar[],4)&amp;VLOOKUP('Bulk Order Details'!I239,Sleeve[],4))</f>
        <v/>
      </c>
      <c r="AF229" s="179" t="str">
        <f aca="false">IF('Bulk Order Details'!J239="","",LOOKUP('Bulk Order Details'!E239,Cut[Display],Cut[Code])&amp;LOOKUP('Bulk Order Details'!F239,#REF!,#REF!)&amp;IF('Bulk Order Details'!G239="","",LOOKUP('Bulk Order Details'!G239,Length[Display],Length[Code])))</f>
        <v/>
      </c>
      <c r="AG229" s="179" t="str">
        <f aca="false">IF('Bulk Order Details'!J239="","",IF('Bulk Order Details'!C239="","",'Bulk Order Details'!C239))</f>
        <v/>
      </c>
      <c r="AH229" s="179" t="str">
        <f aca="false">IF('Bulk Order Details'!O239="","","-"&amp;LOOKUP('Bulk Order Details'!O239,#REF!,#REF!))</f>
        <v/>
      </c>
      <c r="AI229" s="179" t="str">
        <f aca="false">IF('Bulk Order Details'!P239="","","-"&amp;LOOKUP('Bulk Order Details'!P239,#REF!,#REF!))</f>
        <v/>
      </c>
      <c r="AJ229" s="179" t="str">
        <f aca="false">IF('Bulk Order Details'!Q239="","","-"&amp;LOOKUP('Bulk Order Details'!Q239,#REF!,#REF!))</f>
        <v/>
      </c>
      <c r="AK229" s="179" t="str">
        <f aca="false">IF('Bulk Order Details'!R239="","","-"&amp;LOOKUP('Bulk Order Details'!R239,#REF!,#REF!))</f>
        <v/>
      </c>
      <c r="AL229" s="179" t="str">
        <f aca="false">IF('Bulk Order Details'!S239="","","-"&amp;LOOKUP('Bulk Order Details'!S239,#REF!,#REF!))</f>
        <v/>
      </c>
      <c r="AM229" s="179" t="str">
        <f aca="false">IF(_xlfn.CONCAT(AH229:AL229)="","","Lo"&amp;_xlfn.CONCAT(AH229:AL229))</f>
        <v/>
      </c>
      <c r="AN229" s="179" t="str">
        <f aca="false">IF('Bulk Order Details'!K239="","","Na-"&amp;'Bulk Order Details'!K239)</f>
        <v/>
      </c>
      <c r="AO229" s="179" t="str">
        <f aca="false">IF('Bulk Order Details'!N239="","","Fo-"&amp;'Bulk Order Details'!N239)</f>
        <v/>
      </c>
      <c r="AP229" s="179" t="str">
        <f aca="false">IF(AE229="","",AE229&amp;"_"&amp;AF229&amp;"_"&amp;AG229&amp;IF(AM229="","","_"&amp;AM229)&amp;IF(AN229="","","_"&amp;AN229)&amp;IF(AO229="","","_"&amp;AO229))</f>
        <v/>
      </c>
      <c r="AQ229" s="218" t="str">
        <f aca="false">IF(X229="","",X229)</f>
        <v/>
      </c>
    </row>
    <row r="230" customFormat="false" ht="15" hidden="false" customHeight="true" outlineLevel="0" collapsed="false">
      <c r="B230" s="209" t="n">
        <f aca="false">'Bulk Order Details'!B240</f>
        <v>227</v>
      </c>
      <c r="C230" s="209" t="e">
        <f aca="false">IF('bulk order details'!#ref!="","",'bulk order details'!#ref!&amp;" "&amp;'bulk order details'!#ref!)</f>
        <v>#VALUE!</v>
      </c>
      <c r="D230" s="210" t="str">
        <f aca="false">IF('Bulk Order Details'!J240="","",VLOOKUP(1,Price[],3))</f>
        <v/>
      </c>
      <c r="E230" s="211" t="str">
        <f aca="false">IF('Bulk Order Details'!J240="","",Summary!$D$9)</f>
        <v/>
      </c>
      <c r="F230" s="212" t="str">
        <f aca="false">IF('Bulk Order Details'!F240="","",_xlfn.xlookup('Bulk Order Details'!F240,Size[Display],Size[Price]))</f>
        <v/>
      </c>
      <c r="G230" s="212" t="str">
        <f aca="false">IF('Bulk Order Details'!G240="","",_xlfn.xlookup('Bulk Order Details'!G240,Length[Display],Length[Price]))</f>
        <v/>
      </c>
      <c r="H230" s="212" t="str">
        <f aca="false">IF('Bulk Order Details'!H240="","",_xlfn.xlookup('Bulk Order Details'!H240,Collection[Display],Collection[Price]))</f>
        <v/>
      </c>
      <c r="I230" s="212" t="str">
        <f aca="false">IF('Bulk Order Details'!I240="","",_xlfn.xlookup('Bulk Order Details'!I240,Sleeve[Display],Sleeve[Price]))</f>
        <v/>
      </c>
      <c r="J230" s="212" t="str">
        <f aca="false">IF('Bulk Order Details'!J240="","",_xlfn.xlookup('Bulk Order Details'!J240,Collar[Display],Collar[Price]))</f>
        <v/>
      </c>
      <c r="K230" s="212" t="str">
        <f aca="false">IF('Bulk Order Details'!K240="","",_xlfn.xlookup("Name",Name[Name],Name[Price]))</f>
        <v/>
      </c>
      <c r="L230" s="213" t="str">
        <f aca="false">IFERROR(IF('Bulk Order Details'!O240="","",IF(_xlfn.xlookup('Bulk Order Details'!O240,Logos[Display],Logos[Use])="Flat",_xlfn.xlookup('Bulk Order Details'!O240,Logos[Display],Logos[Flat]),ROUND(_xlfn.xlookup('Bulk Order Details'!O240,Logos[Display],Logos[Pct])*$E230,2))),"")</f>
        <v/>
      </c>
      <c r="M230" s="222" t="str">
        <f aca="false">IFERROR(IF('Bulk Order Details'!P240="","",IF(_xlfn.xlookup('Bulk Order Details'!P240,Chest[Display],Chest[Use])="Flat",_xlfn.xlookup('Bulk Order Details'!P240,Chest[Display],Chest[Flat]),ROUND(_xlfn.xlookup('Bulk Order Details'!P240,Chest[Display],Chest[Pct])*$E230,2))),"")</f>
        <v/>
      </c>
      <c r="N230" s="222" t="str">
        <f aca="false">IFERROR(IF('Bulk Order Details'!Q240="","",IF(_xlfn.xlookup('Bulk Order Details'!Q240,Chest[Display],Chest[Use])="Flat",_xlfn.xlookup('Bulk Order Details'!Q240,Chest[Display],Chest[Flat]),ROUND(_xlfn.xlookup('Bulk Order Details'!Q240,Chest[Display],Chest[Pct])*$E230,2))),"")</f>
        <v/>
      </c>
      <c r="O230" s="222" t="str">
        <f aca="false">IFERROR(IF('Bulk Order Details'!R240="","",IF(_xlfn.xlookup('Bulk Order Details'!R240,LeftSleeve[Display],LeftSleeve[Use])="Flat",_xlfn.xlookup('Bulk Order Details'!R240,LeftSleeve[Display],LeftSleeve[Flat]),ROUND(_xlfn.xlookup('Bulk Order Details'!R240,LeftSleeve[Display],LeftSleeve[Pct])*$E230,2))),"")</f>
        <v/>
      </c>
      <c r="P230" s="222" t="str">
        <f aca="false">IFERROR(IF('Bulk Order Details'!S240="","",IF(_xlfn.xlookup('Bulk Order Details'!S240,RightSleeve[Display],RightSleeve[Use])="Flat",_xlfn.xlookup('Bulk Order Details'!S240,RightSleeve[Display],RightSleeve[Flat]),ROUND(_xlfn.xlookup('Bulk Order Details'!S240,RightSleeve[Display],RightSleeve[Pct])*$E230,2))),"")</f>
        <v/>
      </c>
      <c r="Q230" s="214" t="str">
        <f aca="false">IF('Bulk Order Details'!J240="","",SUM(F230:P230))</f>
        <v/>
      </c>
      <c r="R230" s="213" t="str">
        <f aca="false">IFERROR(E230-D230,"")</f>
        <v/>
      </c>
      <c r="S230" s="215" t="str">
        <f aca="false">IFERROR(MIN(IF(Summary!$D$11="Yes",-J230,0),IF(H230&gt;0,-J230,0)),"")</f>
        <v/>
      </c>
      <c r="T230" s="212" t="str">
        <f aca="false">IFERROR(IF(Summary!$D$10="Yes",-K230,""),"")</f>
        <v/>
      </c>
      <c r="U230" s="213" t="str">
        <f aca="false">IFERROR(IF(Summary!$D$12="Yes",-L230,""),"")</f>
        <v/>
      </c>
      <c r="V230" s="216" t="str">
        <f aca="false">IF('Bulk Order Details'!J240="","",SUM(R230:U230))</f>
        <v/>
      </c>
      <c r="W230" s="217" t="str">
        <f aca="false">IF('Bulk Order Details'!J240="","",D230+Q230)</f>
        <v/>
      </c>
      <c r="X230" s="218" t="str">
        <f aca="false">IF('Bulk Order Details'!J240="","",D230+Q230+V230)</f>
        <v/>
      </c>
      <c r="Y230" s="219" t="str">
        <f aca="false">IFERROR((W230-X230)/W230,"")</f>
        <v/>
      </c>
      <c r="Z230" s="220" t="str">
        <f aca="false">IF('Bulk Order Details'!J240="","",MAX(1,'Bulk Order Details'!D240))</f>
        <v/>
      </c>
      <c r="AA230" s="217" t="str">
        <f aca="false">IF(Pricing_Details[[#This Row],[Quantity]]="","",Pricing_Details[[#This Row],[Retail Price]]*Pricing_Details[[#This Row],[Quantity]])</f>
        <v/>
      </c>
      <c r="AB230" s="217" t="str">
        <f aca="false">IF(Pricing_Details[[#This Row],[Quantity]]="","",Pricing_Details[[#This Row],[Total Discount]]*Pricing_Details[[#This Row],[Quantity]])</f>
        <v/>
      </c>
      <c r="AC230" s="221" t="str">
        <f aca="false">IFERROR(ROUND(Pricing_Details[[#This Row],[Actual Price]]*Pricing_Details[[#This Row],[Quantity]],2),"")</f>
        <v/>
      </c>
      <c r="AE230" s="179" t="str">
        <f aca="false">IF('Bulk Order Details'!J240="","",VLOOKUP('Bulk Order Details'!H240,Collection[],3)&amp;VLOOKUP('Bulk Order Details'!J240,Collar[],4)&amp;VLOOKUP('Bulk Order Details'!I240,Sleeve[],4))</f>
        <v/>
      </c>
      <c r="AF230" s="179" t="str">
        <f aca="false">IF('Bulk Order Details'!J240="","",LOOKUP('Bulk Order Details'!E240,Cut[Display],Cut[Code])&amp;LOOKUP('Bulk Order Details'!F240,#REF!,#REF!)&amp;IF('Bulk Order Details'!G240="","",LOOKUP('Bulk Order Details'!G240,Length[Display],Length[Code])))</f>
        <v/>
      </c>
      <c r="AG230" s="179" t="str">
        <f aca="false">IF('Bulk Order Details'!J240="","",IF('Bulk Order Details'!C240="","",'Bulk Order Details'!C240))</f>
        <v/>
      </c>
      <c r="AH230" s="179" t="str">
        <f aca="false">IF('Bulk Order Details'!O240="","","-"&amp;LOOKUP('Bulk Order Details'!O240,#REF!,#REF!))</f>
        <v/>
      </c>
      <c r="AI230" s="179" t="str">
        <f aca="false">IF('Bulk Order Details'!P240="","","-"&amp;LOOKUP('Bulk Order Details'!P240,#REF!,#REF!))</f>
        <v/>
      </c>
      <c r="AJ230" s="179" t="str">
        <f aca="false">IF('Bulk Order Details'!Q240="","","-"&amp;LOOKUP('Bulk Order Details'!Q240,#REF!,#REF!))</f>
        <v/>
      </c>
      <c r="AK230" s="179" t="str">
        <f aca="false">IF('Bulk Order Details'!R240="","","-"&amp;LOOKUP('Bulk Order Details'!R240,#REF!,#REF!))</f>
        <v/>
      </c>
      <c r="AL230" s="179" t="str">
        <f aca="false">IF('Bulk Order Details'!S240="","","-"&amp;LOOKUP('Bulk Order Details'!S240,#REF!,#REF!))</f>
        <v/>
      </c>
      <c r="AM230" s="179" t="str">
        <f aca="false">IF(_xlfn.CONCAT(AH230:AL230)="","","Lo"&amp;_xlfn.CONCAT(AH230:AL230))</f>
        <v/>
      </c>
      <c r="AN230" s="179" t="str">
        <f aca="false">IF('Bulk Order Details'!K240="","","Na-"&amp;'Bulk Order Details'!K240)</f>
        <v/>
      </c>
      <c r="AO230" s="179" t="str">
        <f aca="false">IF('Bulk Order Details'!N240="","","Fo-"&amp;'Bulk Order Details'!N240)</f>
        <v/>
      </c>
      <c r="AP230" s="179" t="str">
        <f aca="false">IF(AE230="","",AE230&amp;"_"&amp;AF230&amp;"_"&amp;AG230&amp;IF(AM230="","","_"&amp;AM230)&amp;IF(AN230="","","_"&amp;AN230)&amp;IF(AO230="","","_"&amp;AO230))</f>
        <v/>
      </c>
      <c r="AQ230" s="218" t="str">
        <f aca="false">IF(X230="","",X230)</f>
        <v/>
      </c>
    </row>
    <row r="231" customFormat="false" ht="15" hidden="false" customHeight="true" outlineLevel="0" collapsed="false">
      <c r="B231" s="209" t="n">
        <f aca="false">'Bulk Order Details'!B241</f>
        <v>228</v>
      </c>
      <c r="C231" s="209" t="e">
        <f aca="false">IF('bulk order details'!#ref!="","",'bulk order details'!#ref!&amp;" "&amp;'bulk order details'!#ref!)</f>
        <v>#VALUE!</v>
      </c>
      <c r="D231" s="210" t="str">
        <f aca="false">IF('Bulk Order Details'!J241="","",VLOOKUP(1,Price[],3))</f>
        <v/>
      </c>
      <c r="E231" s="211" t="str">
        <f aca="false">IF('Bulk Order Details'!J241="","",Summary!$D$9)</f>
        <v/>
      </c>
      <c r="F231" s="212" t="str">
        <f aca="false">IF('Bulk Order Details'!F241="","",_xlfn.xlookup('Bulk Order Details'!F241,Size[Display],Size[Price]))</f>
        <v/>
      </c>
      <c r="G231" s="212" t="str">
        <f aca="false">IF('Bulk Order Details'!G241="","",_xlfn.xlookup('Bulk Order Details'!G241,Length[Display],Length[Price]))</f>
        <v/>
      </c>
      <c r="H231" s="212" t="str">
        <f aca="false">IF('Bulk Order Details'!H241="","",_xlfn.xlookup('Bulk Order Details'!H241,Collection[Display],Collection[Price]))</f>
        <v/>
      </c>
      <c r="I231" s="212" t="str">
        <f aca="false">IF('Bulk Order Details'!I241="","",_xlfn.xlookup('Bulk Order Details'!I241,Sleeve[Display],Sleeve[Price]))</f>
        <v/>
      </c>
      <c r="J231" s="212" t="str">
        <f aca="false">IF('Bulk Order Details'!J241="","",_xlfn.xlookup('Bulk Order Details'!J241,Collar[Display],Collar[Price]))</f>
        <v/>
      </c>
      <c r="K231" s="212" t="str">
        <f aca="false">IF('Bulk Order Details'!K241="","",_xlfn.xlookup("Name",Name[Name],Name[Price]))</f>
        <v/>
      </c>
      <c r="L231" s="213" t="str">
        <f aca="false">IFERROR(IF('Bulk Order Details'!O241="","",IF(_xlfn.xlookup('Bulk Order Details'!O241,Logos[Display],Logos[Use])="Flat",_xlfn.xlookup('Bulk Order Details'!O241,Logos[Display],Logos[Flat]),ROUND(_xlfn.xlookup('Bulk Order Details'!O241,Logos[Display],Logos[Pct])*$E231,2))),"")</f>
        <v/>
      </c>
      <c r="M231" s="222" t="str">
        <f aca="false">IFERROR(IF('Bulk Order Details'!P241="","",IF(_xlfn.xlookup('Bulk Order Details'!P241,Chest[Display],Chest[Use])="Flat",_xlfn.xlookup('Bulk Order Details'!P241,Chest[Display],Chest[Flat]),ROUND(_xlfn.xlookup('Bulk Order Details'!P241,Chest[Display],Chest[Pct])*$E231,2))),"")</f>
        <v/>
      </c>
      <c r="N231" s="222" t="str">
        <f aca="false">IFERROR(IF('Bulk Order Details'!Q241="","",IF(_xlfn.xlookup('Bulk Order Details'!Q241,Chest[Display],Chest[Use])="Flat",_xlfn.xlookup('Bulk Order Details'!Q241,Chest[Display],Chest[Flat]),ROUND(_xlfn.xlookup('Bulk Order Details'!Q241,Chest[Display],Chest[Pct])*$E231,2))),"")</f>
        <v/>
      </c>
      <c r="O231" s="222" t="str">
        <f aca="false">IFERROR(IF('Bulk Order Details'!R241="","",IF(_xlfn.xlookup('Bulk Order Details'!R241,LeftSleeve[Display],LeftSleeve[Use])="Flat",_xlfn.xlookup('Bulk Order Details'!R241,LeftSleeve[Display],LeftSleeve[Flat]),ROUND(_xlfn.xlookup('Bulk Order Details'!R241,LeftSleeve[Display],LeftSleeve[Pct])*$E231,2))),"")</f>
        <v/>
      </c>
      <c r="P231" s="222" t="str">
        <f aca="false">IFERROR(IF('Bulk Order Details'!S241="","",IF(_xlfn.xlookup('Bulk Order Details'!S241,RightSleeve[Display],RightSleeve[Use])="Flat",_xlfn.xlookup('Bulk Order Details'!S241,RightSleeve[Display],RightSleeve[Flat]),ROUND(_xlfn.xlookup('Bulk Order Details'!S241,RightSleeve[Display],RightSleeve[Pct])*$E231,2))),"")</f>
        <v/>
      </c>
      <c r="Q231" s="214" t="str">
        <f aca="false">IF('Bulk Order Details'!J241="","",SUM(F231:P231))</f>
        <v/>
      </c>
      <c r="R231" s="213" t="str">
        <f aca="false">IFERROR(E231-D231,"")</f>
        <v/>
      </c>
      <c r="S231" s="215" t="str">
        <f aca="false">IFERROR(MIN(IF(Summary!$D$11="Yes",-J231,0),IF(H231&gt;0,-J231,0)),"")</f>
        <v/>
      </c>
      <c r="T231" s="212" t="str">
        <f aca="false">IFERROR(IF(Summary!$D$10="Yes",-K231,""),"")</f>
        <v/>
      </c>
      <c r="U231" s="213" t="str">
        <f aca="false">IFERROR(IF(Summary!$D$12="Yes",-L231,""),"")</f>
        <v/>
      </c>
      <c r="V231" s="216" t="str">
        <f aca="false">IF('Bulk Order Details'!J241="","",SUM(R231:U231))</f>
        <v/>
      </c>
      <c r="W231" s="217" t="str">
        <f aca="false">IF('Bulk Order Details'!J241="","",D231+Q231)</f>
        <v/>
      </c>
      <c r="X231" s="218" t="str">
        <f aca="false">IF('Bulk Order Details'!J241="","",D231+Q231+V231)</f>
        <v/>
      </c>
      <c r="Y231" s="219" t="str">
        <f aca="false">IFERROR((W231-X231)/W231,"")</f>
        <v/>
      </c>
      <c r="Z231" s="220" t="str">
        <f aca="false">IF('Bulk Order Details'!J241="","",MAX(1,'Bulk Order Details'!D241))</f>
        <v/>
      </c>
      <c r="AA231" s="217" t="str">
        <f aca="false">IF(Pricing_Details[[#This Row],[Quantity]]="","",Pricing_Details[[#This Row],[Retail Price]]*Pricing_Details[[#This Row],[Quantity]])</f>
        <v/>
      </c>
      <c r="AB231" s="217" t="str">
        <f aca="false">IF(Pricing_Details[[#This Row],[Quantity]]="","",Pricing_Details[[#This Row],[Total Discount]]*Pricing_Details[[#This Row],[Quantity]])</f>
        <v/>
      </c>
      <c r="AC231" s="221" t="str">
        <f aca="false">IFERROR(ROUND(Pricing_Details[[#This Row],[Actual Price]]*Pricing_Details[[#This Row],[Quantity]],2),"")</f>
        <v/>
      </c>
      <c r="AE231" s="179" t="str">
        <f aca="false">IF('Bulk Order Details'!J241="","",VLOOKUP('Bulk Order Details'!H241,Collection[],3)&amp;VLOOKUP('Bulk Order Details'!J241,Collar[],4)&amp;VLOOKUP('Bulk Order Details'!I241,Sleeve[],4))</f>
        <v/>
      </c>
      <c r="AF231" s="179" t="str">
        <f aca="false">IF('Bulk Order Details'!J241="","",LOOKUP('Bulk Order Details'!E241,Cut[Display],Cut[Code])&amp;LOOKUP('Bulk Order Details'!F241,#REF!,#REF!)&amp;IF('Bulk Order Details'!G241="","",LOOKUP('Bulk Order Details'!G241,Length[Display],Length[Code])))</f>
        <v/>
      </c>
      <c r="AG231" s="179" t="str">
        <f aca="false">IF('Bulk Order Details'!J241="","",IF('Bulk Order Details'!C241="","",'Bulk Order Details'!C241))</f>
        <v/>
      </c>
      <c r="AH231" s="179" t="str">
        <f aca="false">IF('Bulk Order Details'!O241="","","-"&amp;LOOKUP('Bulk Order Details'!O241,#REF!,#REF!))</f>
        <v/>
      </c>
      <c r="AI231" s="179" t="str">
        <f aca="false">IF('Bulk Order Details'!P241="","","-"&amp;LOOKUP('Bulk Order Details'!P241,#REF!,#REF!))</f>
        <v/>
      </c>
      <c r="AJ231" s="179" t="str">
        <f aca="false">IF('Bulk Order Details'!Q241="","","-"&amp;LOOKUP('Bulk Order Details'!Q241,#REF!,#REF!))</f>
        <v/>
      </c>
      <c r="AK231" s="179" t="str">
        <f aca="false">IF('Bulk Order Details'!R241="","","-"&amp;LOOKUP('Bulk Order Details'!R241,#REF!,#REF!))</f>
        <v/>
      </c>
      <c r="AL231" s="179" t="str">
        <f aca="false">IF('Bulk Order Details'!S241="","","-"&amp;LOOKUP('Bulk Order Details'!S241,#REF!,#REF!))</f>
        <v/>
      </c>
      <c r="AM231" s="179" t="str">
        <f aca="false">IF(_xlfn.CONCAT(AH231:AL231)="","","Lo"&amp;_xlfn.CONCAT(AH231:AL231))</f>
        <v/>
      </c>
      <c r="AN231" s="179" t="str">
        <f aca="false">IF('Bulk Order Details'!K241="","","Na-"&amp;'Bulk Order Details'!K241)</f>
        <v/>
      </c>
      <c r="AO231" s="179" t="str">
        <f aca="false">IF('Bulk Order Details'!N241="","","Fo-"&amp;'Bulk Order Details'!N241)</f>
        <v/>
      </c>
      <c r="AP231" s="179" t="str">
        <f aca="false">IF(AE231="","",AE231&amp;"_"&amp;AF231&amp;"_"&amp;AG231&amp;IF(AM231="","","_"&amp;AM231)&amp;IF(AN231="","","_"&amp;AN231)&amp;IF(AO231="","","_"&amp;AO231))</f>
        <v/>
      </c>
      <c r="AQ231" s="218" t="str">
        <f aca="false">IF(X231="","",X231)</f>
        <v/>
      </c>
    </row>
    <row r="232" customFormat="false" ht="15" hidden="false" customHeight="true" outlineLevel="0" collapsed="false">
      <c r="B232" s="209" t="n">
        <f aca="false">'Bulk Order Details'!B242</f>
        <v>229</v>
      </c>
      <c r="C232" s="209" t="e">
        <f aca="false">IF('bulk order details'!#ref!="","",'bulk order details'!#ref!&amp;" "&amp;'bulk order details'!#ref!)</f>
        <v>#VALUE!</v>
      </c>
      <c r="D232" s="210" t="str">
        <f aca="false">IF('Bulk Order Details'!J242="","",VLOOKUP(1,Price[],3))</f>
        <v/>
      </c>
      <c r="E232" s="211" t="str">
        <f aca="false">IF('Bulk Order Details'!J242="","",Summary!$D$9)</f>
        <v/>
      </c>
      <c r="F232" s="212" t="str">
        <f aca="false">IF('Bulk Order Details'!F242="","",_xlfn.xlookup('Bulk Order Details'!F242,Size[Display],Size[Price]))</f>
        <v/>
      </c>
      <c r="G232" s="212" t="str">
        <f aca="false">IF('Bulk Order Details'!G242="","",_xlfn.xlookup('Bulk Order Details'!G242,Length[Display],Length[Price]))</f>
        <v/>
      </c>
      <c r="H232" s="212" t="str">
        <f aca="false">IF('Bulk Order Details'!H242="","",_xlfn.xlookup('Bulk Order Details'!H242,Collection[Display],Collection[Price]))</f>
        <v/>
      </c>
      <c r="I232" s="212" t="str">
        <f aca="false">IF('Bulk Order Details'!I242="","",_xlfn.xlookup('Bulk Order Details'!I242,Sleeve[Display],Sleeve[Price]))</f>
        <v/>
      </c>
      <c r="J232" s="212" t="str">
        <f aca="false">IF('Bulk Order Details'!J242="","",_xlfn.xlookup('Bulk Order Details'!J242,Collar[Display],Collar[Price]))</f>
        <v/>
      </c>
      <c r="K232" s="212" t="str">
        <f aca="false">IF('Bulk Order Details'!K242="","",_xlfn.xlookup("Name",Name[Name],Name[Price]))</f>
        <v/>
      </c>
      <c r="L232" s="213" t="str">
        <f aca="false">IFERROR(IF('Bulk Order Details'!O242="","",IF(_xlfn.xlookup('Bulk Order Details'!O242,Logos[Display],Logos[Use])="Flat",_xlfn.xlookup('Bulk Order Details'!O242,Logos[Display],Logos[Flat]),ROUND(_xlfn.xlookup('Bulk Order Details'!O242,Logos[Display],Logos[Pct])*$E232,2))),"")</f>
        <v/>
      </c>
      <c r="M232" s="222" t="str">
        <f aca="false">IFERROR(IF('Bulk Order Details'!P242="","",IF(_xlfn.xlookup('Bulk Order Details'!P242,Chest[Display],Chest[Use])="Flat",_xlfn.xlookup('Bulk Order Details'!P242,Chest[Display],Chest[Flat]),ROUND(_xlfn.xlookup('Bulk Order Details'!P242,Chest[Display],Chest[Pct])*$E232,2))),"")</f>
        <v/>
      </c>
      <c r="N232" s="222" t="str">
        <f aca="false">IFERROR(IF('Bulk Order Details'!Q242="","",IF(_xlfn.xlookup('Bulk Order Details'!Q242,Chest[Display],Chest[Use])="Flat",_xlfn.xlookup('Bulk Order Details'!Q242,Chest[Display],Chest[Flat]),ROUND(_xlfn.xlookup('Bulk Order Details'!Q242,Chest[Display],Chest[Pct])*$E232,2))),"")</f>
        <v/>
      </c>
      <c r="O232" s="222" t="str">
        <f aca="false">IFERROR(IF('Bulk Order Details'!R242="","",IF(_xlfn.xlookup('Bulk Order Details'!R242,LeftSleeve[Display],LeftSleeve[Use])="Flat",_xlfn.xlookup('Bulk Order Details'!R242,LeftSleeve[Display],LeftSleeve[Flat]),ROUND(_xlfn.xlookup('Bulk Order Details'!R242,LeftSleeve[Display],LeftSleeve[Pct])*$E232,2))),"")</f>
        <v/>
      </c>
      <c r="P232" s="222" t="str">
        <f aca="false">IFERROR(IF('Bulk Order Details'!S242="","",IF(_xlfn.xlookup('Bulk Order Details'!S242,RightSleeve[Display],RightSleeve[Use])="Flat",_xlfn.xlookup('Bulk Order Details'!S242,RightSleeve[Display],RightSleeve[Flat]),ROUND(_xlfn.xlookup('Bulk Order Details'!S242,RightSleeve[Display],RightSleeve[Pct])*$E232,2))),"")</f>
        <v/>
      </c>
      <c r="Q232" s="214" t="str">
        <f aca="false">IF('Bulk Order Details'!J242="","",SUM(F232:P232))</f>
        <v/>
      </c>
      <c r="R232" s="213" t="str">
        <f aca="false">IFERROR(E232-D232,"")</f>
        <v/>
      </c>
      <c r="S232" s="215" t="str">
        <f aca="false">IFERROR(MIN(IF(Summary!$D$11="Yes",-J232,0),IF(H232&gt;0,-J232,0)),"")</f>
        <v/>
      </c>
      <c r="T232" s="212" t="str">
        <f aca="false">IFERROR(IF(Summary!$D$10="Yes",-K232,""),"")</f>
        <v/>
      </c>
      <c r="U232" s="213" t="str">
        <f aca="false">IFERROR(IF(Summary!$D$12="Yes",-L232,""),"")</f>
        <v/>
      </c>
      <c r="V232" s="216" t="str">
        <f aca="false">IF('Bulk Order Details'!J242="","",SUM(R232:U232))</f>
        <v/>
      </c>
      <c r="W232" s="217" t="str">
        <f aca="false">IF('Bulk Order Details'!J242="","",D232+Q232)</f>
        <v/>
      </c>
      <c r="X232" s="218" t="str">
        <f aca="false">IF('Bulk Order Details'!J242="","",D232+Q232+V232)</f>
        <v/>
      </c>
      <c r="Y232" s="219" t="str">
        <f aca="false">IFERROR((W232-X232)/W232,"")</f>
        <v/>
      </c>
      <c r="Z232" s="220" t="str">
        <f aca="false">IF('Bulk Order Details'!J242="","",MAX(1,'Bulk Order Details'!D242))</f>
        <v/>
      </c>
      <c r="AA232" s="217" t="str">
        <f aca="false">IF(Pricing_Details[[#This Row],[Quantity]]="","",Pricing_Details[[#This Row],[Retail Price]]*Pricing_Details[[#This Row],[Quantity]])</f>
        <v/>
      </c>
      <c r="AB232" s="217" t="str">
        <f aca="false">IF(Pricing_Details[[#This Row],[Quantity]]="","",Pricing_Details[[#This Row],[Total Discount]]*Pricing_Details[[#This Row],[Quantity]])</f>
        <v/>
      </c>
      <c r="AC232" s="221" t="str">
        <f aca="false">IFERROR(ROUND(Pricing_Details[[#This Row],[Actual Price]]*Pricing_Details[[#This Row],[Quantity]],2),"")</f>
        <v/>
      </c>
      <c r="AE232" s="179" t="str">
        <f aca="false">IF('Bulk Order Details'!J242="","",VLOOKUP('Bulk Order Details'!H242,Collection[],3)&amp;VLOOKUP('Bulk Order Details'!J242,Collar[],4)&amp;VLOOKUP('Bulk Order Details'!I242,Sleeve[],4))</f>
        <v/>
      </c>
      <c r="AF232" s="179" t="str">
        <f aca="false">IF('Bulk Order Details'!J242="","",LOOKUP('Bulk Order Details'!E242,Cut[Display],Cut[Code])&amp;LOOKUP('Bulk Order Details'!F242,#REF!,#REF!)&amp;IF('Bulk Order Details'!G242="","",LOOKUP('Bulk Order Details'!G242,Length[Display],Length[Code])))</f>
        <v/>
      </c>
      <c r="AG232" s="179" t="str">
        <f aca="false">IF('Bulk Order Details'!J242="","",IF('Bulk Order Details'!C242="","",'Bulk Order Details'!C242))</f>
        <v/>
      </c>
      <c r="AH232" s="179" t="str">
        <f aca="false">IF('Bulk Order Details'!O242="","","-"&amp;LOOKUP('Bulk Order Details'!O242,#REF!,#REF!))</f>
        <v/>
      </c>
      <c r="AI232" s="179" t="str">
        <f aca="false">IF('Bulk Order Details'!P242="","","-"&amp;LOOKUP('Bulk Order Details'!P242,#REF!,#REF!))</f>
        <v/>
      </c>
      <c r="AJ232" s="179" t="str">
        <f aca="false">IF('Bulk Order Details'!Q242="","","-"&amp;LOOKUP('Bulk Order Details'!Q242,#REF!,#REF!))</f>
        <v/>
      </c>
      <c r="AK232" s="179" t="str">
        <f aca="false">IF('Bulk Order Details'!R242="","","-"&amp;LOOKUP('Bulk Order Details'!R242,#REF!,#REF!))</f>
        <v/>
      </c>
      <c r="AL232" s="179" t="str">
        <f aca="false">IF('Bulk Order Details'!S242="","","-"&amp;LOOKUP('Bulk Order Details'!S242,#REF!,#REF!))</f>
        <v/>
      </c>
      <c r="AM232" s="179" t="str">
        <f aca="false">IF(_xlfn.CONCAT(AH232:AL232)="","","Lo"&amp;_xlfn.CONCAT(AH232:AL232))</f>
        <v/>
      </c>
      <c r="AN232" s="179" t="str">
        <f aca="false">IF('Bulk Order Details'!K242="","","Na-"&amp;'Bulk Order Details'!K242)</f>
        <v/>
      </c>
      <c r="AO232" s="179" t="str">
        <f aca="false">IF('Bulk Order Details'!N242="","","Fo-"&amp;'Bulk Order Details'!N242)</f>
        <v/>
      </c>
      <c r="AP232" s="179" t="str">
        <f aca="false">IF(AE232="","",AE232&amp;"_"&amp;AF232&amp;"_"&amp;AG232&amp;IF(AM232="","","_"&amp;AM232)&amp;IF(AN232="","","_"&amp;AN232)&amp;IF(AO232="","","_"&amp;AO232))</f>
        <v/>
      </c>
      <c r="AQ232" s="218" t="str">
        <f aca="false">IF(X232="","",X232)</f>
        <v/>
      </c>
    </row>
    <row r="233" customFormat="false" ht="15" hidden="false" customHeight="true" outlineLevel="0" collapsed="false">
      <c r="B233" s="209" t="n">
        <f aca="false">'Bulk Order Details'!B243</f>
        <v>230</v>
      </c>
      <c r="C233" s="209" t="e">
        <f aca="false">IF('bulk order details'!#ref!="","",'bulk order details'!#ref!&amp;" "&amp;'bulk order details'!#ref!)</f>
        <v>#VALUE!</v>
      </c>
      <c r="D233" s="210" t="str">
        <f aca="false">IF('Bulk Order Details'!J243="","",VLOOKUP(1,Price[],3))</f>
        <v/>
      </c>
      <c r="E233" s="211" t="str">
        <f aca="false">IF('Bulk Order Details'!J243="","",Summary!$D$9)</f>
        <v/>
      </c>
      <c r="F233" s="212" t="str">
        <f aca="false">IF('Bulk Order Details'!F243="","",_xlfn.xlookup('Bulk Order Details'!F243,Size[Display],Size[Price]))</f>
        <v/>
      </c>
      <c r="G233" s="212" t="str">
        <f aca="false">IF('Bulk Order Details'!G243="","",_xlfn.xlookup('Bulk Order Details'!G243,Length[Display],Length[Price]))</f>
        <v/>
      </c>
      <c r="H233" s="212" t="str">
        <f aca="false">IF('Bulk Order Details'!H243="","",_xlfn.xlookup('Bulk Order Details'!H243,Collection[Display],Collection[Price]))</f>
        <v/>
      </c>
      <c r="I233" s="212" t="str">
        <f aca="false">IF('Bulk Order Details'!I243="","",_xlfn.xlookup('Bulk Order Details'!I243,Sleeve[Display],Sleeve[Price]))</f>
        <v/>
      </c>
      <c r="J233" s="212" t="str">
        <f aca="false">IF('Bulk Order Details'!J243="","",_xlfn.xlookup('Bulk Order Details'!J243,Collar[Display],Collar[Price]))</f>
        <v/>
      </c>
      <c r="K233" s="212" t="str">
        <f aca="false">IF('Bulk Order Details'!K243="","",_xlfn.xlookup("Name",Name[Name],Name[Price]))</f>
        <v/>
      </c>
      <c r="L233" s="213" t="str">
        <f aca="false">IFERROR(IF('Bulk Order Details'!O243="","",IF(_xlfn.xlookup('Bulk Order Details'!O243,Logos[Display],Logos[Use])="Flat",_xlfn.xlookup('Bulk Order Details'!O243,Logos[Display],Logos[Flat]),ROUND(_xlfn.xlookup('Bulk Order Details'!O243,Logos[Display],Logos[Pct])*$E233,2))),"")</f>
        <v/>
      </c>
      <c r="M233" s="222" t="str">
        <f aca="false">IFERROR(IF('Bulk Order Details'!P243="","",IF(_xlfn.xlookup('Bulk Order Details'!P243,Chest[Display],Chest[Use])="Flat",_xlfn.xlookup('Bulk Order Details'!P243,Chest[Display],Chest[Flat]),ROUND(_xlfn.xlookup('Bulk Order Details'!P243,Chest[Display],Chest[Pct])*$E233,2))),"")</f>
        <v/>
      </c>
      <c r="N233" s="222" t="str">
        <f aca="false">IFERROR(IF('Bulk Order Details'!Q243="","",IF(_xlfn.xlookup('Bulk Order Details'!Q243,Chest[Display],Chest[Use])="Flat",_xlfn.xlookup('Bulk Order Details'!Q243,Chest[Display],Chest[Flat]),ROUND(_xlfn.xlookup('Bulk Order Details'!Q243,Chest[Display],Chest[Pct])*$E233,2))),"")</f>
        <v/>
      </c>
      <c r="O233" s="222" t="str">
        <f aca="false">IFERROR(IF('Bulk Order Details'!R243="","",IF(_xlfn.xlookup('Bulk Order Details'!R243,LeftSleeve[Display],LeftSleeve[Use])="Flat",_xlfn.xlookup('Bulk Order Details'!R243,LeftSleeve[Display],LeftSleeve[Flat]),ROUND(_xlfn.xlookup('Bulk Order Details'!R243,LeftSleeve[Display],LeftSleeve[Pct])*$E233,2))),"")</f>
        <v/>
      </c>
      <c r="P233" s="222" t="str">
        <f aca="false">IFERROR(IF('Bulk Order Details'!S243="","",IF(_xlfn.xlookup('Bulk Order Details'!S243,RightSleeve[Display],RightSleeve[Use])="Flat",_xlfn.xlookup('Bulk Order Details'!S243,RightSleeve[Display],RightSleeve[Flat]),ROUND(_xlfn.xlookup('Bulk Order Details'!S243,RightSleeve[Display],RightSleeve[Pct])*$E233,2))),"")</f>
        <v/>
      </c>
      <c r="Q233" s="214" t="str">
        <f aca="false">IF('Bulk Order Details'!J243="","",SUM(F233:P233))</f>
        <v/>
      </c>
      <c r="R233" s="213" t="str">
        <f aca="false">IFERROR(E233-D233,"")</f>
        <v/>
      </c>
      <c r="S233" s="215" t="str">
        <f aca="false">IFERROR(MIN(IF(Summary!$D$11="Yes",-J233,0),IF(H233&gt;0,-J233,0)),"")</f>
        <v/>
      </c>
      <c r="T233" s="212" t="str">
        <f aca="false">IFERROR(IF(Summary!$D$10="Yes",-K233,""),"")</f>
        <v/>
      </c>
      <c r="U233" s="213" t="str">
        <f aca="false">IFERROR(IF(Summary!$D$12="Yes",-L233,""),"")</f>
        <v/>
      </c>
      <c r="V233" s="216" t="str">
        <f aca="false">IF('Bulk Order Details'!J243="","",SUM(R233:U233))</f>
        <v/>
      </c>
      <c r="W233" s="217" t="str">
        <f aca="false">IF('Bulk Order Details'!J243="","",D233+Q233)</f>
        <v/>
      </c>
      <c r="X233" s="218" t="str">
        <f aca="false">IF('Bulk Order Details'!J243="","",D233+Q233+V233)</f>
        <v/>
      </c>
      <c r="Y233" s="219" t="str">
        <f aca="false">IFERROR((W233-X233)/W233,"")</f>
        <v/>
      </c>
      <c r="Z233" s="220" t="str">
        <f aca="false">IF('Bulk Order Details'!J243="","",MAX(1,'Bulk Order Details'!D243))</f>
        <v/>
      </c>
      <c r="AA233" s="217" t="str">
        <f aca="false">IF(Pricing_Details[[#This Row],[Quantity]]="","",Pricing_Details[[#This Row],[Retail Price]]*Pricing_Details[[#This Row],[Quantity]])</f>
        <v/>
      </c>
      <c r="AB233" s="217" t="str">
        <f aca="false">IF(Pricing_Details[[#This Row],[Quantity]]="","",Pricing_Details[[#This Row],[Total Discount]]*Pricing_Details[[#This Row],[Quantity]])</f>
        <v/>
      </c>
      <c r="AC233" s="221" t="str">
        <f aca="false">IFERROR(ROUND(Pricing_Details[[#This Row],[Actual Price]]*Pricing_Details[[#This Row],[Quantity]],2),"")</f>
        <v/>
      </c>
      <c r="AE233" s="179" t="str">
        <f aca="false">IF('Bulk Order Details'!J243="","",VLOOKUP('Bulk Order Details'!H243,Collection[],3)&amp;VLOOKUP('Bulk Order Details'!J243,Collar[],4)&amp;VLOOKUP('Bulk Order Details'!I243,Sleeve[],4))</f>
        <v/>
      </c>
      <c r="AF233" s="179" t="str">
        <f aca="false">IF('Bulk Order Details'!J243="","",LOOKUP('Bulk Order Details'!E243,Cut[Display],Cut[Code])&amp;LOOKUP('Bulk Order Details'!F243,#REF!,#REF!)&amp;IF('Bulk Order Details'!G243="","",LOOKUP('Bulk Order Details'!G243,Length[Display],Length[Code])))</f>
        <v/>
      </c>
      <c r="AG233" s="179" t="str">
        <f aca="false">IF('Bulk Order Details'!J243="","",IF('Bulk Order Details'!C243="","",'Bulk Order Details'!C243))</f>
        <v/>
      </c>
      <c r="AH233" s="179" t="str">
        <f aca="false">IF('Bulk Order Details'!O243="","","-"&amp;LOOKUP('Bulk Order Details'!O243,#REF!,#REF!))</f>
        <v/>
      </c>
      <c r="AI233" s="179" t="str">
        <f aca="false">IF('Bulk Order Details'!P243="","","-"&amp;LOOKUP('Bulk Order Details'!P243,#REF!,#REF!))</f>
        <v/>
      </c>
      <c r="AJ233" s="179" t="str">
        <f aca="false">IF('Bulk Order Details'!Q243="","","-"&amp;LOOKUP('Bulk Order Details'!Q243,#REF!,#REF!))</f>
        <v/>
      </c>
      <c r="AK233" s="179" t="str">
        <f aca="false">IF('Bulk Order Details'!R243="","","-"&amp;LOOKUP('Bulk Order Details'!R243,#REF!,#REF!))</f>
        <v/>
      </c>
      <c r="AL233" s="179" t="str">
        <f aca="false">IF('Bulk Order Details'!S243="","","-"&amp;LOOKUP('Bulk Order Details'!S243,#REF!,#REF!))</f>
        <v/>
      </c>
      <c r="AM233" s="179" t="str">
        <f aca="false">IF(_xlfn.CONCAT(AH233:AL233)="","","Lo"&amp;_xlfn.CONCAT(AH233:AL233))</f>
        <v/>
      </c>
      <c r="AN233" s="179" t="str">
        <f aca="false">IF('Bulk Order Details'!K243="","","Na-"&amp;'Bulk Order Details'!K243)</f>
        <v/>
      </c>
      <c r="AO233" s="179" t="str">
        <f aca="false">IF('Bulk Order Details'!N243="","","Fo-"&amp;'Bulk Order Details'!N243)</f>
        <v/>
      </c>
      <c r="AP233" s="179" t="str">
        <f aca="false">IF(AE233="","",AE233&amp;"_"&amp;AF233&amp;"_"&amp;AG233&amp;IF(AM233="","","_"&amp;AM233)&amp;IF(AN233="","","_"&amp;AN233)&amp;IF(AO233="","","_"&amp;AO233))</f>
        <v/>
      </c>
      <c r="AQ233" s="218" t="str">
        <f aca="false">IF(X233="","",X233)</f>
        <v/>
      </c>
    </row>
    <row r="234" customFormat="false" ht="15" hidden="false" customHeight="true" outlineLevel="0" collapsed="false">
      <c r="B234" s="209" t="n">
        <f aca="false">'Bulk Order Details'!B244</f>
        <v>231</v>
      </c>
      <c r="C234" s="209" t="e">
        <f aca="false">IF('bulk order details'!#ref!="","",'bulk order details'!#ref!&amp;" "&amp;'bulk order details'!#ref!)</f>
        <v>#VALUE!</v>
      </c>
      <c r="D234" s="210" t="str">
        <f aca="false">IF('Bulk Order Details'!J244="","",VLOOKUP(1,Price[],3))</f>
        <v/>
      </c>
      <c r="E234" s="211" t="str">
        <f aca="false">IF('Bulk Order Details'!J244="","",Summary!$D$9)</f>
        <v/>
      </c>
      <c r="F234" s="212" t="str">
        <f aca="false">IF('Bulk Order Details'!F244="","",_xlfn.xlookup('Bulk Order Details'!F244,Size[Display],Size[Price]))</f>
        <v/>
      </c>
      <c r="G234" s="212" t="str">
        <f aca="false">IF('Bulk Order Details'!G244="","",_xlfn.xlookup('Bulk Order Details'!G244,Length[Display],Length[Price]))</f>
        <v/>
      </c>
      <c r="H234" s="212" t="str">
        <f aca="false">IF('Bulk Order Details'!H244="","",_xlfn.xlookup('Bulk Order Details'!H244,Collection[Display],Collection[Price]))</f>
        <v/>
      </c>
      <c r="I234" s="212" t="str">
        <f aca="false">IF('Bulk Order Details'!I244="","",_xlfn.xlookup('Bulk Order Details'!I244,Sleeve[Display],Sleeve[Price]))</f>
        <v/>
      </c>
      <c r="J234" s="212" t="str">
        <f aca="false">IF('Bulk Order Details'!J244="","",_xlfn.xlookup('Bulk Order Details'!J244,Collar[Display],Collar[Price]))</f>
        <v/>
      </c>
      <c r="K234" s="212" t="str">
        <f aca="false">IF('Bulk Order Details'!K244="","",_xlfn.xlookup("Name",Name[Name],Name[Price]))</f>
        <v/>
      </c>
      <c r="L234" s="213" t="str">
        <f aca="false">IFERROR(IF('Bulk Order Details'!O244="","",IF(_xlfn.xlookup('Bulk Order Details'!O244,Logos[Display],Logos[Use])="Flat",_xlfn.xlookup('Bulk Order Details'!O244,Logos[Display],Logos[Flat]),ROUND(_xlfn.xlookup('Bulk Order Details'!O244,Logos[Display],Logos[Pct])*$E234,2))),"")</f>
        <v/>
      </c>
      <c r="M234" s="222" t="str">
        <f aca="false">IFERROR(IF('Bulk Order Details'!P244="","",IF(_xlfn.xlookup('Bulk Order Details'!P244,Chest[Display],Chest[Use])="Flat",_xlfn.xlookup('Bulk Order Details'!P244,Chest[Display],Chest[Flat]),ROUND(_xlfn.xlookup('Bulk Order Details'!P244,Chest[Display],Chest[Pct])*$E234,2))),"")</f>
        <v/>
      </c>
      <c r="N234" s="222" t="str">
        <f aca="false">IFERROR(IF('Bulk Order Details'!Q244="","",IF(_xlfn.xlookup('Bulk Order Details'!Q244,Chest[Display],Chest[Use])="Flat",_xlfn.xlookup('Bulk Order Details'!Q244,Chest[Display],Chest[Flat]),ROUND(_xlfn.xlookup('Bulk Order Details'!Q244,Chest[Display],Chest[Pct])*$E234,2))),"")</f>
        <v/>
      </c>
      <c r="O234" s="222" t="str">
        <f aca="false">IFERROR(IF('Bulk Order Details'!R244="","",IF(_xlfn.xlookup('Bulk Order Details'!R244,LeftSleeve[Display],LeftSleeve[Use])="Flat",_xlfn.xlookup('Bulk Order Details'!R244,LeftSleeve[Display],LeftSleeve[Flat]),ROUND(_xlfn.xlookup('Bulk Order Details'!R244,LeftSleeve[Display],LeftSleeve[Pct])*$E234,2))),"")</f>
        <v/>
      </c>
      <c r="P234" s="222" t="str">
        <f aca="false">IFERROR(IF('Bulk Order Details'!S244="","",IF(_xlfn.xlookup('Bulk Order Details'!S244,RightSleeve[Display],RightSleeve[Use])="Flat",_xlfn.xlookup('Bulk Order Details'!S244,RightSleeve[Display],RightSleeve[Flat]),ROUND(_xlfn.xlookup('Bulk Order Details'!S244,RightSleeve[Display],RightSleeve[Pct])*$E234,2))),"")</f>
        <v/>
      </c>
      <c r="Q234" s="214" t="str">
        <f aca="false">IF('Bulk Order Details'!J244="","",SUM(F234:P234))</f>
        <v/>
      </c>
      <c r="R234" s="213" t="str">
        <f aca="false">IFERROR(E234-D234,"")</f>
        <v/>
      </c>
      <c r="S234" s="215" t="str">
        <f aca="false">IFERROR(MIN(IF(Summary!$D$11="Yes",-J234,0),IF(H234&gt;0,-J234,0)),"")</f>
        <v/>
      </c>
      <c r="T234" s="212" t="str">
        <f aca="false">IFERROR(IF(Summary!$D$10="Yes",-K234,""),"")</f>
        <v/>
      </c>
      <c r="U234" s="213" t="str">
        <f aca="false">IFERROR(IF(Summary!$D$12="Yes",-L234,""),"")</f>
        <v/>
      </c>
      <c r="V234" s="216" t="str">
        <f aca="false">IF('Bulk Order Details'!J244="","",SUM(R234:U234))</f>
        <v/>
      </c>
      <c r="W234" s="217" t="str">
        <f aca="false">IF('Bulk Order Details'!J244="","",D234+Q234)</f>
        <v/>
      </c>
      <c r="X234" s="218" t="str">
        <f aca="false">IF('Bulk Order Details'!J244="","",D234+Q234+V234)</f>
        <v/>
      </c>
      <c r="Y234" s="219" t="str">
        <f aca="false">IFERROR((W234-X234)/W234,"")</f>
        <v/>
      </c>
      <c r="Z234" s="220" t="str">
        <f aca="false">IF('Bulk Order Details'!J244="","",MAX(1,'Bulk Order Details'!D244))</f>
        <v/>
      </c>
      <c r="AA234" s="217" t="str">
        <f aca="false">IF(Pricing_Details[[#This Row],[Quantity]]="","",Pricing_Details[[#This Row],[Retail Price]]*Pricing_Details[[#This Row],[Quantity]])</f>
        <v/>
      </c>
      <c r="AB234" s="217" t="str">
        <f aca="false">IF(Pricing_Details[[#This Row],[Quantity]]="","",Pricing_Details[[#This Row],[Total Discount]]*Pricing_Details[[#This Row],[Quantity]])</f>
        <v/>
      </c>
      <c r="AC234" s="221" t="str">
        <f aca="false">IFERROR(ROUND(Pricing_Details[[#This Row],[Actual Price]]*Pricing_Details[[#This Row],[Quantity]],2),"")</f>
        <v/>
      </c>
      <c r="AE234" s="179" t="str">
        <f aca="false">IF('Bulk Order Details'!J244="","",VLOOKUP('Bulk Order Details'!H244,Collection[],3)&amp;VLOOKUP('Bulk Order Details'!J244,Collar[],4)&amp;VLOOKUP('Bulk Order Details'!I244,Sleeve[],4))</f>
        <v/>
      </c>
      <c r="AF234" s="179" t="str">
        <f aca="false">IF('Bulk Order Details'!J244="","",LOOKUP('Bulk Order Details'!E244,Cut[Display],Cut[Code])&amp;LOOKUP('Bulk Order Details'!F244,#REF!,#REF!)&amp;IF('Bulk Order Details'!G244="","",LOOKUP('Bulk Order Details'!G244,Length[Display],Length[Code])))</f>
        <v/>
      </c>
      <c r="AG234" s="179" t="str">
        <f aca="false">IF('Bulk Order Details'!J244="","",IF('Bulk Order Details'!C244="","",'Bulk Order Details'!C244))</f>
        <v/>
      </c>
      <c r="AH234" s="179" t="str">
        <f aca="false">IF('Bulk Order Details'!O244="","","-"&amp;LOOKUP('Bulk Order Details'!O244,#REF!,#REF!))</f>
        <v/>
      </c>
      <c r="AI234" s="179" t="str">
        <f aca="false">IF('Bulk Order Details'!P244="","","-"&amp;LOOKUP('Bulk Order Details'!P244,#REF!,#REF!))</f>
        <v/>
      </c>
      <c r="AJ234" s="179" t="str">
        <f aca="false">IF('Bulk Order Details'!Q244="","","-"&amp;LOOKUP('Bulk Order Details'!Q244,#REF!,#REF!))</f>
        <v/>
      </c>
      <c r="AK234" s="179" t="str">
        <f aca="false">IF('Bulk Order Details'!R244="","","-"&amp;LOOKUP('Bulk Order Details'!R244,#REF!,#REF!))</f>
        <v/>
      </c>
      <c r="AL234" s="179" t="str">
        <f aca="false">IF('Bulk Order Details'!S244="","","-"&amp;LOOKUP('Bulk Order Details'!S244,#REF!,#REF!))</f>
        <v/>
      </c>
      <c r="AM234" s="179" t="str">
        <f aca="false">IF(_xlfn.CONCAT(AH234:AL234)="","","Lo"&amp;_xlfn.CONCAT(AH234:AL234))</f>
        <v/>
      </c>
      <c r="AN234" s="179" t="str">
        <f aca="false">IF('Bulk Order Details'!K244="","","Na-"&amp;'Bulk Order Details'!K244)</f>
        <v/>
      </c>
      <c r="AO234" s="179" t="str">
        <f aca="false">IF('Bulk Order Details'!N244="","","Fo-"&amp;'Bulk Order Details'!N244)</f>
        <v/>
      </c>
      <c r="AP234" s="179" t="str">
        <f aca="false">IF(AE234="","",AE234&amp;"_"&amp;AF234&amp;"_"&amp;AG234&amp;IF(AM234="","","_"&amp;AM234)&amp;IF(AN234="","","_"&amp;AN234)&amp;IF(AO234="","","_"&amp;AO234))</f>
        <v/>
      </c>
      <c r="AQ234" s="218" t="str">
        <f aca="false">IF(X234="","",X234)</f>
        <v/>
      </c>
    </row>
    <row r="235" customFormat="false" ht="15" hidden="false" customHeight="true" outlineLevel="0" collapsed="false">
      <c r="B235" s="209" t="n">
        <f aca="false">'Bulk Order Details'!B245</f>
        <v>232</v>
      </c>
      <c r="C235" s="209" t="e">
        <f aca="false">IF('bulk order details'!#ref!="","",'bulk order details'!#ref!&amp;" "&amp;'bulk order details'!#ref!)</f>
        <v>#VALUE!</v>
      </c>
      <c r="D235" s="210" t="str">
        <f aca="false">IF('Bulk Order Details'!J245="","",VLOOKUP(1,Price[],3))</f>
        <v/>
      </c>
      <c r="E235" s="211" t="str">
        <f aca="false">IF('Bulk Order Details'!J245="","",Summary!$D$9)</f>
        <v/>
      </c>
      <c r="F235" s="212" t="str">
        <f aca="false">IF('Bulk Order Details'!F245="","",_xlfn.xlookup('Bulk Order Details'!F245,Size[Display],Size[Price]))</f>
        <v/>
      </c>
      <c r="G235" s="212" t="str">
        <f aca="false">IF('Bulk Order Details'!G245="","",_xlfn.xlookup('Bulk Order Details'!G245,Length[Display],Length[Price]))</f>
        <v/>
      </c>
      <c r="H235" s="212" t="str">
        <f aca="false">IF('Bulk Order Details'!H245="","",_xlfn.xlookup('Bulk Order Details'!H245,Collection[Display],Collection[Price]))</f>
        <v/>
      </c>
      <c r="I235" s="212" t="str">
        <f aca="false">IF('Bulk Order Details'!I245="","",_xlfn.xlookup('Bulk Order Details'!I245,Sleeve[Display],Sleeve[Price]))</f>
        <v/>
      </c>
      <c r="J235" s="212" t="str">
        <f aca="false">IF('Bulk Order Details'!J245="","",_xlfn.xlookup('Bulk Order Details'!J245,Collar[Display],Collar[Price]))</f>
        <v/>
      </c>
      <c r="K235" s="212" t="str">
        <f aca="false">IF('Bulk Order Details'!K245="","",_xlfn.xlookup("Name",Name[Name],Name[Price]))</f>
        <v/>
      </c>
      <c r="L235" s="213" t="str">
        <f aca="false">IFERROR(IF('Bulk Order Details'!O245="","",IF(_xlfn.xlookup('Bulk Order Details'!O245,Logos[Display],Logos[Use])="Flat",_xlfn.xlookup('Bulk Order Details'!O245,Logos[Display],Logos[Flat]),ROUND(_xlfn.xlookup('Bulk Order Details'!O245,Logos[Display],Logos[Pct])*$E235,2))),"")</f>
        <v/>
      </c>
      <c r="M235" s="222" t="str">
        <f aca="false">IFERROR(IF('Bulk Order Details'!P245="","",IF(_xlfn.xlookup('Bulk Order Details'!P245,Chest[Display],Chest[Use])="Flat",_xlfn.xlookup('Bulk Order Details'!P245,Chest[Display],Chest[Flat]),ROUND(_xlfn.xlookup('Bulk Order Details'!P245,Chest[Display],Chest[Pct])*$E235,2))),"")</f>
        <v/>
      </c>
      <c r="N235" s="222" t="str">
        <f aca="false">IFERROR(IF('Bulk Order Details'!Q245="","",IF(_xlfn.xlookup('Bulk Order Details'!Q245,Chest[Display],Chest[Use])="Flat",_xlfn.xlookup('Bulk Order Details'!Q245,Chest[Display],Chest[Flat]),ROUND(_xlfn.xlookup('Bulk Order Details'!Q245,Chest[Display],Chest[Pct])*$E235,2))),"")</f>
        <v/>
      </c>
      <c r="O235" s="222" t="str">
        <f aca="false">IFERROR(IF('Bulk Order Details'!R245="","",IF(_xlfn.xlookup('Bulk Order Details'!R245,LeftSleeve[Display],LeftSleeve[Use])="Flat",_xlfn.xlookup('Bulk Order Details'!R245,LeftSleeve[Display],LeftSleeve[Flat]),ROUND(_xlfn.xlookup('Bulk Order Details'!R245,LeftSleeve[Display],LeftSleeve[Pct])*$E235,2))),"")</f>
        <v/>
      </c>
      <c r="P235" s="222" t="str">
        <f aca="false">IFERROR(IF('Bulk Order Details'!S245="","",IF(_xlfn.xlookup('Bulk Order Details'!S245,RightSleeve[Display],RightSleeve[Use])="Flat",_xlfn.xlookup('Bulk Order Details'!S245,RightSleeve[Display],RightSleeve[Flat]),ROUND(_xlfn.xlookup('Bulk Order Details'!S245,RightSleeve[Display],RightSleeve[Pct])*$E235,2))),"")</f>
        <v/>
      </c>
      <c r="Q235" s="214" t="str">
        <f aca="false">IF('Bulk Order Details'!J245="","",SUM(F235:P235))</f>
        <v/>
      </c>
      <c r="R235" s="213" t="str">
        <f aca="false">IFERROR(E235-D235,"")</f>
        <v/>
      </c>
      <c r="S235" s="215" t="str">
        <f aca="false">IFERROR(MIN(IF(Summary!$D$11="Yes",-J235,0),IF(H235&gt;0,-J235,0)),"")</f>
        <v/>
      </c>
      <c r="T235" s="212" t="str">
        <f aca="false">IFERROR(IF(Summary!$D$10="Yes",-K235,""),"")</f>
        <v/>
      </c>
      <c r="U235" s="213" t="str">
        <f aca="false">IFERROR(IF(Summary!$D$12="Yes",-L235,""),"")</f>
        <v/>
      </c>
      <c r="V235" s="216" t="str">
        <f aca="false">IF('Bulk Order Details'!J245="","",SUM(R235:U235))</f>
        <v/>
      </c>
      <c r="W235" s="217" t="str">
        <f aca="false">IF('Bulk Order Details'!J245="","",D235+Q235)</f>
        <v/>
      </c>
      <c r="X235" s="218" t="str">
        <f aca="false">IF('Bulk Order Details'!J245="","",D235+Q235+V235)</f>
        <v/>
      </c>
      <c r="Y235" s="219" t="str">
        <f aca="false">IFERROR((W235-X235)/W235,"")</f>
        <v/>
      </c>
      <c r="Z235" s="220" t="str">
        <f aca="false">IF('Bulk Order Details'!J245="","",MAX(1,'Bulk Order Details'!D245))</f>
        <v/>
      </c>
      <c r="AA235" s="217" t="str">
        <f aca="false">IF(Pricing_Details[[#This Row],[Quantity]]="","",Pricing_Details[[#This Row],[Retail Price]]*Pricing_Details[[#This Row],[Quantity]])</f>
        <v/>
      </c>
      <c r="AB235" s="217" t="str">
        <f aca="false">IF(Pricing_Details[[#This Row],[Quantity]]="","",Pricing_Details[[#This Row],[Total Discount]]*Pricing_Details[[#This Row],[Quantity]])</f>
        <v/>
      </c>
      <c r="AC235" s="221" t="str">
        <f aca="false">IFERROR(ROUND(Pricing_Details[[#This Row],[Actual Price]]*Pricing_Details[[#This Row],[Quantity]],2),"")</f>
        <v/>
      </c>
      <c r="AE235" s="179" t="str">
        <f aca="false">IF('Bulk Order Details'!J245="","",VLOOKUP('Bulk Order Details'!H245,Collection[],3)&amp;VLOOKUP('Bulk Order Details'!J245,Collar[],4)&amp;VLOOKUP('Bulk Order Details'!I245,Sleeve[],4))</f>
        <v/>
      </c>
      <c r="AF235" s="179" t="str">
        <f aca="false">IF('Bulk Order Details'!J245="","",LOOKUP('Bulk Order Details'!E245,Cut[Display],Cut[Code])&amp;LOOKUP('Bulk Order Details'!F245,#REF!,#REF!)&amp;IF('Bulk Order Details'!G245="","",LOOKUP('Bulk Order Details'!G245,Length[Display],Length[Code])))</f>
        <v/>
      </c>
      <c r="AG235" s="179" t="str">
        <f aca="false">IF('Bulk Order Details'!J245="","",IF('Bulk Order Details'!C245="","",'Bulk Order Details'!C245))</f>
        <v/>
      </c>
      <c r="AH235" s="179" t="str">
        <f aca="false">IF('Bulk Order Details'!O245="","","-"&amp;LOOKUP('Bulk Order Details'!O245,#REF!,#REF!))</f>
        <v/>
      </c>
      <c r="AI235" s="179" t="str">
        <f aca="false">IF('Bulk Order Details'!P245="","","-"&amp;LOOKUP('Bulk Order Details'!P245,#REF!,#REF!))</f>
        <v/>
      </c>
      <c r="AJ235" s="179" t="str">
        <f aca="false">IF('Bulk Order Details'!Q245="","","-"&amp;LOOKUP('Bulk Order Details'!Q245,#REF!,#REF!))</f>
        <v/>
      </c>
      <c r="AK235" s="179" t="str">
        <f aca="false">IF('Bulk Order Details'!R245="","","-"&amp;LOOKUP('Bulk Order Details'!R245,#REF!,#REF!))</f>
        <v/>
      </c>
      <c r="AL235" s="179" t="str">
        <f aca="false">IF('Bulk Order Details'!S245="","","-"&amp;LOOKUP('Bulk Order Details'!S245,#REF!,#REF!))</f>
        <v/>
      </c>
      <c r="AM235" s="179" t="str">
        <f aca="false">IF(_xlfn.CONCAT(AH235:AL235)="","","Lo"&amp;_xlfn.CONCAT(AH235:AL235))</f>
        <v/>
      </c>
      <c r="AN235" s="179" t="str">
        <f aca="false">IF('Bulk Order Details'!K245="","","Na-"&amp;'Bulk Order Details'!K245)</f>
        <v/>
      </c>
      <c r="AO235" s="179" t="str">
        <f aca="false">IF('Bulk Order Details'!N245="","","Fo-"&amp;'Bulk Order Details'!N245)</f>
        <v/>
      </c>
      <c r="AP235" s="179" t="str">
        <f aca="false">IF(AE235="","",AE235&amp;"_"&amp;AF235&amp;"_"&amp;AG235&amp;IF(AM235="","","_"&amp;AM235)&amp;IF(AN235="","","_"&amp;AN235)&amp;IF(AO235="","","_"&amp;AO235))</f>
        <v/>
      </c>
      <c r="AQ235" s="218" t="str">
        <f aca="false">IF(X235="","",X235)</f>
        <v/>
      </c>
    </row>
    <row r="236" customFormat="false" ht="15" hidden="false" customHeight="true" outlineLevel="0" collapsed="false">
      <c r="B236" s="209" t="n">
        <f aca="false">'Bulk Order Details'!B246</f>
        <v>233</v>
      </c>
      <c r="C236" s="209" t="e">
        <f aca="false">IF('bulk order details'!#ref!="","",'bulk order details'!#ref!&amp;" "&amp;'bulk order details'!#ref!)</f>
        <v>#VALUE!</v>
      </c>
      <c r="D236" s="210" t="str">
        <f aca="false">IF('Bulk Order Details'!J246="","",VLOOKUP(1,Price[],3))</f>
        <v/>
      </c>
      <c r="E236" s="211" t="str">
        <f aca="false">IF('Bulk Order Details'!J246="","",Summary!$D$9)</f>
        <v/>
      </c>
      <c r="F236" s="212" t="str">
        <f aca="false">IF('Bulk Order Details'!F246="","",_xlfn.xlookup('Bulk Order Details'!F246,Size[Display],Size[Price]))</f>
        <v/>
      </c>
      <c r="G236" s="212" t="str">
        <f aca="false">IF('Bulk Order Details'!G246="","",_xlfn.xlookup('Bulk Order Details'!G246,Length[Display],Length[Price]))</f>
        <v/>
      </c>
      <c r="H236" s="212" t="str">
        <f aca="false">IF('Bulk Order Details'!H246="","",_xlfn.xlookup('Bulk Order Details'!H246,Collection[Display],Collection[Price]))</f>
        <v/>
      </c>
      <c r="I236" s="212" t="str">
        <f aca="false">IF('Bulk Order Details'!I246="","",_xlfn.xlookup('Bulk Order Details'!I246,Sleeve[Display],Sleeve[Price]))</f>
        <v/>
      </c>
      <c r="J236" s="212" t="str">
        <f aca="false">IF('Bulk Order Details'!J246="","",_xlfn.xlookup('Bulk Order Details'!J246,Collar[Display],Collar[Price]))</f>
        <v/>
      </c>
      <c r="K236" s="212" t="str">
        <f aca="false">IF('Bulk Order Details'!K246="","",_xlfn.xlookup("Name",Name[Name],Name[Price]))</f>
        <v/>
      </c>
      <c r="L236" s="213" t="str">
        <f aca="false">IFERROR(IF('Bulk Order Details'!O246="","",IF(_xlfn.xlookup('Bulk Order Details'!O246,Logos[Display],Logos[Use])="Flat",_xlfn.xlookup('Bulk Order Details'!O246,Logos[Display],Logos[Flat]),ROUND(_xlfn.xlookup('Bulk Order Details'!O246,Logos[Display],Logos[Pct])*$E236,2))),"")</f>
        <v/>
      </c>
      <c r="M236" s="222" t="str">
        <f aca="false">IFERROR(IF('Bulk Order Details'!P246="","",IF(_xlfn.xlookup('Bulk Order Details'!P246,Chest[Display],Chest[Use])="Flat",_xlfn.xlookup('Bulk Order Details'!P246,Chest[Display],Chest[Flat]),ROUND(_xlfn.xlookup('Bulk Order Details'!P246,Chest[Display],Chest[Pct])*$E236,2))),"")</f>
        <v/>
      </c>
      <c r="N236" s="222" t="str">
        <f aca="false">IFERROR(IF('Bulk Order Details'!Q246="","",IF(_xlfn.xlookup('Bulk Order Details'!Q246,Chest[Display],Chest[Use])="Flat",_xlfn.xlookup('Bulk Order Details'!Q246,Chest[Display],Chest[Flat]),ROUND(_xlfn.xlookup('Bulk Order Details'!Q246,Chest[Display],Chest[Pct])*$E236,2))),"")</f>
        <v/>
      </c>
      <c r="O236" s="222" t="str">
        <f aca="false">IFERROR(IF('Bulk Order Details'!R246="","",IF(_xlfn.xlookup('Bulk Order Details'!R246,LeftSleeve[Display],LeftSleeve[Use])="Flat",_xlfn.xlookup('Bulk Order Details'!R246,LeftSleeve[Display],LeftSleeve[Flat]),ROUND(_xlfn.xlookup('Bulk Order Details'!R246,LeftSleeve[Display],LeftSleeve[Pct])*$E236,2))),"")</f>
        <v/>
      </c>
      <c r="P236" s="222" t="str">
        <f aca="false">IFERROR(IF('Bulk Order Details'!S246="","",IF(_xlfn.xlookup('Bulk Order Details'!S246,RightSleeve[Display],RightSleeve[Use])="Flat",_xlfn.xlookup('Bulk Order Details'!S246,RightSleeve[Display],RightSleeve[Flat]),ROUND(_xlfn.xlookup('Bulk Order Details'!S246,RightSleeve[Display],RightSleeve[Pct])*$E236,2))),"")</f>
        <v/>
      </c>
      <c r="Q236" s="214" t="str">
        <f aca="false">IF('Bulk Order Details'!J246="","",SUM(F236:P236))</f>
        <v/>
      </c>
      <c r="R236" s="213" t="str">
        <f aca="false">IFERROR(E236-D236,"")</f>
        <v/>
      </c>
      <c r="S236" s="215" t="str">
        <f aca="false">IFERROR(MIN(IF(Summary!$D$11="Yes",-J236,0),IF(H236&gt;0,-J236,0)),"")</f>
        <v/>
      </c>
      <c r="T236" s="212" t="str">
        <f aca="false">IFERROR(IF(Summary!$D$10="Yes",-K236,""),"")</f>
        <v/>
      </c>
      <c r="U236" s="213" t="str">
        <f aca="false">IFERROR(IF(Summary!$D$12="Yes",-L236,""),"")</f>
        <v/>
      </c>
      <c r="V236" s="216" t="str">
        <f aca="false">IF('Bulk Order Details'!J246="","",SUM(R236:U236))</f>
        <v/>
      </c>
      <c r="W236" s="217" t="str">
        <f aca="false">IF('Bulk Order Details'!J246="","",D236+Q236)</f>
        <v/>
      </c>
      <c r="X236" s="218" t="str">
        <f aca="false">IF('Bulk Order Details'!J246="","",D236+Q236+V236)</f>
        <v/>
      </c>
      <c r="Y236" s="219" t="str">
        <f aca="false">IFERROR((W236-X236)/W236,"")</f>
        <v/>
      </c>
      <c r="Z236" s="220" t="str">
        <f aca="false">IF('Bulk Order Details'!J246="","",MAX(1,'Bulk Order Details'!D246))</f>
        <v/>
      </c>
      <c r="AA236" s="217" t="str">
        <f aca="false">IF(Pricing_Details[[#This Row],[Quantity]]="","",Pricing_Details[[#This Row],[Retail Price]]*Pricing_Details[[#This Row],[Quantity]])</f>
        <v/>
      </c>
      <c r="AB236" s="217" t="str">
        <f aca="false">IF(Pricing_Details[[#This Row],[Quantity]]="","",Pricing_Details[[#This Row],[Total Discount]]*Pricing_Details[[#This Row],[Quantity]])</f>
        <v/>
      </c>
      <c r="AC236" s="221" t="str">
        <f aca="false">IFERROR(ROUND(Pricing_Details[[#This Row],[Actual Price]]*Pricing_Details[[#This Row],[Quantity]],2),"")</f>
        <v/>
      </c>
      <c r="AE236" s="179" t="str">
        <f aca="false">IF('Bulk Order Details'!J246="","",VLOOKUP('Bulk Order Details'!H246,Collection[],3)&amp;VLOOKUP('Bulk Order Details'!J246,Collar[],4)&amp;VLOOKUP('Bulk Order Details'!I246,Sleeve[],4))</f>
        <v/>
      </c>
      <c r="AF236" s="179" t="str">
        <f aca="false">IF('Bulk Order Details'!J246="","",LOOKUP('Bulk Order Details'!E246,Cut[Display],Cut[Code])&amp;LOOKUP('Bulk Order Details'!F246,#REF!,#REF!)&amp;IF('Bulk Order Details'!G246="","",LOOKUP('Bulk Order Details'!G246,Length[Display],Length[Code])))</f>
        <v/>
      </c>
      <c r="AG236" s="179" t="str">
        <f aca="false">IF('Bulk Order Details'!J246="","",IF('Bulk Order Details'!C246="","",'Bulk Order Details'!C246))</f>
        <v/>
      </c>
      <c r="AH236" s="179" t="str">
        <f aca="false">IF('Bulk Order Details'!O246="","","-"&amp;LOOKUP('Bulk Order Details'!O246,#REF!,#REF!))</f>
        <v/>
      </c>
      <c r="AI236" s="179" t="str">
        <f aca="false">IF('Bulk Order Details'!P246="","","-"&amp;LOOKUP('Bulk Order Details'!P246,#REF!,#REF!))</f>
        <v/>
      </c>
      <c r="AJ236" s="179" t="str">
        <f aca="false">IF('Bulk Order Details'!Q246="","","-"&amp;LOOKUP('Bulk Order Details'!Q246,#REF!,#REF!))</f>
        <v/>
      </c>
      <c r="AK236" s="179" t="str">
        <f aca="false">IF('Bulk Order Details'!R246="","","-"&amp;LOOKUP('Bulk Order Details'!R246,#REF!,#REF!))</f>
        <v/>
      </c>
      <c r="AL236" s="179" t="str">
        <f aca="false">IF('Bulk Order Details'!S246="","","-"&amp;LOOKUP('Bulk Order Details'!S246,#REF!,#REF!))</f>
        <v/>
      </c>
      <c r="AM236" s="179" t="str">
        <f aca="false">IF(_xlfn.CONCAT(AH236:AL236)="","","Lo"&amp;_xlfn.CONCAT(AH236:AL236))</f>
        <v/>
      </c>
      <c r="AN236" s="179" t="str">
        <f aca="false">IF('Bulk Order Details'!K246="","","Na-"&amp;'Bulk Order Details'!K246)</f>
        <v/>
      </c>
      <c r="AO236" s="179" t="str">
        <f aca="false">IF('Bulk Order Details'!N246="","","Fo-"&amp;'Bulk Order Details'!N246)</f>
        <v/>
      </c>
      <c r="AP236" s="179" t="str">
        <f aca="false">IF(AE236="","",AE236&amp;"_"&amp;AF236&amp;"_"&amp;AG236&amp;IF(AM236="","","_"&amp;AM236)&amp;IF(AN236="","","_"&amp;AN236)&amp;IF(AO236="","","_"&amp;AO236))</f>
        <v/>
      </c>
      <c r="AQ236" s="218" t="str">
        <f aca="false">IF(X236="","",X236)</f>
        <v/>
      </c>
    </row>
    <row r="237" customFormat="false" ht="15" hidden="false" customHeight="true" outlineLevel="0" collapsed="false">
      <c r="B237" s="209" t="n">
        <f aca="false">'Bulk Order Details'!B247</f>
        <v>234</v>
      </c>
      <c r="C237" s="209" t="e">
        <f aca="false">IF('bulk order details'!#ref!="","",'bulk order details'!#ref!&amp;" "&amp;'bulk order details'!#ref!)</f>
        <v>#VALUE!</v>
      </c>
      <c r="D237" s="210" t="str">
        <f aca="false">IF('Bulk Order Details'!J247="","",VLOOKUP(1,Price[],3))</f>
        <v/>
      </c>
      <c r="E237" s="211" t="str">
        <f aca="false">IF('Bulk Order Details'!J247="","",Summary!$D$9)</f>
        <v/>
      </c>
      <c r="F237" s="212" t="str">
        <f aca="false">IF('Bulk Order Details'!F247="","",_xlfn.xlookup('Bulk Order Details'!F247,Size[Display],Size[Price]))</f>
        <v/>
      </c>
      <c r="G237" s="212" t="str">
        <f aca="false">IF('Bulk Order Details'!G247="","",_xlfn.xlookup('Bulk Order Details'!G247,Length[Display],Length[Price]))</f>
        <v/>
      </c>
      <c r="H237" s="212" t="str">
        <f aca="false">IF('Bulk Order Details'!H247="","",_xlfn.xlookup('Bulk Order Details'!H247,Collection[Display],Collection[Price]))</f>
        <v/>
      </c>
      <c r="I237" s="212" t="str">
        <f aca="false">IF('Bulk Order Details'!I247="","",_xlfn.xlookup('Bulk Order Details'!I247,Sleeve[Display],Sleeve[Price]))</f>
        <v/>
      </c>
      <c r="J237" s="212" t="str">
        <f aca="false">IF('Bulk Order Details'!J247="","",_xlfn.xlookup('Bulk Order Details'!J247,Collar[Display],Collar[Price]))</f>
        <v/>
      </c>
      <c r="K237" s="212" t="str">
        <f aca="false">IF('Bulk Order Details'!K247="","",_xlfn.xlookup("Name",Name[Name],Name[Price]))</f>
        <v/>
      </c>
      <c r="L237" s="213" t="str">
        <f aca="false">IFERROR(IF('Bulk Order Details'!O247="","",IF(_xlfn.xlookup('Bulk Order Details'!O247,Logos[Display],Logos[Use])="Flat",_xlfn.xlookup('Bulk Order Details'!O247,Logos[Display],Logos[Flat]),ROUND(_xlfn.xlookup('Bulk Order Details'!O247,Logos[Display],Logos[Pct])*$E237,2))),"")</f>
        <v/>
      </c>
      <c r="M237" s="222" t="str">
        <f aca="false">IFERROR(IF('Bulk Order Details'!P247="","",IF(_xlfn.xlookup('Bulk Order Details'!P247,Chest[Display],Chest[Use])="Flat",_xlfn.xlookup('Bulk Order Details'!P247,Chest[Display],Chest[Flat]),ROUND(_xlfn.xlookup('Bulk Order Details'!P247,Chest[Display],Chest[Pct])*$E237,2))),"")</f>
        <v/>
      </c>
      <c r="N237" s="222" t="str">
        <f aca="false">IFERROR(IF('Bulk Order Details'!Q247="","",IF(_xlfn.xlookup('Bulk Order Details'!Q247,Chest[Display],Chest[Use])="Flat",_xlfn.xlookup('Bulk Order Details'!Q247,Chest[Display],Chest[Flat]),ROUND(_xlfn.xlookup('Bulk Order Details'!Q247,Chest[Display],Chest[Pct])*$E237,2))),"")</f>
        <v/>
      </c>
      <c r="O237" s="222" t="str">
        <f aca="false">IFERROR(IF('Bulk Order Details'!R247="","",IF(_xlfn.xlookup('Bulk Order Details'!R247,LeftSleeve[Display],LeftSleeve[Use])="Flat",_xlfn.xlookup('Bulk Order Details'!R247,LeftSleeve[Display],LeftSleeve[Flat]),ROUND(_xlfn.xlookup('Bulk Order Details'!R247,LeftSleeve[Display],LeftSleeve[Pct])*$E237,2))),"")</f>
        <v/>
      </c>
      <c r="P237" s="222" t="str">
        <f aca="false">IFERROR(IF('Bulk Order Details'!S247="","",IF(_xlfn.xlookup('Bulk Order Details'!S247,RightSleeve[Display],RightSleeve[Use])="Flat",_xlfn.xlookup('Bulk Order Details'!S247,RightSleeve[Display],RightSleeve[Flat]),ROUND(_xlfn.xlookup('Bulk Order Details'!S247,RightSleeve[Display],RightSleeve[Pct])*$E237,2))),"")</f>
        <v/>
      </c>
      <c r="Q237" s="214" t="str">
        <f aca="false">IF('Bulk Order Details'!J247="","",SUM(F237:P237))</f>
        <v/>
      </c>
      <c r="R237" s="213" t="str">
        <f aca="false">IFERROR(E237-D237,"")</f>
        <v/>
      </c>
      <c r="S237" s="215" t="str">
        <f aca="false">IFERROR(MIN(IF(Summary!$D$11="Yes",-J237,0),IF(H237&gt;0,-J237,0)),"")</f>
        <v/>
      </c>
      <c r="T237" s="212" t="str">
        <f aca="false">IFERROR(IF(Summary!$D$10="Yes",-K237,""),"")</f>
        <v/>
      </c>
      <c r="U237" s="213" t="str">
        <f aca="false">IFERROR(IF(Summary!$D$12="Yes",-L237,""),"")</f>
        <v/>
      </c>
      <c r="V237" s="216" t="str">
        <f aca="false">IF('Bulk Order Details'!J247="","",SUM(R237:U237))</f>
        <v/>
      </c>
      <c r="W237" s="217" t="str">
        <f aca="false">IF('Bulk Order Details'!J247="","",D237+Q237)</f>
        <v/>
      </c>
      <c r="X237" s="218" t="str">
        <f aca="false">IF('Bulk Order Details'!J247="","",D237+Q237+V237)</f>
        <v/>
      </c>
      <c r="Y237" s="219" t="str">
        <f aca="false">IFERROR((W237-X237)/W237,"")</f>
        <v/>
      </c>
      <c r="Z237" s="220" t="str">
        <f aca="false">IF('Bulk Order Details'!J247="","",MAX(1,'Bulk Order Details'!D247))</f>
        <v/>
      </c>
      <c r="AA237" s="217" t="str">
        <f aca="false">IF(Pricing_Details[[#This Row],[Quantity]]="","",Pricing_Details[[#This Row],[Retail Price]]*Pricing_Details[[#This Row],[Quantity]])</f>
        <v/>
      </c>
      <c r="AB237" s="217" t="str">
        <f aca="false">IF(Pricing_Details[[#This Row],[Quantity]]="","",Pricing_Details[[#This Row],[Total Discount]]*Pricing_Details[[#This Row],[Quantity]])</f>
        <v/>
      </c>
      <c r="AC237" s="221" t="str">
        <f aca="false">IFERROR(ROUND(Pricing_Details[[#This Row],[Actual Price]]*Pricing_Details[[#This Row],[Quantity]],2),"")</f>
        <v/>
      </c>
      <c r="AE237" s="179" t="str">
        <f aca="false">IF('Bulk Order Details'!J247="","",VLOOKUP('Bulk Order Details'!H247,Collection[],3)&amp;VLOOKUP('Bulk Order Details'!J247,Collar[],4)&amp;VLOOKUP('Bulk Order Details'!I247,Sleeve[],4))</f>
        <v/>
      </c>
      <c r="AF237" s="179" t="str">
        <f aca="false">IF('Bulk Order Details'!J247="","",LOOKUP('Bulk Order Details'!E247,Cut[Display],Cut[Code])&amp;LOOKUP('Bulk Order Details'!F247,#REF!,#REF!)&amp;IF('Bulk Order Details'!G247="","",LOOKUP('Bulk Order Details'!G247,Length[Display],Length[Code])))</f>
        <v/>
      </c>
      <c r="AG237" s="179" t="str">
        <f aca="false">IF('Bulk Order Details'!J247="","",IF('Bulk Order Details'!C247="","",'Bulk Order Details'!C247))</f>
        <v/>
      </c>
      <c r="AH237" s="179" t="str">
        <f aca="false">IF('Bulk Order Details'!O247="","","-"&amp;LOOKUP('Bulk Order Details'!O247,#REF!,#REF!))</f>
        <v/>
      </c>
      <c r="AI237" s="179" t="str">
        <f aca="false">IF('Bulk Order Details'!P247="","","-"&amp;LOOKUP('Bulk Order Details'!P247,#REF!,#REF!))</f>
        <v/>
      </c>
      <c r="AJ237" s="179" t="str">
        <f aca="false">IF('Bulk Order Details'!Q247="","","-"&amp;LOOKUP('Bulk Order Details'!Q247,#REF!,#REF!))</f>
        <v/>
      </c>
      <c r="AK237" s="179" t="str">
        <f aca="false">IF('Bulk Order Details'!R247="","","-"&amp;LOOKUP('Bulk Order Details'!R247,#REF!,#REF!))</f>
        <v/>
      </c>
      <c r="AL237" s="179" t="str">
        <f aca="false">IF('Bulk Order Details'!S247="","","-"&amp;LOOKUP('Bulk Order Details'!S247,#REF!,#REF!))</f>
        <v/>
      </c>
      <c r="AM237" s="179" t="str">
        <f aca="false">IF(_xlfn.CONCAT(AH237:AL237)="","","Lo"&amp;_xlfn.CONCAT(AH237:AL237))</f>
        <v/>
      </c>
      <c r="AN237" s="179" t="str">
        <f aca="false">IF('Bulk Order Details'!K247="","","Na-"&amp;'Bulk Order Details'!K247)</f>
        <v/>
      </c>
      <c r="AO237" s="179" t="str">
        <f aca="false">IF('Bulk Order Details'!N247="","","Fo-"&amp;'Bulk Order Details'!N247)</f>
        <v/>
      </c>
      <c r="AP237" s="179" t="str">
        <f aca="false">IF(AE237="","",AE237&amp;"_"&amp;AF237&amp;"_"&amp;AG237&amp;IF(AM237="","","_"&amp;AM237)&amp;IF(AN237="","","_"&amp;AN237)&amp;IF(AO237="","","_"&amp;AO237))</f>
        <v/>
      </c>
      <c r="AQ237" s="218" t="str">
        <f aca="false">IF(X237="","",X237)</f>
        <v/>
      </c>
    </row>
    <row r="238" customFormat="false" ht="15" hidden="false" customHeight="true" outlineLevel="0" collapsed="false">
      <c r="B238" s="209" t="n">
        <f aca="false">'Bulk Order Details'!B248</f>
        <v>235</v>
      </c>
      <c r="C238" s="209" t="e">
        <f aca="false">IF('bulk order details'!#ref!="","",'bulk order details'!#ref!&amp;" "&amp;'bulk order details'!#ref!)</f>
        <v>#VALUE!</v>
      </c>
      <c r="D238" s="210" t="str">
        <f aca="false">IF('Bulk Order Details'!J248="","",VLOOKUP(1,Price[],3))</f>
        <v/>
      </c>
      <c r="E238" s="211" t="str">
        <f aca="false">IF('Bulk Order Details'!J248="","",Summary!$D$9)</f>
        <v/>
      </c>
      <c r="F238" s="212" t="str">
        <f aca="false">IF('Bulk Order Details'!F248="","",_xlfn.xlookup('Bulk Order Details'!F248,Size[Display],Size[Price]))</f>
        <v/>
      </c>
      <c r="G238" s="212" t="str">
        <f aca="false">IF('Bulk Order Details'!G248="","",_xlfn.xlookup('Bulk Order Details'!G248,Length[Display],Length[Price]))</f>
        <v/>
      </c>
      <c r="H238" s="212" t="str">
        <f aca="false">IF('Bulk Order Details'!H248="","",_xlfn.xlookup('Bulk Order Details'!H248,Collection[Display],Collection[Price]))</f>
        <v/>
      </c>
      <c r="I238" s="212" t="str">
        <f aca="false">IF('Bulk Order Details'!I248="","",_xlfn.xlookup('Bulk Order Details'!I248,Sleeve[Display],Sleeve[Price]))</f>
        <v/>
      </c>
      <c r="J238" s="212" t="str">
        <f aca="false">IF('Bulk Order Details'!J248="","",_xlfn.xlookup('Bulk Order Details'!J248,Collar[Display],Collar[Price]))</f>
        <v/>
      </c>
      <c r="K238" s="212" t="str">
        <f aca="false">IF('Bulk Order Details'!K248="","",_xlfn.xlookup("Name",Name[Name],Name[Price]))</f>
        <v/>
      </c>
      <c r="L238" s="213" t="str">
        <f aca="false">IFERROR(IF('Bulk Order Details'!O248="","",IF(_xlfn.xlookup('Bulk Order Details'!O248,Logos[Display],Logos[Use])="Flat",_xlfn.xlookup('Bulk Order Details'!O248,Logos[Display],Logos[Flat]),ROUND(_xlfn.xlookup('Bulk Order Details'!O248,Logos[Display],Logos[Pct])*$E238,2))),"")</f>
        <v/>
      </c>
      <c r="M238" s="222" t="str">
        <f aca="false">IFERROR(IF('Bulk Order Details'!P248="","",IF(_xlfn.xlookup('Bulk Order Details'!P248,Chest[Display],Chest[Use])="Flat",_xlfn.xlookup('Bulk Order Details'!P248,Chest[Display],Chest[Flat]),ROUND(_xlfn.xlookup('Bulk Order Details'!P248,Chest[Display],Chest[Pct])*$E238,2))),"")</f>
        <v/>
      </c>
      <c r="N238" s="222" t="str">
        <f aca="false">IFERROR(IF('Bulk Order Details'!Q248="","",IF(_xlfn.xlookup('Bulk Order Details'!Q248,Chest[Display],Chest[Use])="Flat",_xlfn.xlookup('Bulk Order Details'!Q248,Chest[Display],Chest[Flat]),ROUND(_xlfn.xlookup('Bulk Order Details'!Q248,Chest[Display],Chest[Pct])*$E238,2))),"")</f>
        <v/>
      </c>
      <c r="O238" s="222" t="str">
        <f aca="false">IFERROR(IF('Bulk Order Details'!R248="","",IF(_xlfn.xlookup('Bulk Order Details'!R248,LeftSleeve[Display],LeftSleeve[Use])="Flat",_xlfn.xlookup('Bulk Order Details'!R248,LeftSleeve[Display],LeftSleeve[Flat]),ROUND(_xlfn.xlookup('Bulk Order Details'!R248,LeftSleeve[Display],LeftSleeve[Pct])*$E238,2))),"")</f>
        <v/>
      </c>
      <c r="P238" s="222" t="str">
        <f aca="false">IFERROR(IF('Bulk Order Details'!S248="","",IF(_xlfn.xlookup('Bulk Order Details'!S248,RightSleeve[Display],RightSleeve[Use])="Flat",_xlfn.xlookup('Bulk Order Details'!S248,RightSleeve[Display],RightSleeve[Flat]),ROUND(_xlfn.xlookup('Bulk Order Details'!S248,RightSleeve[Display],RightSleeve[Pct])*$E238,2))),"")</f>
        <v/>
      </c>
      <c r="Q238" s="214" t="str">
        <f aca="false">IF('Bulk Order Details'!J248="","",SUM(F238:P238))</f>
        <v/>
      </c>
      <c r="R238" s="213" t="str">
        <f aca="false">IFERROR(E238-D238,"")</f>
        <v/>
      </c>
      <c r="S238" s="215" t="str">
        <f aca="false">IFERROR(MIN(IF(Summary!$D$11="Yes",-J238,0),IF(H238&gt;0,-J238,0)),"")</f>
        <v/>
      </c>
      <c r="T238" s="212" t="str">
        <f aca="false">IFERROR(IF(Summary!$D$10="Yes",-K238,""),"")</f>
        <v/>
      </c>
      <c r="U238" s="213" t="str">
        <f aca="false">IFERROR(IF(Summary!$D$12="Yes",-L238,""),"")</f>
        <v/>
      </c>
      <c r="V238" s="216" t="str">
        <f aca="false">IF('Bulk Order Details'!J248="","",SUM(R238:U238))</f>
        <v/>
      </c>
      <c r="W238" s="217" t="str">
        <f aca="false">IF('Bulk Order Details'!J248="","",D238+Q238)</f>
        <v/>
      </c>
      <c r="X238" s="218" t="str">
        <f aca="false">IF('Bulk Order Details'!J248="","",D238+Q238+V238)</f>
        <v/>
      </c>
      <c r="Y238" s="219" t="str">
        <f aca="false">IFERROR((W238-X238)/W238,"")</f>
        <v/>
      </c>
      <c r="Z238" s="220" t="str">
        <f aca="false">IF('Bulk Order Details'!J248="","",MAX(1,'Bulk Order Details'!D248))</f>
        <v/>
      </c>
      <c r="AA238" s="217" t="str">
        <f aca="false">IF(Pricing_Details[[#This Row],[Quantity]]="","",Pricing_Details[[#This Row],[Retail Price]]*Pricing_Details[[#This Row],[Quantity]])</f>
        <v/>
      </c>
      <c r="AB238" s="217" t="str">
        <f aca="false">IF(Pricing_Details[[#This Row],[Quantity]]="","",Pricing_Details[[#This Row],[Total Discount]]*Pricing_Details[[#This Row],[Quantity]])</f>
        <v/>
      </c>
      <c r="AC238" s="221" t="str">
        <f aca="false">IFERROR(ROUND(Pricing_Details[[#This Row],[Actual Price]]*Pricing_Details[[#This Row],[Quantity]],2),"")</f>
        <v/>
      </c>
      <c r="AE238" s="179" t="str">
        <f aca="false">IF('Bulk Order Details'!J248="","",VLOOKUP('Bulk Order Details'!H248,Collection[],3)&amp;VLOOKUP('Bulk Order Details'!J248,Collar[],4)&amp;VLOOKUP('Bulk Order Details'!I248,Sleeve[],4))</f>
        <v/>
      </c>
      <c r="AF238" s="179" t="str">
        <f aca="false">IF('Bulk Order Details'!J248="","",LOOKUP('Bulk Order Details'!E248,Cut[Display],Cut[Code])&amp;LOOKUP('Bulk Order Details'!F248,#REF!,#REF!)&amp;IF('Bulk Order Details'!G248="","",LOOKUP('Bulk Order Details'!G248,Length[Display],Length[Code])))</f>
        <v/>
      </c>
      <c r="AG238" s="179" t="str">
        <f aca="false">IF('Bulk Order Details'!J248="","",IF('Bulk Order Details'!C248="","",'Bulk Order Details'!C248))</f>
        <v/>
      </c>
      <c r="AH238" s="179" t="str">
        <f aca="false">IF('Bulk Order Details'!O248="","","-"&amp;LOOKUP('Bulk Order Details'!O248,#REF!,#REF!))</f>
        <v/>
      </c>
      <c r="AI238" s="179" t="str">
        <f aca="false">IF('Bulk Order Details'!P248="","","-"&amp;LOOKUP('Bulk Order Details'!P248,#REF!,#REF!))</f>
        <v/>
      </c>
      <c r="AJ238" s="179" t="str">
        <f aca="false">IF('Bulk Order Details'!Q248="","","-"&amp;LOOKUP('Bulk Order Details'!Q248,#REF!,#REF!))</f>
        <v/>
      </c>
      <c r="AK238" s="179" t="str">
        <f aca="false">IF('Bulk Order Details'!R248="","","-"&amp;LOOKUP('Bulk Order Details'!R248,#REF!,#REF!))</f>
        <v/>
      </c>
      <c r="AL238" s="179" t="str">
        <f aca="false">IF('Bulk Order Details'!S248="","","-"&amp;LOOKUP('Bulk Order Details'!S248,#REF!,#REF!))</f>
        <v/>
      </c>
      <c r="AM238" s="179" t="str">
        <f aca="false">IF(_xlfn.CONCAT(AH238:AL238)="","","Lo"&amp;_xlfn.CONCAT(AH238:AL238))</f>
        <v/>
      </c>
      <c r="AN238" s="179" t="str">
        <f aca="false">IF('Bulk Order Details'!K248="","","Na-"&amp;'Bulk Order Details'!K248)</f>
        <v/>
      </c>
      <c r="AO238" s="179" t="str">
        <f aca="false">IF('Bulk Order Details'!N248="","","Fo-"&amp;'Bulk Order Details'!N248)</f>
        <v/>
      </c>
      <c r="AP238" s="179" t="str">
        <f aca="false">IF(AE238="","",AE238&amp;"_"&amp;AF238&amp;"_"&amp;AG238&amp;IF(AM238="","","_"&amp;AM238)&amp;IF(AN238="","","_"&amp;AN238)&amp;IF(AO238="","","_"&amp;AO238))</f>
        <v/>
      </c>
      <c r="AQ238" s="218" t="str">
        <f aca="false">IF(X238="","",X238)</f>
        <v/>
      </c>
    </row>
    <row r="239" customFormat="false" ht="15" hidden="false" customHeight="true" outlineLevel="0" collapsed="false">
      <c r="B239" s="209" t="n">
        <f aca="false">'Bulk Order Details'!B249</f>
        <v>236</v>
      </c>
      <c r="C239" s="209" t="e">
        <f aca="false">IF('bulk order details'!#ref!="","",'bulk order details'!#ref!&amp;" "&amp;'bulk order details'!#ref!)</f>
        <v>#VALUE!</v>
      </c>
      <c r="D239" s="210" t="str">
        <f aca="false">IF('Bulk Order Details'!J249="","",VLOOKUP(1,Price[],3))</f>
        <v/>
      </c>
      <c r="E239" s="211" t="str">
        <f aca="false">IF('Bulk Order Details'!J249="","",Summary!$D$9)</f>
        <v/>
      </c>
      <c r="F239" s="212" t="str">
        <f aca="false">IF('Bulk Order Details'!F249="","",_xlfn.xlookup('Bulk Order Details'!F249,Size[Display],Size[Price]))</f>
        <v/>
      </c>
      <c r="G239" s="212" t="str">
        <f aca="false">IF('Bulk Order Details'!G249="","",_xlfn.xlookup('Bulk Order Details'!G249,Length[Display],Length[Price]))</f>
        <v/>
      </c>
      <c r="H239" s="212" t="str">
        <f aca="false">IF('Bulk Order Details'!H249="","",_xlfn.xlookup('Bulk Order Details'!H249,Collection[Display],Collection[Price]))</f>
        <v/>
      </c>
      <c r="I239" s="212" t="str">
        <f aca="false">IF('Bulk Order Details'!I249="","",_xlfn.xlookup('Bulk Order Details'!I249,Sleeve[Display],Sleeve[Price]))</f>
        <v/>
      </c>
      <c r="J239" s="212" t="str">
        <f aca="false">IF('Bulk Order Details'!J249="","",_xlfn.xlookup('Bulk Order Details'!J249,Collar[Display],Collar[Price]))</f>
        <v/>
      </c>
      <c r="K239" s="212" t="str">
        <f aca="false">IF('Bulk Order Details'!K249="","",_xlfn.xlookup("Name",Name[Name],Name[Price]))</f>
        <v/>
      </c>
      <c r="L239" s="213" t="str">
        <f aca="false">IFERROR(IF('Bulk Order Details'!O249="","",IF(_xlfn.xlookup('Bulk Order Details'!O249,Logos[Display],Logos[Use])="Flat",_xlfn.xlookup('Bulk Order Details'!O249,Logos[Display],Logos[Flat]),ROUND(_xlfn.xlookup('Bulk Order Details'!O249,Logos[Display],Logos[Pct])*$E239,2))),"")</f>
        <v/>
      </c>
      <c r="M239" s="222" t="str">
        <f aca="false">IFERROR(IF('Bulk Order Details'!P249="","",IF(_xlfn.xlookup('Bulk Order Details'!P249,Chest[Display],Chest[Use])="Flat",_xlfn.xlookup('Bulk Order Details'!P249,Chest[Display],Chest[Flat]),ROUND(_xlfn.xlookup('Bulk Order Details'!P249,Chest[Display],Chest[Pct])*$E239,2))),"")</f>
        <v/>
      </c>
      <c r="N239" s="222" t="str">
        <f aca="false">IFERROR(IF('Bulk Order Details'!Q249="","",IF(_xlfn.xlookup('Bulk Order Details'!Q249,Chest[Display],Chest[Use])="Flat",_xlfn.xlookup('Bulk Order Details'!Q249,Chest[Display],Chest[Flat]),ROUND(_xlfn.xlookup('Bulk Order Details'!Q249,Chest[Display],Chest[Pct])*$E239,2))),"")</f>
        <v/>
      </c>
      <c r="O239" s="222" t="str">
        <f aca="false">IFERROR(IF('Bulk Order Details'!R249="","",IF(_xlfn.xlookup('Bulk Order Details'!R249,LeftSleeve[Display],LeftSleeve[Use])="Flat",_xlfn.xlookup('Bulk Order Details'!R249,LeftSleeve[Display],LeftSleeve[Flat]),ROUND(_xlfn.xlookup('Bulk Order Details'!R249,LeftSleeve[Display],LeftSleeve[Pct])*$E239,2))),"")</f>
        <v/>
      </c>
      <c r="P239" s="222" t="str">
        <f aca="false">IFERROR(IF('Bulk Order Details'!S249="","",IF(_xlfn.xlookup('Bulk Order Details'!S249,RightSleeve[Display],RightSleeve[Use])="Flat",_xlfn.xlookup('Bulk Order Details'!S249,RightSleeve[Display],RightSleeve[Flat]),ROUND(_xlfn.xlookup('Bulk Order Details'!S249,RightSleeve[Display],RightSleeve[Pct])*$E239,2))),"")</f>
        <v/>
      </c>
      <c r="Q239" s="214" t="str">
        <f aca="false">IF('Bulk Order Details'!J249="","",SUM(F239:P239))</f>
        <v/>
      </c>
      <c r="R239" s="213" t="str">
        <f aca="false">IFERROR(E239-D239,"")</f>
        <v/>
      </c>
      <c r="S239" s="215" t="str">
        <f aca="false">IFERROR(MIN(IF(Summary!$D$11="Yes",-J239,0),IF(H239&gt;0,-J239,0)),"")</f>
        <v/>
      </c>
      <c r="T239" s="212" t="str">
        <f aca="false">IFERROR(IF(Summary!$D$10="Yes",-K239,""),"")</f>
        <v/>
      </c>
      <c r="U239" s="213" t="str">
        <f aca="false">IFERROR(IF(Summary!$D$12="Yes",-L239,""),"")</f>
        <v/>
      </c>
      <c r="V239" s="216" t="str">
        <f aca="false">IF('Bulk Order Details'!J249="","",SUM(R239:U239))</f>
        <v/>
      </c>
      <c r="W239" s="217" t="str">
        <f aca="false">IF('Bulk Order Details'!J249="","",D239+Q239)</f>
        <v/>
      </c>
      <c r="X239" s="218" t="str">
        <f aca="false">IF('Bulk Order Details'!J249="","",D239+Q239+V239)</f>
        <v/>
      </c>
      <c r="Y239" s="219" t="str">
        <f aca="false">IFERROR((W239-X239)/W239,"")</f>
        <v/>
      </c>
      <c r="Z239" s="220" t="str">
        <f aca="false">IF('Bulk Order Details'!J249="","",MAX(1,'Bulk Order Details'!D249))</f>
        <v/>
      </c>
      <c r="AA239" s="217" t="str">
        <f aca="false">IF(Pricing_Details[[#This Row],[Quantity]]="","",Pricing_Details[[#This Row],[Retail Price]]*Pricing_Details[[#This Row],[Quantity]])</f>
        <v/>
      </c>
      <c r="AB239" s="217" t="str">
        <f aca="false">IF(Pricing_Details[[#This Row],[Quantity]]="","",Pricing_Details[[#This Row],[Total Discount]]*Pricing_Details[[#This Row],[Quantity]])</f>
        <v/>
      </c>
      <c r="AC239" s="221" t="str">
        <f aca="false">IFERROR(ROUND(Pricing_Details[[#This Row],[Actual Price]]*Pricing_Details[[#This Row],[Quantity]],2),"")</f>
        <v/>
      </c>
      <c r="AE239" s="179" t="str">
        <f aca="false">IF('Bulk Order Details'!J249="","",VLOOKUP('Bulk Order Details'!H249,Collection[],3)&amp;VLOOKUP('Bulk Order Details'!J249,Collar[],4)&amp;VLOOKUP('Bulk Order Details'!I249,Sleeve[],4))</f>
        <v/>
      </c>
      <c r="AF239" s="179" t="str">
        <f aca="false">IF('Bulk Order Details'!J249="","",LOOKUP('Bulk Order Details'!E249,Cut[Display],Cut[Code])&amp;LOOKUP('Bulk Order Details'!F249,#REF!,#REF!)&amp;IF('Bulk Order Details'!G249="","",LOOKUP('Bulk Order Details'!G249,Length[Display],Length[Code])))</f>
        <v/>
      </c>
      <c r="AG239" s="179" t="str">
        <f aca="false">IF('Bulk Order Details'!J249="","",IF('Bulk Order Details'!C249="","",'Bulk Order Details'!C249))</f>
        <v/>
      </c>
      <c r="AH239" s="179" t="str">
        <f aca="false">IF('Bulk Order Details'!O249="","","-"&amp;LOOKUP('Bulk Order Details'!O249,#REF!,#REF!))</f>
        <v/>
      </c>
      <c r="AI239" s="179" t="str">
        <f aca="false">IF('Bulk Order Details'!P249="","","-"&amp;LOOKUP('Bulk Order Details'!P249,#REF!,#REF!))</f>
        <v/>
      </c>
      <c r="AJ239" s="179" t="str">
        <f aca="false">IF('Bulk Order Details'!Q249="","","-"&amp;LOOKUP('Bulk Order Details'!Q249,#REF!,#REF!))</f>
        <v/>
      </c>
      <c r="AK239" s="179" t="str">
        <f aca="false">IF('Bulk Order Details'!R249="","","-"&amp;LOOKUP('Bulk Order Details'!R249,#REF!,#REF!))</f>
        <v/>
      </c>
      <c r="AL239" s="179" t="str">
        <f aca="false">IF('Bulk Order Details'!S249="","","-"&amp;LOOKUP('Bulk Order Details'!S249,#REF!,#REF!))</f>
        <v/>
      </c>
      <c r="AM239" s="179" t="str">
        <f aca="false">IF(_xlfn.CONCAT(AH239:AL239)="","","Lo"&amp;_xlfn.CONCAT(AH239:AL239))</f>
        <v/>
      </c>
      <c r="AN239" s="179" t="str">
        <f aca="false">IF('Bulk Order Details'!K249="","","Na-"&amp;'Bulk Order Details'!K249)</f>
        <v/>
      </c>
      <c r="AO239" s="179" t="str">
        <f aca="false">IF('Bulk Order Details'!N249="","","Fo-"&amp;'Bulk Order Details'!N249)</f>
        <v/>
      </c>
      <c r="AP239" s="179" t="str">
        <f aca="false">IF(AE239="","",AE239&amp;"_"&amp;AF239&amp;"_"&amp;AG239&amp;IF(AM239="","","_"&amp;AM239)&amp;IF(AN239="","","_"&amp;AN239)&amp;IF(AO239="","","_"&amp;AO239))</f>
        <v/>
      </c>
      <c r="AQ239" s="218" t="str">
        <f aca="false">IF(X239="","",X239)</f>
        <v/>
      </c>
    </row>
    <row r="240" customFormat="false" ht="15" hidden="false" customHeight="true" outlineLevel="0" collapsed="false">
      <c r="B240" s="209" t="n">
        <f aca="false">'Bulk Order Details'!B250</f>
        <v>237</v>
      </c>
      <c r="C240" s="209" t="e">
        <f aca="false">IF('bulk order details'!#ref!="","",'bulk order details'!#ref!&amp;" "&amp;'bulk order details'!#ref!)</f>
        <v>#VALUE!</v>
      </c>
      <c r="D240" s="210" t="str">
        <f aca="false">IF('Bulk Order Details'!J250="","",VLOOKUP(1,Price[],3))</f>
        <v/>
      </c>
      <c r="E240" s="211" t="str">
        <f aca="false">IF('Bulk Order Details'!J250="","",Summary!$D$9)</f>
        <v/>
      </c>
      <c r="F240" s="212" t="str">
        <f aca="false">IF('Bulk Order Details'!F250="","",_xlfn.xlookup('Bulk Order Details'!F250,Size[Display],Size[Price]))</f>
        <v/>
      </c>
      <c r="G240" s="212" t="str">
        <f aca="false">IF('Bulk Order Details'!G250="","",_xlfn.xlookup('Bulk Order Details'!G250,Length[Display],Length[Price]))</f>
        <v/>
      </c>
      <c r="H240" s="212" t="str">
        <f aca="false">IF('Bulk Order Details'!H250="","",_xlfn.xlookup('Bulk Order Details'!H250,Collection[Display],Collection[Price]))</f>
        <v/>
      </c>
      <c r="I240" s="212" t="str">
        <f aca="false">IF('Bulk Order Details'!I250="","",_xlfn.xlookup('Bulk Order Details'!I250,Sleeve[Display],Sleeve[Price]))</f>
        <v/>
      </c>
      <c r="J240" s="212" t="str">
        <f aca="false">IF('Bulk Order Details'!J250="","",_xlfn.xlookup('Bulk Order Details'!J250,Collar[Display],Collar[Price]))</f>
        <v/>
      </c>
      <c r="K240" s="212" t="str">
        <f aca="false">IF('Bulk Order Details'!K250="","",_xlfn.xlookup("Name",Name[Name],Name[Price]))</f>
        <v/>
      </c>
      <c r="L240" s="213" t="str">
        <f aca="false">IFERROR(IF('Bulk Order Details'!O250="","",IF(_xlfn.xlookup('Bulk Order Details'!O250,Logos[Display],Logos[Use])="Flat",_xlfn.xlookup('Bulk Order Details'!O250,Logos[Display],Logos[Flat]),ROUND(_xlfn.xlookup('Bulk Order Details'!O250,Logos[Display],Logos[Pct])*$E240,2))),"")</f>
        <v/>
      </c>
      <c r="M240" s="222" t="str">
        <f aca="false">IFERROR(IF('Bulk Order Details'!P250="","",IF(_xlfn.xlookup('Bulk Order Details'!P250,Chest[Display],Chest[Use])="Flat",_xlfn.xlookup('Bulk Order Details'!P250,Chest[Display],Chest[Flat]),ROUND(_xlfn.xlookup('Bulk Order Details'!P250,Chest[Display],Chest[Pct])*$E240,2))),"")</f>
        <v/>
      </c>
      <c r="N240" s="222" t="str">
        <f aca="false">IFERROR(IF('Bulk Order Details'!Q250="","",IF(_xlfn.xlookup('Bulk Order Details'!Q250,Chest[Display],Chest[Use])="Flat",_xlfn.xlookup('Bulk Order Details'!Q250,Chest[Display],Chest[Flat]),ROUND(_xlfn.xlookup('Bulk Order Details'!Q250,Chest[Display],Chest[Pct])*$E240,2))),"")</f>
        <v/>
      </c>
      <c r="O240" s="222" t="str">
        <f aca="false">IFERROR(IF('Bulk Order Details'!R250="","",IF(_xlfn.xlookup('Bulk Order Details'!R250,LeftSleeve[Display],LeftSleeve[Use])="Flat",_xlfn.xlookup('Bulk Order Details'!R250,LeftSleeve[Display],LeftSleeve[Flat]),ROUND(_xlfn.xlookup('Bulk Order Details'!R250,LeftSleeve[Display],LeftSleeve[Pct])*$E240,2))),"")</f>
        <v/>
      </c>
      <c r="P240" s="222" t="str">
        <f aca="false">IFERROR(IF('Bulk Order Details'!S250="","",IF(_xlfn.xlookup('Bulk Order Details'!S250,RightSleeve[Display],RightSleeve[Use])="Flat",_xlfn.xlookup('Bulk Order Details'!S250,RightSleeve[Display],RightSleeve[Flat]),ROUND(_xlfn.xlookup('Bulk Order Details'!S250,RightSleeve[Display],RightSleeve[Pct])*$E240,2))),"")</f>
        <v/>
      </c>
      <c r="Q240" s="214" t="str">
        <f aca="false">IF('Bulk Order Details'!J250="","",SUM(F240:P240))</f>
        <v/>
      </c>
      <c r="R240" s="213" t="str">
        <f aca="false">IFERROR(E240-D240,"")</f>
        <v/>
      </c>
      <c r="S240" s="215" t="str">
        <f aca="false">IFERROR(MIN(IF(Summary!$D$11="Yes",-J240,0),IF(H240&gt;0,-J240,0)),"")</f>
        <v/>
      </c>
      <c r="T240" s="212" t="str">
        <f aca="false">IFERROR(IF(Summary!$D$10="Yes",-K240,""),"")</f>
        <v/>
      </c>
      <c r="U240" s="213" t="str">
        <f aca="false">IFERROR(IF(Summary!$D$12="Yes",-L240,""),"")</f>
        <v/>
      </c>
      <c r="V240" s="216" t="str">
        <f aca="false">IF('Bulk Order Details'!J250="","",SUM(R240:U240))</f>
        <v/>
      </c>
      <c r="W240" s="217" t="str">
        <f aca="false">IF('Bulk Order Details'!J250="","",D240+Q240)</f>
        <v/>
      </c>
      <c r="X240" s="218" t="str">
        <f aca="false">IF('Bulk Order Details'!J250="","",D240+Q240+V240)</f>
        <v/>
      </c>
      <c r="Y240" s="219" t="str">
        <f aca="false">IFERROR((W240-X240)/W240,"")</f>
        <v/>
      </c>
      <c r="Z240" s="220" t="str">
        <f aca="false">IF('Bulk Order Details'!J250="","",MAX(1,'Bulk Order Details'!D250))</f>
        <v/>
      </c>
      <c r="AA240" s="217" t="str">
        <f aca="false">IF(Pricing_Details[[#This Row],[Quantity]]="","",Pricing_Details[[#This Row],[Retail Price]]*Pricing_Details[[#This Row],[Quantity]])</f>
        <v/>
      </c>
      <c r="AB240" s="217" t="str">
        <f aca="false">IF(Pricing_Details[[#This Row],[Quantity]]="","",Pricing_Details[[#This Row],[Total Discount]]*Pricing_Details[[#This Row],[Quantity]])</f>
        <v/>
      </c>
      <c r="AC240" s="221" t="str">
        <f aca="false">IFERROR(ROUND(Pricing_Details[[#This Row],[Actual Price]]*Pricing_Details[[#This Row],[Quantity]],2),"")</f>
        <v/>
      </c>
      <c r="AE240" s="179" t="str">
        <f aca="false">IF('Bulk Order Details'!J250="","",VLOOKUP('Bulk Order Details'!H250,Collection[],3)&amp;VLOOKUP('Bulk Order Details'!J250,Collar[],4)&amp;VLOOKUP('Bulk Order Details'!I250,Sleeve[],4))</f>
        <v/>
      </c>
      <c r="AF240" s="179" t="str">
        <f aca="false">IF('Bulk Order Details'!J250="","",LOOKUP('Bulk Order Details'!E250,Cut[Display],Cut[Code])&amp;LOOKUP('Bulk Order Details'!F250,#REF!,#REF!)&amp;IF('Bulk Order Details'!G250="","",LOOKUP('Bulk Order Details'!G250,Length[Display],Length[Code])))</f>
        <v/>
      </c>
      <c r="AG240" s="179" t="str">
        <f aca="false">IF('Bulk Order Details'!J250="","",IF('Bulk Order Details'!C250="","",'Bulk Order Details'!C250))</f>
        <v/>
      </c>
      <c r="AH240" s="179" t="str">
        <f aca="false">IF('Bulk Order Details'!O250="","","-"&amp;LOOKUP('Bulk Order Details'!O250,#REF!,#REF!))</f>
        <v/>
      </c>
      <c r="AI240" s="179" t="str">
        <f aca="false">IF('Bulk Order Details'!P250="","","-"&amp;LOOKUP('Bulk Order Details'!P250,#REF!,#REF!))</f>
        <v/>
      </c>
      <c r="AJ240" s="179" t="str">
        <f aca="false">IF('Bulk Order Details'!Q250="","","-"&amp;LOOKUP('Bulk Order Details'!Q250,#REF!,#REF!))</f>
        <v/>
      </c>
      <c r="AK240" s="179" t="str">
        <f aca="false">IF('Bulk Order Details'!R250="","","-"&amp;LOOKUP('Bulk Order Details'!R250,#REF!,#REF!))</f>
        <v/>
      </c>
      <c r="AL240" s="179" t="str">
        <f aca="false">IF('Bulk Order Details'!S250="","","-"&amp;LOOKUP('Bulk Order Details'!S250,#REF!,#REF!))</f>
        <v/>
      </c>
      <c r="AM240" s="179" t="str">
        <f aca="false">IF(_xlfn.CONCAT(AH240:AL240)="","","Lo"&amp;_xlfn.CONCAT(AH240:AL240))</f>
        <v/>
      </c>
      <c r="AN240" s="179" t="str">
        <f aca="false">IF('Bulk Order Details'!K250="","","Na-"&amp;'Bulk Order Details'!K250)</f>
        <v/>
      </c>
      <c r="AO240" s="179" t="str">
        <f aca="false">IF('Bulk Order Details'!N250="","","Fo-"&amp;'Bulk Order Details'!N250)</f>
        <v/>
      </c>
      <c r="AP240" s="179" t="str">
        <f aca="false">IF(AE240="","",AE240&amp;"_"&amp;AF240&amp;"_"&amp;AG240&amp;IF(AM240="","","_"&amp;AM240)&amp;IF(AN240="","","_"&amp;AN240)&amp;IF(AO240="","","_"&amp;AO240))</f>
        <v/>
      </c>
      <c r="AQ240" s="218" t="str">
        <f aca="false">IF(X240="","",X240)</f>
        <v/>
      </c>
    </row>
    <row r="241" customFormat="false" ht="15" hidden="false" customHeight="true" outlineLevel="0" collapsed="false">
      <c r="B241" s="209" t="n">
        <f aca="false">'Bulk Order Details'!B251</f>
        <v>238</v>
      </c>
      <c r="C241" s="209" t="e">
        <f aca="false">IF('bulk order details'!#ref!="","",'bulk order details'!#ref!&amp;" "&amp;'bulk order details'!#ref!)</f>
        <v>#VALUE!</v>
      </c>
      <c r="D241" s="210" t="str">
        <f aca="false">IF('Bulk Order Details'!J251="","",VLOOKUP(1,Price[],3))</f>
        <v/>
      </c>
      <c r="E241" s="211" t="str">
        <f aca="false">IF('Bulk Order Details'!J251="","",Summary!$D$9)</f>
        <v/>
      </c>
      <c r="F241" s="212" t="str">
        <f aca="false">IF('Bulk Order Details'!F251="","",_xlfn.xlookup('Bulk Order Details'!F251,Size[Display],Size[Price]))</f>
        <v/>
      </c>
      <c r="G241" s="212" t="str">
        <f aca="false">IF('Bulk Order Details'!G251="","",_xlfn.xlookup('Bulk Order Details'!G251,Length[Display],Length[Price]))</f>
        <v/>
      </c>
      <c r="H241" s="212" t="str">
        <f aca="false">IF('Bulk Order Details'!H251="","",_xlfn.xlookup('Bulk Order Details'!H251,Collection[Display],Collection[Price]))</f>
        <v/>
      </c>
      <c r="I241" s="212" t="str">
        <f aca="false">IF('Bulk Order Details'!I251="","",_xlfn.xlookup('Bulk Order Details'!I251,Sleeve[Display],Sleeve[Price]))</f>
        <v/>
      </c>
      <c r="J241" s="212" t="str">
        <f aca="false">IF('Bulk Order Details'!J251="","",_xlfn.xlookup('Bulk Order Details'!J251,Collar[Display],Collar[Price]))</f>
        <v/>
      </c>
      <c r="K241" s="212" t="str">
        <f aca="false">IF('Bulk Order Details'!K251="","",_xlfn.xlookup("Name",Name[Name],Name[Price]))</f>
        <v/>
      </c>
      <c r="L241" s="213" t="str">
        <f aca="false">IFERROR(IF('Bulk Order Details'!O251="","",IF(_xlfn.xlookup('Bulk Order Details'!O251,Logos[Display],Logos[Use])="Flat",_xlfn.xlookup('Bulk Order Details'!O251,Logos[Display],Logos[Flat]),ROUND(_xlfn.xlookup('Bulk Order Details'!O251,Logos[Display],Logos[Pct])*$E241,2))),"")</f>
        <v/>
      </c>
      <c r="M241" s="222" t="str">
        <f aca="false">IFERROR(IF('Bulk Order Details'!P251="","",IF(_xlfn.xlookup('Bulk Order Details'!P251,Chest[Display],Chest[Use])="Flat",_xlfn.xlookup('Bulk Order Details'!P251,Chest[Display],Chest[Flat]),ROUND(_xlfn.xlookup('Bulk Order Details'!P251,Chest[Display],Chest[Pct])*$E241,2))),"")</f>
        <v/>
      </c>
      <c r="N241" s="222" t="str">
        <f aca="false">IFERROR(IF('Bulk Order Details'!Q251="","",IF(_xlfn.xlookup('Bulk Order Details'!Q251,Chest[Display],Chest[Use])="Flat",_xlfn.xlookup('Bulk Order Details'!Q251,Chest[Display],Chest[Flat]),ROUND(_xlfn.xlookup('Bulk Order Details'!Q251,Chest[Display],Chest[Pct])*$E241,2))),"")</f>
        <v/>
      </c>
      <c r="O241" s="222" t="str">
        <f aca="false">IFERROR(IF('Bulk Order Details'!R251="","",IF(_xlfn.xlookup('Bulk Order Details'!R251,LeftSleeve[Display],LeftSleeve[Use])="Flat",_xlfn.xlookup('Bulk Order Details'!R251,LeftSleeve[Display],LeftSleeve[Flat]),ROUND(_xlfn.xlookup('Bulk Order Details'!R251,LeftSleeve[Display],LeftSleeve[Pct])*$E241,2))),"")</f>
        <v/>
      </c>
      <c r="P241" s="222" t="str">
        <f aca="false">IFERROR(IF('Bulk Order Details'!S251="","",IF(_xlfn.xlookup('Bulk Order Details'!S251,RightSleeve[Display],RightSleeve[Use])="Flat",_xlfn.xlookup('Bulk Order Details'!S251,RightSleeve[Display],RightSleeve[Flat]),ROUND(_xlfn.xlookup('Bulk Order Details'!S251,RightSleeve[Display],RightSleeve[Pct])*$E241,2))),"")</f>
        <v/>
      </c>
      <c r="Q241" s="214" t="str">
        <f aca="false">IF('Bulk Order Details'!J251="","",SUM(F241:P241))</f>
        <v/>
      </c>
      <c r="R241" s="213" t="str">
        <f aca="false">IFERROR(E241-D241,"")</f>
        <v/>
      </c>
      <c r="S241" s="215" t="str">
        <f aca="false">IFERROR(MIN(IF(Summary!$D$11="Yes",-J241,0),IF(H241&gt;0,-J241,0)),"")</f>
        <v/>
      </c>
      <c r="T241" s="212" t="str">
        <f aca="false">IFERROR(IF(Summary!$D$10="Yes",-K241,""),"")</f>
        <v/>
      </c>
      <c r="U241" s="213" t="str">
        <f aca="false">IFERROR(IF(Summary!$D$12="Yes",-L241,""),"")</f>
        <v/>
      </c>
      <c r="V241" s="216" t="str">
        <f aca="false">IF('Bulk Order Details'!J251="","",SUM(R241:U241))</f>
        <v/>
      </c>
      <c r="W241" s="217" t="str">
        <f aca="false">IF('Bulk Order Details'!J251="","",D241+Q241)</f>
        <v/>
      </c>
      <c r="X241" s="218" t="str">
        <f aca="false">IF('Bulk Order Details'!J251="","",D241+Q241+V241)</f>
        <v/>
      </c>
      <c r="Y241" s="219" t="str">
        <f aca="false">IFERROR((W241-X241)/W241,"")</f>
        <v/>
      </c>
      <c r="Z241" s="220" t="str">
        <f aca="false">IF('Bulk Order Details'!J251="","",MAX(1,'Bulk Order Details'!D251))</f>
        <v/>
      </c>
      <c r="AA241" s="217" t="str">
        <f aca="false">IF(Pricing_Details[[#This Row],[Quantity]]="","",Pricing_Details[[#This Row],[Retail Price]]*Pricing_Details[[#This Row],[Quantity]])</f>
        <v/>
      </c>
      <c r="AB241" s="217" t="str">
        <f aca="false">IF(Pricing_Details[[#This Row],[Quantity]]="","",Pricing_Details[[#This Row],[Total Discount]]*Pricing_Details[[#This Row],[Quantity]])</f>
        <v/>
      </c>
      <c r="AC241" s="221" t="str">
        <f aca="false">IFERROR(ROUND(Pricing_Details[[#This Row],[Actual Price]]*Pricing_Details[[#This Row],[Quantity]],2),"")</f>
        <v/>
      </c>
      <c r="AE241" s="179" t="str">
        <f aca="false">IF('Bulk Order Details'!J251="","",VLOOKUP('Bulk Order Details'!H251,Collection[],3)&amp;VLOOKUP('Bulk Order Details'!J251,Collar[],4)&amp;VLOOKUP('Bulk Order Details'!I251,Sleeve[],4))</f>
        <v/>
      </c>
      <c r="AF241" s="179" t="str">
        <f aca="false">IF('Bulk Order Details'!J251="","",LOOKUP('Bulk Order Details'!E251,Cut[Display],Cut[Code])&amp;LOOKUP('Bulk Order Details'!F251,#REF!,#REF!)&amp;IF('Bulk Order Details'!G251="","",LOOKUP('Bulk Order Details'!G251,Length[Display],Length[Code])))</f>
        <v/>
      </c>
      <c r="AG241" s="179" t="str">
        <f aca="false">IF('Bulk Order Details'!J251="","",IF('Bulk Order Details'!C251="","",'Bulk Order Details'!C251))</f>
        <v/>
      </c>
      <c r="AH241" s="179" t="str">
        <f aca="false">IF('Bulk Order Details'!O251="","","-"&amp;LOOKUP('Bulk Order Details'!O251,#REF!,#REF!))</f>
        <v/>
      </c>
      <c r="AI241" s="179" t="str">
        <f aca="false">IF('Bulk Order Details'!P251="","","-"&amp;LOOKUP('Bulk Order Details'!P251,#REF!,#REF!))</f>
        <v/>
      </c>
      <c r="AJ241" s="179" t="str">
        <f aca="false">IF('Bulk Order Details'!Q251="","","-"&amp;LOOKUP('Bulk Order Details'!Q251,#REF!,#REF!))</f>
        <v/>
      </c>
      <c r="AK241" s="179" t="str">
        <f aca="false">IF('Bulk Order Details'!R251="","","-"&amp;LOOKUP('Bulk Order Details'!R251,#REF!,#REF!))</f>
        <v/>
      </c>
      <c r="AL241" s="179" t="str">
        <f aca="false">IF('Bulk Order Details'!S251="","","-"&amp;LOOKUP('Bulk Order Details'!S251,#REF!,#REF!))</f>
        <v/>
      </c>
      <c r="AM241" s="179" t="str">
        <f aca="false">IF(_xlfn.CONCAT(AH241:AL241)="","","Lo"&amp;_xlfn.CONCAT(AH241:AL241))</f>
        <v/>
      </c>
      <c r="AN241" s="179" t="str">
        <f aca="false">IF('Bulk Order Details'!K251="","","Na-"&amp;'Bulk Order Details'!K251)</f>
        <v/>
      </c>
      <c r="AO241" s="179" t="str">
        <f aca="false">IF('Bulk Order Details'!N251="","","Fo-"&amp;'Bulk Order Details'!N251)</f>
        <v/>
      </c>
      <c r="AP241" s="179" t="str">
        <f aca="false">IF(AE241="","",AE241&amp;"_"&amp;AF241&amp;"_"&amp;AG241&amp;IF(AM241="","","_"&amp;AM241)&amp;IF(AN241="","","_"&amp;AN241)&amp;IF(AO241="","","_"&amp;AO241))</f>
        <v/>
      </c>
      <c r="AQ241" s="218" t="str">
        <f aca="false">IF(X241="","",X241)</f>
        <v/>
      </c>
    </row>
    <row r="242" customFormat="false" ht="15" hidden="false" customHeight="true" outlineLevel="0" collapsed="false">
      <c r="B242" s="209" t="n">
        <f aca="false">'Bulk Order Details'!B252</f>
        <v>239</v>
      </c>
      <c r="C242" s="209" t="e">
        <f aca="false">IF('bulk order details'!#ref!="","",'bulk order details'!#ref!&amp;" "&amp;'bulk order details'!#ref!)</f>
        <v>#VALUE!</v>
      </c>
      <c r="D242" s="210" t="str">
        <f aca="false">IF('Bulk Order Details'!J252="","",VLOOKUP(1,Price[],3))</f>
        <v/>
      </c>
      <c r="E242" s="211" t="str">
        <f aca="false">IF('Bulk Order Details'!J252="","",Summary!$D$9)</f>
        <v/>
      </c>
      <c r="F242" s="212" t="str">
        <f aca="false">IF('Bulk Order Details'!F252="","",_xlfn.xlookup('Bulk Order Details'!F252,Size[Display],Size[Price]))</f>
        <v/>
      </c>
      <c r="G242" s="212" t="str">
        <f aca="false">IF('Bulk Order Details'!G252="","",_xlfn.xlookup('Bulk Order Details'!G252,Length[Display],Length[Price]))</f>
        <v/>
      </c>
      <c r="H242" s="212" t="str">
        <f aca="false">IF('Bulk Order Details'!H252="","",_xlfn.xlookup('Bulk Order Details'!H252,Collection[Display],Collection[Price]))</f>
        <v/>
      </c>
      <c r="I242" s="212" t="str">
        <f aca="false">IF('Bulk Order Details'!I252="","",_xlfn.xlookup('Bulk Order Details'!I252,Sleeve[Display],Sleeve[Price]))</f>
        <v/>
      </c>
      <c r="J242" s="212" t="str">
        <f aca="false">IF('Bulk Order Details'!J252="","",_xlfn.xlookup('Bulk Order Details'!J252,Collar[Display],Collar[Price]))</f>
        <v/>
      </c>
      <c r="K242" s="212" t="str">
        <f aca="false">IF('Bulk Order Details'!K252="","",_xlfn.xlookup("Name",Name[Name],Name[Price]))</f>
        <v/>
      </c>
      <c r="L242" s="213" t="str">
        <f aca="false">IFERROR(IF('Bulk Order Details'!O252="","",IF(_xlfn.xlookup('Bulk Order Details'!O252,Logos[Display],Logos[Use])="Flat",_xlfn.xlookup('Bulk Order Details'!O252,Logos[Display],Logos[Flat]),ROUND(_xlfn.xlookup('Bulk Order Details'!O252,Logos[Display],Logos[Pct])*$E242,2))),"")</f>
        <v/>
      </c>
      <c r="M242" s="222" t="str">
        <f aca="false">IFERROR(IF('Bulk Order Details'!P252="","",IF(_xlfn.xlookup('Bulk Order Details'!P252,Chest[Display],Chest[Use])="Flat",_xlfn.xlookup('Bulk Order Details'!P252,Chest[Display],Chest[Flat]),ROUND(_xlfn.xlookup('Bulk Order Details'!P252,Chest[Display],Chest[Pct])*$E242,2))),"")</f>
        <v/>
      </c>
      <c r="N242" s="222" t="str">
        <f aca="false">IFERROR(IF('Bulk Order Details'!Q252="","",IF(_xlfn.xlookup('Bulk Order Details'!Q252,Chest[Display],Chest[Use])="Flat",_xlfn.xlookup('Bulk Order Details'!Q252,Chest[Display],Chest[Flat]),ROUND(_xlfn.xlookup('Bulk Order Details'!Q252,Chest[Display],Chest[Pct])*$E242,2))),"")</f>
        <v/>
      </c>
      <c r="O242" s="222" t="str">
        <f aca="false">IFERROR(IF('Bulk Order Details'!R252="","",IF(_xlfn.xlookup('Bulk Order Details'!R252,LeftSleeve[Display],LeftSleeve[Use])="Flat",_xlfn.xlookup('Bulk Order Details'!R252,LeftSleeve[Display],LeftSleeve[Flat]),ROUND(_xlfn.xlookup('Bulk Order Details'!R252,LeftSleeve[Display],LeftSleeve[Pct])*$E242,2))),"")</f>
        <v/>
      </c>
      <c r="P242" s="222" t="str">
        <f aca="false">IFERROR(IF('Bulk Order Details'!S252="","",IF(_xlfn.xlookup('Bulk Order Details'!S252,RightSleeve[Display],RightSleeve[Use])="Flat",_xlfn.xlookup('Bulk Order Details'!S252,RightSleeve[Display],RightSleeve[Flat]),ROUND(_xlfn.xlookup('Bulk Order Details'!S252,RightSleeve[Display],RightSleeve[Pct])*$E242,2))),"")</f>
        <v/>
      </c>
      <c r="Q242" s="214" t="str">
        <f aca="false">IF('Bulk Order Details'!J252="","",SUM(F242:P242))</f>
        <v/>
      </c>
      <c r="R242" s="213" t="str">
        <f aca="false">IFERROR(E242-D242,"")</f>
        <v/>
      </c>
      <c r="S242" s="215" t="str">
        <f aca="false">IFERROR(MIN(IF(Summary!$D$11="Yes",-J242,0),IF(H242&gt;0,-J242,0)),"")</f>
        <v/>
      </c>
      <c r="T242" s="212" t="str">
        <f aca="false">IFERROR(IF(Summary!$D$10="Yes",-K242,""),"")</f>
        <v/>
      </c>
      <c r="U242" s="213" t="str">
        <f aca="false">IFERROR(IF(Summary!$D$12="Yes",-L242,""),"")</f>
        <v/>
      </c>
      <c r="V242" s="216" t="str">
        <f aca="false">IF('Bulk Order Details'!J252="","",SUM(R242:U242))</f>
        <v/>
      </c>
      <c r="W242" s="217" t="str">
        <f aca="false">IF('Bulk Order Details'!J252="","",D242+Q242)</f>
        <v/>
      </c>
      <c r="X242" s="218" t="str">
        <f aca="false">IF('Bulk Order Details'!J252="","",D242+Q242+V242)</f>
        <v/>
      </c>
      <c r="Y242" s="219" t="str">
        <f aca="false">IFERROR((W242-X242)/W242,"")</f>
        <v/>
      </c>
      <c r="Z242" s="220" t="str">
        <f aca="false">IF('Bulk Order Details'!J252="","",MAX(1,'Bulk Order Details'!D252))</f>
        <v/>
      </c>
      <c r="AA242" s="217" t="str">
        <f aca="false">IF(Pricing_Details[[#This Row],[Quantity]]="","",Pricing_Details[[#This Row],[Retail Price]]*Pricing_Details[[#This Row],[Quantity]])</f>
        <v/>
      </c>
      <c r="AB242" s="217" t="str">
        <f aca="false">IF(Pricing_Details[[#This Row],[Quantity]]="","",Pricing_Details[[#This Row],[Total Discount]]*Pricing_Details[[#This Row],[Quantity]])</f>
        <v/>
      </c>
      <c r="AC242" s="221" t="str">
        <f aca="false">IFERROR(ROUND(Pricing_Details[[#This Row],[Actual Price]]*Pricing_Details[[#This Row],[Quantity]],2),"")</f>
        <v/>
      </c>
      <c r="AE242" s="179" t="str">
        <f aca="false">IF('Bulk Order Details'!J252="","",VLOOKUP('Bulk Order Details'!H252,Collection[],3)&amp;VLOOKUP('Bulk Order Details'!J252,Collar[],4)&amp;VLOOKUP('Bulk Order Details'!I252,Sleeve[],4))</f>
        <v/>
      </c>
      <c r="AF242" s="179" t="str">
        <f aca="false">IF('Bulk Order Details'!J252="","",LOOKUP('Bulk Order Details'!E252,Cut[Display],Cut[Code])&amp;LOOKUP('Bulk Order Details'!F252,#REF!,#REF!)&amp;IF('Bulk Order Details'!G252="","",LOOKUP('Bulk Order Details'!G252,Length[Display],Length[Code])))</f>
        <v/>
      </c>
      <c r="AG242" s="179" t="str">
        <f aca="false">IF('Bulk Order Details'!J252="","",IF('Bulk Order Details'!C252="","",'Bulk Order Details'!C252))</f>
        <v/>
      </c>
      <c r="AH242" s="179" t="str">
        <f aca="false">IF('Bulk Order Details'!O252="","","-"&amp;LOOKUP('Bulk Order Details'!O252,#REF!,#REF!))</f>
        <v/>
      </c>
      <c r="AI242" s="179" t="str">
        <f aca="false">IF('Bulk Order Details'!P252="","","-"&amp;LOOKUP('Bulk Order Details'!P252,#REF!,#REF!))</f>
        <v/>
      </c>
      <c r="AJ242" s="179" t="str">
        <f aca="false">IF('Bulk Order Details'!Q252="","","-"&amp;LOOKUP('Bulk Order Details'!Q252,#REF!,#REF!))</f>
        <v/>
      </c>
      <c r="AK242" s="179" t="str">
        <f aca="false">IF('Bulk Order Details'!R252="","","-"&amp;LOOKUP('Bulk Order Details'!R252,#REF!,#REF!))</f>
        <v/>
      </c>
      <c r="AL242" s="179" t="str">
        <f aca="false">IF('Bulk Order Details'!S252="","","-"&amp;LOOKUP('Bulk Order Details'!S252,#REF!,#REF!))</f>
        <v/>
      </c>
      <c r="AM242" s="179" t="str">
        <f aca="false">IF(_xlfn.CONCAT(AH242:AL242)="","","Lo"&amp;_xlfn.CONCAT(AH242:AL242))</f>
        <v/>
      </c>
      <c r="AN242" s="179" t="str">
        <f aca="false">IF('Bulk Order Details'!K252="","","Na-"&amp;'Bulk Order Details'!K252)</f>
        <v/>
      </c>
      <c r="AO242" s="179" t="str">
        <f aca="false">IF('Bulk Order Details'!N252="","","Fo-"&amp;'Bulk Order Details'!N252)</f>
        <v/>
      </c>
      <c r="AP242" s="179" t="str">
        <f aca="false">IF(AE242="","",AE242&amp;"_"&amp;AF242&amp;"_"&amp;AG242&amp;IF(AM242="","","_"&amp;AM242)&amp;IF(AN242="","","_"&amp;AN242)&amp;IF(AO242="","","_"&amp;AO242))</f>
        <v/>
      </c>
      <c r="AQ242" s="218" t="str">
        <f aca="false">IF(X242="","",X242)</f>
        <v/>
      </c>
    </row>
    <row r="243" customFormat="false" ht="15" hidden="false" customHeight="true" outlineLevel="0" collapsed="false">
      <c r="B243" s="209" t="n">
        <f aca="false">'Bulk Order Details'!B253</f>
        <v>240</v>
      </c>
      <c r="C243" s="209" t="e">
        <f aca="false">IF('bulk order details'!#ref!="","",'bulk order details'!#ref!&amp;" "&amp;'bulk order details'!#ref!)</f>
        <v>#VALUE!</v>
      </c>
      <c r="D243" s="210" t="str">
        <f aca="false">IF('Bulk Order Details'!J253="","",VLOOKUP(1,Price[],3))</f>
        <v/>
      </c>
      <c r="E243" s="211" t="str">
        <f aca="false">IF('Bulk Order Details'!J253="","",Summary!$D$9)</f>
        <v/>
      </c>
      <c r="F243" s="212" t="str">
        <f aca="false">IF('Bulk Order Details'!F253="","",_xlfn.xlookup('Bulk Order Details'!F253,Size[Display],Size[Price]))</f>
        <v/>
      </c>
      <c r="G243" s="212" t="str">
        <f aca="false">IF('Bulk Order Details'!G253="","",_xlfn.xlookup('Bulk Order Details'!G253,Length[Display],Length[Price]))</f>
        <v/>
      </c>
      <c r="H243" s="212" t="str">
        <f aca="false">IF('Bulk Order Details'!H253="","",_xlfn.xlookup('Bulk Order Details'!H253,Collection[Display],Collection[Price]))</f>
        <v/>
      </c>
      <c r="I243" s="212" t="str">
        <f aca="false">IF('Bulk Order Details'!I253="","",_xlfn.xlookup('Bulk Order Details'!I253,Sleeve[Display],Sleeve[Price]))</f>
        <v/>
      </c>
      <c r="J243" s="212" t="str">
        <f aca="false">IF('Bulk Order Details'!J253="","",_xlfn.xlookup('Bulk Order Details'!J253,Collar[Display],Collar[Price]))</f>
        <v/>
      </c>
      <c r="K243" s="212" t="str">
        <f aca="false">IF('Bulk Order Details'!K253="","",_xlfn.xlookup("Name",Name[Name],Name[Price]))</f>
        <v/>
      </c>
      <c r="L243" s="213" t="str">
        <f aca="false">IFERROR(IF('Bulk Order Details'!O253="","",IF(_xlfn.xlookup('Bulk Order Details'!O253,Logos[Display],Logos[Use])="Flat",_xlfn.xlookup('Bulk Order Details'!O253,Logos[Display],Logos[Flat]),ROUND(_xlfn.xlookup('Bulk Order Details'!O253,Logos[Display],Logos[Pct])*$E243,2))),"")</f>
        <v/>
      </c>
      <c r="M243" s="222" t="str">
        <f aca="false">IFERROR(IF('Bulk Order Details'!P253="","",IF(_xlfn.xlookup('Bulk Order Details'!P253,Chest[Display],Chest[Use])="Flat",_xlfn.xlookup('Bulk Order Details'!P253,Chest[Display],Chest[Flat]),ROUND(_xlfn.xlookup('Bulk Order Details'!P253,Chest[Display],Chest[Pct])*$E243,2))),"")</f>
        <v/>
      </c>
      <c r="N243" s="222" t="str">
        <f aca="false">IFERROR(IF('Bulk Order Details'!Q253="","",IF(_xlfn.xlookup('Bulk Order Details'!Q253,Chest[Display],Chest[Use])="Flat",_xlfn.xlookup('Bulk Order Details'!Q253,Chest[Display],Chest[Flat]),ROUND(_xlfn.xlookup('Bulk Order Details'!Q253,Chest[Display],Chest[Pct])*$E243,2))),"")</f>
        <v/>
      </c>
      <c r="O243" s="222" t="str">
        <f aca="false">IFERROR(IF('Bulk Order Details'!R253="","",IF(_xlfn.xlookup('Bulk Order Details'!R253,LeftSleeve[Display],LeftSleeve[Use])="Flat",_xlfn.xlookup('Bulk Order Details'!R253,LeftSleeve[Display],LeftSleeve[Flat]),ROUND(_xlfn.xlookup('Bulk Order Details'!R253,LeftSleeve[Display],LeftSleeve[Pct])*$E243,2))),"")</f>
        <v/>
      </c>
      <c r="P243" s="222" t="str">
        <f aca="false">IFERROR(IF('Bulk Order Details'!S253="","",IF(_xlfn.xlookup('Bulk Order Details'!S253,RightSleeve[Display],RightSleeve[Use])="Flat",_xlfn.xlookup('Bulk Order Details'!S253,RightSleeve[Display],RightSleeve[Flat]),ROUND(_xlfn.xlookup('Bulk Order Details'!S253,RightSleeve[Display],RightSleeve[Pct])*$E243,2))),"")</f>
        <v/>
      </c>
      <c r="Q243" s="214" t="str">
        <f aca="false">IF('Bulk Order Details'!J253="","",SUM(F243:P243))</f>
        <v/>
      </c>
      <c r="R243" s="213" t="str">
        <f aca="false">IFERROR(E243-D243,"")</f>
        <v/>
      </c>
      <c r="S243" s="215" t="str">
        <f aca="false">IFERROR(MIN(IF(Summary!$D$11="Yes",-J243,0),IF(H243&gt;0,-J243,0)),"")</f>
        <v/>
      </c>
      <c r="T243" s="212" t="str">
        <f aca="false">IFERROR(IF(Summary!$D$10="Yes",-K243,""),"")</f>
        <v/>
      </c>
      <c r="U243" s="213" t="str">
        <f aca="false">IFERROR(IF(Summary!$D$12="Yes",-L243,""),"")</f>
        <v/>
      </c>
      <c r="V243" s="216" t="str">
        <f aca="false">IF('Bulk Order Details'!J253="","",SUM(R243:U243))</f>
        <v/>
      </c>
      <c r="W243" s="217" t="str">
        <f aca="false">IF('Bulk Order Details'!J253="","",D243+Q243)</f>
        <v/>
      </c>
      <c r="X243" s="218" t="str">
        <f aca="false">IF('Bulk Order Details'!J253="","",D243+Q243+V243)</f>
        <v/>
      </c>
      <c r="Y243" s="219" t="str">
        <f aca="false">IFERROR((W243-X243)/W243,"")</f>
        <v/>
      </c>
      <c r="Z243" s="220" t="str">
        <f aca="false">IF('Bulk Order Details'!J253="","",MAX(1,'Bulk Order Details'!D253))</f>
        <v/>
      </c>
      <c r="AA243" s="217" t="str">
        <f aca="false">IF(Pricing_Details[[#This Row],[Quantity]]="","",Pricing_Details[[#This Row],[Retail Price]]*Pricing_Details[[#This Row],[Quantity]])</f>
        <v/>
      </c>
      <c r="AB243" s="217" t="str">
        <f aca="false">IF(Pricing_Details[[#This Row],[Quantity]]="","",Pricing_Details[[#This Row],[Total Discount]]*Pricing_Details[[#This Row],[Quantity]])</f>
        <v/>
      </c>
      <c r="AC243" s="221" t="str">
        <f aca="false">IFERROR(ROUND(Pricing_Details[[#This Row],[Actual Price]]*Pricing_Details[[#This Row],[Quantity]],2),"")</f>
        <v/>
      </c>
      <c r="AE243" s="179" t="str">
        <f aca="false">IF('Bulk Order Details'!J253="","",VLOOKUP('Bulk Order Details'!H253,Collection[],3)&amp;VLOOKUP('Bulk Order Details'!J253,Collar[],4)&amp;VLOOKUP('Bulk Order Details'!I253,Sleeve[],4))</f>
        <v/>
      </c>
      <c r="AF243" s="179" t="str">
        <f aca="false">IF('Bulk Order Details'!J253="","",LOOKUP('Bulk Order Details'!E253,Cut[Display],Cut[Code])&amp;LOOKUP('Bulk Order Details'!F253,#REF!,#REF!)&amp;IF('Bulk Order Details'!G253="","",LOOKUP('Bulk Order Details'!G253,Length[Display],Length[Code])))</f>
        <v/>
      </c>
      <c r="AG243" s="179" t="str">
        <f aca="false">IF('Bulk Order Details'!J253="","",IF('Bulk Order Details'!C253="","",'Bulk Order Details'!C253))</f>
        <v/>
      </c>
      <c r="AH243" s="179" t="str">
        <f aca="false">IF('Bulk Order Details'!O253="","","-"&amp;LOOKUP('Bulk Order Details'!O253,#REF!,#REF!))</f>
        <v/>
      </c>
      <c r="AI243" s="179" t="str">
        <f aca="false">IF('Bulk Order Details'!P253="","","-"&amp;LOOKUP('Bulk Order Details'!P253,#REF!,#REF!))</f>
        <v/>
      </c>
      <c r="AJ243" s="179" t="str">
        <f aca="false">IF('Bulk Order Details'!Q253="","","-"&amp;LOOKUP('Bulk Order Details'!Q253,#REF!,#REF!))</f>
        <v/>
      </c>
      <c r="AK243" s="179" t="str">
        <f aca="false">IF('Bulk Order Details'!R253="","","-"&amp;LOOKUP('Bulk Order Details'!R253,#REF!,#REF!))</f>
        <v/>
      </c>
      <c r="AL243" s="179" t="str">
        <f aca="false">IF('Bulk Order Details'!S253="","","-"&amp;LOOKUP('Bulk Order Details'!S253,#REF!,#REF!))</f>
        <v/>
      </c>
      <c r="AM243" s="179" t="str">
        <f aca="false">IF(_xlfn.CONCAT(AH243:AL243)="","","Lo"&amp;_xlfn.CONCAT(AH243:AL243))</f>
        <v/>
      </c>
      <c r="AN243" s="179" t="str">
        <f aca="false">IF('Bulk Order Details'!K253="","","Na-"&amp;'Bulk Order Details'!K253)</f>
        <v/>
      </c>
      <c r="AO243" s="179" t="str">
        <f aca="false">IF('Bulk Order Details'!N253="","","Fo-"&amp;'Bulk Order Details'!N253)</f>
        <v/>
      </c>
      <c r="AP243" s="179" t="str">
        <f aca="false">IF(AE243="","",AE243&amp;"_"&amp;AF243&amp;"_"&amp;AG243&amp;IF(AM243="","","_"&amp;AM243)&amp;IF(AN243="","","_"&amp;AN243)&amp;IF(AO243="","","_"&amp;AO243))</f>
        <v/>
      </c>
      <c r="AQ243" s="218" t="str">
        <f aca="false">IF(X243="","",X243)</f>
        <v/>
      </c>
    </row>
    <row r="244" customFormat="false" ht="15" hidden="false" customHeight="true" outlineLevel="0" collapsed="false">
      <c r="B244" s="209" t="n">
        <f aca="false">'Bulk Order Details'!B254</f>
        <v>241</v>
      </c>
      <c r="C244" s="209" t="e">
        <f aca="false">IF('bulk order details'!#ref!="","",'bulk order details'!#ref!&amp;" "&amp;'bulk order details'!#ref!)</f>
        <v>#VALUE!</v>
      </c>
      <c r="D244" s="210" t="str">
        <f aca="false">IF('Bulk Order Details'!J254="","",VLOOKUP(1,Price[],3))</f>
        <v/>
      </c>
      <c r="E244" s="211" t="str">
        <f aca="false">IF('Bulk Order Details'!J254="","",Summary!$D$9)</f>
        <v/>
      </c>
      <c r="F244" s="212" t="str">
        <f aca="false">IF('Bulk Order Details'!F254="","",_xlfn.xlookup('Bulk Order Details'!F254,Size[Display],Size[Price]))</f>
        <v/>
      </c>
      <c r="G244" s="212" t="str">
        <f aca="false">IF('Bulk Order Details'!G254="","",_xlfn.xlookup('Bulk Order Details'!G254,Length[Display],Length[Price]))</f>
        <v/>
      </c>
      <c r="H244" s="212" t="str">
        <f aca="false">IF('Bulk Order Details'!H254="","",_xlfn.xlookup('Bulk Order Details'!H254,Collection[Display],Collection[Price]))</f>
        <v/>
      </c>
      <c r="I244" s="212" t="str">
        <f aca="false">IF('Bulk Order Details'!I254="","",_xlfn.xlookup('Bulk Order Details'!I254,Sleeve[Display],Sleeve[Price]))</f>
        <v/>
      </c>
      <c r="J244" s="212" t="str">
        <f aca="false">IF('Bulk Order Details'!J254="","",_xlfn.xlookup('Bulk Order Details'!J254,Collar[Display],Collar[Price]))</f>
        <v/>
      </c>
      <c r="K244" s="212" t="str">
        <f aca="false">IF('Bulk Order Details'!K254="","",_xlfn.xlookup("Name",Name[Name],Name[Price]))</f>
        <v/>
      </c>
      <c r="L244" s="213" t="str">
        <f aca="false">IFERROR(IF('Bulk Order Details'!O254="","",IF(_xlfn.xlookup('Bulk Order Details'!O254,Logos[Display],Logos[Use])="Flat",_xlfn.xlookup('Bulk Order Details'!O254,Logos[Display],Logos[Flat]),ROUND(_xlfn.xlookup('Bulk Order Details'!O254,Logos[Display],Logos[Pct])*$E244,2))),"")</f>
        <v/>
      </c>
      <c r="M244" s="222" t="str">
        <f aca="false">IFERROR(IF('Bulk Order Details'!P254="","",IF(_xlfn.xlookup('Bulk Order Details'!P254,Chest[Display],Chest[Use])="Flat",_xlfn.xlookup('Bulk Order Details'!P254,Chest[Display],Chest[Flat]),ROUND(_xlfn.xlookup('Bulk Order Details'!P254,Chest[Display],Chest[Pct])*$E244,2))),"")</f>
        <v/>
      </c>
      <c r="N244" s="222" t="str">
        <f aca="false">IFERROR(IF('Bulk Order Details'!Q254="","",IF(_xlfn.xlookup('Bulk Order Details'!Q254,Chest[Display],Chest[Use])="Flat",_xlfn.xlookup('Bulk Order Details'!Q254,Chest[Display],Chest[Flat]),ROUND(_xlfn.xlookup('Bulk Order Details'!Q254,Chest[Display],Chest[Pct])*$E244,2))),"")</f>
        <v/>
      </c>
      <c r="O244" s="222" t="str">
        <f aca="false">IFERROR(IF('Bulk Order Details'!R254="","",IF(_xlfn.xlookup('Bulk Order Details'!R254,LeftSleeve[Display],LeftSleeve[Use])="Flat",_xlfn.xlookup('Bulk Order Details'!R254,LeftSleeve[Display],LeftSleeve[Flat]),ROUND(_xlfn.xlookup('Bulk Order Details'!R254,LeftSleeve[Display],LeftSleeve[Pct])*$E244,2))),"")</f>
        <v/>
      </c>
      <c r="P244" s="222" t="str">
        <f aca="false">IFERROR(IF('Bulk Order Details'!S254="","",IF(_xlfn.xlookup('Bulk Order Details'!S254,RightSleeve[Display],RightSleeve[Use])="Flat",_xlfn.xlookup('Bulk Order Details'!S254,RightSleeve[Display],RightSleeve[Flat]),ROUND(_xlfn.xlookup('Bulk Order Details'!S254,RightSleeve[Display],RightSleeve[Pct])*$E244,2))),"")</f>
        <v/>
      </c>
      <c r="Q244" s="214" t="str">
        <f aca="false">IF('Bulk Order Details'!J254="","",SUM(F244:P244))</f>
        <v/>
      </c>
      <c r="R244" s="213" t="str">
        <f aca="false">IFERROR(E244-D244,"")</f>
        <v/>
      </c>
      <c r="S244" s="215" t="str">
        <f aca="false">IFERROR(MIN(IF(Summary!$D$11="Yes",-J244,0),IF(H244&gt;0,-J244,0)),"")</f>
        <v/>
      </c>
      <c r="T244" s="212" t="str">
        <f aca="false">IFERROR(IF(Summary!$D$10="Yes",-K244,""),"")</f>
        <v/>
      </c>
      <c r="U244" s="213" t="str">
        <f aca="false">IFERROR(IF(Summary!$D$12="Yes",-L244,""),"")</f>
        <v/>
      </c>
      <c r="V244" s="216" t="str">
        <f aca="false">IF('Bulk Order Details'!J254="","",SUM(R244:U244))</f>
        <v/>
      </c>
      <c r="W244" s="217" t="str">
        <f aca="false">IF('Bulk Order Details'!J254="","",D244+Q244)</f>
        <v/>
      </c>
      <c r="X244" s="218" t="str">
        <f aca="false">IF('Bulk Order Details'!J254="","",D244+Q244+V244)</f>
        <v/>
      </c>
      <c r="Y244" s="219" t="str">
        <f aca="false">IFERROR((W244-X244)/W244,"")</f>
        <v/>
      </c>
      <c r="Z244" s="220" t="str">
        <f aca="false">IF('Bulk Order Details'!J254="","",MAX(1,'Bulk Order Details'!D254))</f>
        <v/>
      </c>
      <c r="AA244" s="217" t="str">
        <f aca="false">IF(Pricing_Details[[#This Row],[Quantity]]="","",Pricing_Details[[#This Row],[Retail Price]]*Pricing_Details[[#This Row],[Quantity]])</f>
        <v/>
      </c>
      <c r="AB244" s="217" t="str">
        <f aca="false">IF(Pricing_Details[[#This Row],[Quantity]]="","",Pricing_Details[[#This Row],[Total Discount]]*Pricing_Details[[#This Row],[Quantity]])</f>
        <v/>
      </c>
      <c r="AC244" s="221" t="str">
        <f aca="false">IFERROR(ROUND(Pricing_Details[[#This Row],[Actual Price]]*Pricing_Details[[#This Row],[Quantity]],2),"")</f>
        <v/>
      </c>
      <c r="AE244" s="179" t="str">
        <f aca="false">IF('Bulk Order Details'!J254="","",VLOOKUP('Bulk Order Details'!H254,Collection[],3)&amp;VLOOKUP('Bulk Order Details'!J254,Collar[],4)&amp;VLOOKUP('Bulk Order Details'!I254,Sleeve[],4))</f>
        <v/>
      </c>
      <c r="AF244" s="179" t="str">
        <f aca="false">IF('Bulk Order Details'!J254="","",LOOKUP('Bulk Order Details'!E254,Cut[Display],Cut[Code])&amp;LOOKUP('Bulk Order Details'!F254,#REF!,#REF!)&amp;IF('Bulk Order Details'!G254="","",LOOKUP('Bulk Order Details'!G254,Length[Display],Length[Code])))</f>
        <v/>
      </c>
      <c r="AG244" s="179" t="str">
        <f aca="false">IF('Bulk Order Details'!J254="","",IF('Bulk Order Details'!C254="","",'Bulk Order Details'!C254))</f>
        <v/>
      </c>
      <c r="AH244" s="179" t="str">
        <f aca="false">IF('Bulk Order Details'!O254="","","-"&amp;LOOKUP('Bulk Order Details'!O254,#REF!,#REF!))</f>
        <v/>
      </c>
      <c r="AI244" s="179" t="str">
        <f aca="false">IF('Bulk Order Details'!P254="","","-"&amp;LOOKUP('Bulk Order Details'!P254,#REF!,#REF!))</f>
        <v/>
      </c>
      <c r="AJ244" s="179" t="str">
        <f aca="false">IF('Bulk Order Details'!Q254="","","-"&amp;LOOKUP('Bulk Order Details'!Q254,#REF!,#REF!))</f>
        <v/>
      </c>
      <c r="AK244" s="179" t="str">
        <f aca="false">IF('Bulk Order Details'!R254="","","-"&amp;LOOKUP('Bulk Order Details'!R254,#REF!,#REF!))</f>
        <v/>
      </c>
      <c r="AL244" s="179" t="str">
        <f aca="false">IF('Bulk Order Details'!S254="","","-"&amp;LOOKUP('Bulk Order Details'!S254,#REF!,#REF!))</f>
        <v/>
      </c>
      <c r="AM244" s="179" t="str">
        <f aca="false">IF(_xlfn.CONCAT(AH244:AL244)="","","Lo"&amp;_xlfn.CONCAT(AH244:AL244))</f>
        <v/>
      </c>
      <c r="AN244" s="179" t="str">
        <f aca="false">IF('Bulk Order Details'!K254="","","Na-"&amp;'Bulk Order Details'!K254)</f>
        <v/>
      </c>
      <c r="AO244" s="179" t="str">
        <f aca="false">IF('Bulk Order Details'!N254="","","Fo-"&amp;'Bulk Order Details'!N254)</f>
        <v/>
      </c>
      <c r="AP244" s="179" t="str">
        <f aca="false">IF(AE244="","",AE244&amp;"_"&amp;AF244&amp;"_"&amp;AG244&amp;IF(AM244="","","_"&amp;AM244)&amp;IF(AN244="","","_"&amp;AN244)&amp;IF(AO244="","","_"&amp;AO244))</f>
        <v/>
      </c>
      <c r="AQ244" s="218" t="str">
        <f aca="false">IF(X244="","",X244)</f>
        <v/>
      </c>
    </row>
    <row r="245" customFormat="false" ht="15" hidden="false" customHeight="true" outlineLevel="0" collapsed="false">
      <c r="B245" s="209" t="n">
        <f aca="false">'Bulk Order Details'!B255</f>
        <v>242</v>
      </c>
      <c r="C245" s="209" t="e">
        <f aca="false">IF('bulk order details'!#ref!="","",'bulk order details'!#ref!&amp;" "&amp;'bulk order details'!#ref!)</f>
        <v>#VALUE!</v>
      </c>
      <c r="D245" s="210" t="str">
        <f aca="false">IF('Bulk Order Details'!J255="","",VLOOKUP(1,Price[],3))</f>
        <v/>
      </c>
      <c r="E245" s="211" t="str">
        <f aca="false">IF('Bulk Order Details'!J255="","",Summary!$D$9)</f>
        <v/>
      </c>
      <c r="F245" s="212" t="str">
        <f aca="false">IF('Bulk Order Details'!F255="","",_xlfn.xlookup('Bulk Order Details'!F255,Size[Display],Size[Price]))</f>
        <v/>
      </c>
      <c r="G245" s="212" t="str">
        <f aca="false">IF('Bulk Order Details'!G255="","",_xlfn.xlookup('Bulk Order Details'!G255,Length[Display],Length[Price]))</f>
        <v/>
      </c>
      <c r="H245" s="212" t="str">
        <f aca="false">IF('Bulk Order Details'!H255="","",_xlfn.xlookup('Bulk Order Details'!H255,Collection[Display],Collection[Price]))</f>
        <v/>
      </c>
      <c r="I245" s="212" t="str">
        <f aca="false">IF('Bulk Order Details'!I255="","",_xlfn.xlookup('Bulk Order Details'!I255,Sleeve[Display],Sleeve[Price]))</f>
        <v/>
      </c>
      <c r="J245" s="212" t="str">
        <f aca="false">IF('Bulk Order Details'!J255="","",_xlfn.xlookup('Bulk Order Details'!J255,Collar[Display],Collar[Price]))</f>
        <v/>
      </c>
      <c r="K245" s="212" t="str">
        <f aca="false">IF('Bulk Order Details'!K255="","",_xlfn.xlookup("Name",Name[Name],Name[Price]))</f>
        <v/>
      </c>
      <c r="L245" s="213" t="str">
        <f aca="false">IFERROR(IF('Bulk Order Details'!O255="","",IF(_xlfn.xlookup('Bulk Order Details'!O255,Logos[Display],Logos[Use])="Flat",_xlfn.xlookup('Bulk Order Details'!O255,Logos[Display],Logos[Flat]),ROUND(_xlfn.xlookup('Bulk Order Details'!O255,Logos[Display],Logos[Pct])*$E245,2))),"")</f>
        <v/>
      </c>
      <c r="M245" s="222" t="str">
        <f aca="false">IFERROR(IF('Bulk Order Details'!P255="","",IF(_xlfn.xlookup('Bulk Order Details'!P255,Chest[Display],Chest[Use])="Flat",_xlfn.xlookup('Bulk Order Details'!P255,Chest[Display],Chest[Flat]),ROUND(_xlfn.xlookup('Bulk Order Details'!P255,Chest[Display],Chest[Pct])*$E245,2))),"")</f>
        <v/>
      </c>
      <c r="N245" s="222" t="str">
        <f aca="false">IFERROR(IF('Bulk Order Details'!Q255="","",IF(_xlfn.xlookup('Bulk Order Details'!Q255,Chest[Display],Chest[Use])="Flat",_xlfn.xlookup('Bulk Order Details'!Q255,Chest[Display],Chest[Flat]),ROUND(_xlfn.xlookup('Bulk Order Details'!Q255,Chest[Display],Chest[Pct])*$E245,2))),"")</f>
        <v/>
      </c>
      <c r="O245" s="222" t="str">
        <f aca="false">IFERROR(IF('Bulk Order Details'!R255="","",IF(_xlfn.xlookup('Bulk Order Details'!R255,LeftSleeve[Display],LeftSleeve[Use])="Flat",_xlfn.xlookup('Bulk Order Details'!R255,LeftSleeve[Display],LeftSleeve[Flat]),ROUND(_xlfn.xlookup('Bulk Order Details'!R255,LeftSleeve[Display],LeftSleeve[Pct])*$E245,2))),"")</f>
        <v/>
      </c>
      <c r="P245" s="222" t="str">
        <f aca="false">IFERROR(IF('Bulk Order Details'!S255="","",IF(_xlfn.xlookup('Bulk Order Details'!S255,RightSleeve[Display],RightSleeve[Use])="Flat",_xlfn.xlookup('Bulk Order Details'!S255,RightSleeve[Display],RightSleeve[Flat]),ROUND(_xlfn.xlookup('Bulk Order Details'!S255,RightSleeve[Display],RightSleeve[Pct])*$E245,2))),"")</f>
        <v/>
      </c>
      <c r="Q245" s="214" t="str">
        <f aca="false">IF('Bulk Order Details'!J255="","",SUM(F245:P245))</f>
        <v/>
      </c>
      <c r="R245" s="213" t="str">
        <f aca="false">IFERROR(E245-D245,"")</f>
        <v/>
      </c>
      <c r="S245" s="215" t="str">
        <f aca="false">IFERROR(MIN(IF(Summary!$D$11="Yes",-J245,0),IF(H245&gt;0,-J245,0)),"")</f>
        <v/>
      </c>
      <c r="T245" s="212" t="str">
        <f aca="false">IFERROR(IF(Summary!$D$10="Yes",-K245,""),"")</f>
        <v/>
      </c>
      <c r="U245" s="213" t="str">
        <f aca="false">IFERROR(IF(Summary!$D$12="Yes",-L245,""),"")</f>
        <v/>
      </c>
      <c r="V245" s="216" t="str">
        <f aca="false">IF('Bulk Order Details'!J255="","",SUM(R245:U245))</f>
        <v/>
      </c>
      <c r="W245" s="217" t="str">
        <f aca="false">IF('Bulk Order Details'!J255="","",D245+Q245)</f>
        <v/>
      </c>
      <c r="X245" s="218" t="str">
        <f aca="false">IF('Bulk Order Details'!J255="","",D245+Q245+V245)</f>
        <v/>
      </c>
      <c r="Y245" s="219" t="str">
        <f aca="false">IFERROR((W245-X245)/W245,"")</f>
        <v/>
      </c>
      <c r="Z245" s="220" t="str">
        <f aca="false">IF('Bulk Order Details'!J255="","",MAX(1,'Bulk Order Details'!D255))</f>
        <v/>
      </c>
      <c r="AA245" s="217" t="str">
        <f aca="false">IF(Pricing_Details[[#This Row],[Quantity]]="","",Pricing_Details[[#This Row],[Retail Price]]*Pricing_Details[[#This Row],[Quantity]])</f>
        <v/>
      </c>
      <c r="AB245" s="217" t="str">
        <f aca="false">IF(Pricing_Details[[#This Row],[Quantity]]="","",Pricing_Details[[#This Row],[Total Discount]]*Pricing_Details[[#This Row],[Quantity]])</f>
        <v/>
      </c>
      <c r="AC245" s="221" t="str">
        <f aca="false">IFERROR(ROUND(Pricing_Details[[#This Row],[Actual Price]]*Pricing_Details[[#This Row],[Quantity]],2),"")</f>
        <v/>
      </c>
      <c r="AE245" s="179" t="str">
        <f aca="false">IF('Bulk Order Details'!J255="","",VLOOKUP('Bulk Order Details'!H255,Collection[],3)&amp;VLOOKUP('Bulk Order Details'!J255,Collar[],4)&amp;VLOOKUP('Bulk Order Details'!I255,Sleeve[],4))</f>
        <v/>
      </c>
      <c r="AF245" s="179" t="str">
        <f aca="false">IF('Bulk Order Details'!J255="","",LOOKUP('Bulk Order Details'!E255,Cut[Display],Cut[Code])&amp;LOOKUP('Bulk Order Details'!F255,#REF!,#REF!)&amp;IF('Bulk Order Details'!G255="","",LOOKUP('Bulk Order Details'!G255,Length[Display],Length[Code])))</f>
        <v/>
      </c>
      <c r="AG245" s="179" t="str">
        <f aca="false">IF('Bulk Order Details'!J255="","",IF('Bulk Order Details'!C255="","",'Bulk Order Details'!C255))</f>
        <v/>
      </c>
      <c r="AH245" s="179" t="str">
        <f aca="false">IF('Bulk Order Details'!O255="","","-"&amp;LOOKUP('Bulk Order Details'!O255,#REF!,#REF!))</f>
        <v/>
      </c>
      <c r="AI245" s="179" t="str">
        <f aca="false">IF('Bulk Order Details'!P255="","","-"&amp;LOOKUP('Bulk Order Details'!P255,#REF!,#REF!))</f>
        <v/>
      </c>
      <c r="AJ245" s="179" t="str">
        <f aca="false">IF('Bulk Order Details'!Q255="","","-"&amp;LOOKUP('Bulk Order Details'!Q255,#REF!,#REF!))</f>
        <v/>
      </c>
      <c r="AK245" s="179" t="str">
        <f aca="false">IF('Bulk Order Details'!R255="","","-"&amp;LOOKUP('Bulk Order Details'!R255,#REF!,#REF!))</f>
        <v/>
      </c>
      <c r="AL245" s="179" t="str">
        <f aca="false">IF('Bulk Order Details'!S255="","","-"&amp;LOOKUP('Bulk Order Details'!S255,#REF!,#REF!))</f>
        <v/>
      </c>
      <c r="AM245" s="179" t="str">
        <f aca="false">IF(_xlfn.CONCAT(AH245:AL245)="","","Lo"&amp;_xlfn.CONCAT(AH245:AL245))</f>
        <v/>
      </c>
      <c r="AN245" s="179" t="str">
        <f aca="false">IF('Bulk Order Details'!K255="","","Na-"&amp;'Bulk Order Details'!K255)</f>
        <v/>
      </c>
      <c r="AO245" s="179" t="str">
        <f aca="false">IF('Bulk Order Details'!N255="","","Fo-"&amp;'Bulk Order Details'!N255)</f>
        <v/>
      </c>
      <c r="AP245" s="179" t="str">
        <f aca="false">IF(AE245="","",AE245&amp;"_"&amp;AF245&amp;"_"&amp;AG245&amp;IF(AM245="","","_"&amp;AM245)&amp;IF(AN245="","","_"&amp;AN245)&amp;IF(AO245="","","_"&amp;AO245))</f>
        <v/>
      </c>
      <c r="AQ245" s="218" t="str">
        <f aca="false">IF(X245="","",X245)</f>
        <v/>
      </c>
    </row>
    <row r="246" customFormat="false" ht="15" hidden="false" customHeight="true" outlineLevel="0" collapsed="false">
      <c r="B246" s="209" t="n">
        <f aca="false">'Bulk Order Details'!B256</f>
        <v>243</v>
      </c>
      <c r="C246" s="209" t="e">
        <f aca="false">IF('bulk order details'!#ref!="","",'bulk order details'!#ref!&amp;" "&amp;'bulk order details'!#ref!)</f>
        <v>#VALUE!</v>
      </c>
      <c r="D246" s="210" t="str">
        <f aca="false">IF('Bulk Order Details'!J256="","",VLOOKUP(1,Price[],3))</f>
        <v/>
      </c>
      <c r="E246" s="211" t="str">
        <f aca="false">IF('Bulk Order Details'!J256="","",Summary!$D$9)</f>
        <v/>
      </c>
      <c r="F246" s="212" t="str">
        <f aca="false">IF('Bulk Order Details'!F256="","",_xlfn.xlookup('Bulk Order Details'!F256,Size[Display],Size[Price]))</f>
        <v/>
      </c>
      <c r="G246" s="212" t="str">
        <f aca="false">IF('Bulk Order Details'!G256="","",_xlfn.xlookup('Bulk Order Details'!G256,Length[Display],Length[Price]))</f>
        <v/>
      </c>
      <c r="H246" s="212" t="str">
        <f aca="false">IF('Bulk Order Details'!H256="","",_xlfn.xlookup('Bulk Order Details'!H256,Collection[Display],Collection[Price]))</f>
        <v/>
      </c>
      <c r="I246" s="212" t="str">
        <f aca="false">IF('Bulk Order Details'!I256="","",_xlfn.xlookup('Bulk Order Details'!I256,Sleeve[Display],Sleeve[Price]))</f>
        <v/>
      </c>
      <c r="J246" s="212" t="str">
        <f aca="false">IF('Bulk Order Details'!J256="","",_xlfn.xlookup('Bulk Order Details'!J256,Collar[Display],Collar[Price]))</f>
        <v/>
      </c>
      <c r="K246" s="212" t="str">
        <f aca="false">IF('Bulk Order Details'!K256="","",_xlfn.xlookup("Name",Name[Name],Name[Price]))</f>
        <v/>
      </c>
      <c r="L246" s="213" t="str">
        <f aca="false">IFERROR(IF('Bulk Order Details'!O256="","",IF(_xlfn.xlookup('Bulk Order Details'!O256,Logos[Display],Logos[Use])="Flat",_xlfn.xlookup('Bulk Order Details'!O256,Logos[Display],Logos[Flat]),ROUND(_xlfn.xlookup('Bulk Order Details'!O256,Logos[Display],Logos[Pct])*$E246,2))),"")</f>
        <v/>
      </c>
      <c r="M246" s="222" t="str">
        <f aca="false">IFERROR(IF('Bulk Order Details'!P256="","",IF(_xlfn.xlookup('Bulk Order Details'!P256,Chest[Display],Chest[Use])="Flat",_xlfn.xlookup('Bulk Order Details'!P256,Chest[Display],Chest[Flat]),ROUND(_xlfn.xlookup('Bulk Order Details'!P256,Chest[Display],Chest[Pct])*$E246,2))),"")</f>
        <v/>
      </c>
      <c r="N246" s="222" t="str">
        <f aca="false">IFERROR(IF('Bulk Order Details'!Q256="","",IF(_xlfn.xlookup('Bulk Order Details'!Q256,Chest[Display],Chest[Use])="Flat",_xlfn.xlookup('Bulk Order Details'!Q256,Chest[Display],Chest[Flat]),ROUND(_xlfn.xlookup('Bulk Order Details'!Q256,Chest[Display],Chest[Pct])*$E246,2))),"")</f>
        <v/>
      </c>
      <c r="O246" s="222" t="str">
        <f aca="false">IFERROR(IF('Bulk Order Details'!R256="","",IF(_xlfn.xlookup('Bulk Order Details'!R256,LeftSleeve[Display],LeftSleeve[Use])="Flat",_xlfn.xlookup('Bulk Order Details'!R256,LeftSleeve[Display],LeftSleeve[Flat]),ROUND(_xlfn.xlookup('Bulk Order Details'!R256,LeftSleeve[Display],LeftSleeve[Pct])*$E246,2))),"")</f>
        <v/>
      </c>
      <c r="P246" s="222" t="str">
        <f aca="false">IFERROR(IF('Bulk Order Details'!S256="","",IF(_xlfn.xlookup('Bulk Order Details'!S256,RightSleeve[Display],RightSleeve[Use])="Flat",_xlfn.xlookup('Bulk Order Details'!S256,RightSleeve[Display],RightSleeve[Flat]),ROUND(_xlfn.xlookup('Bulk Order Details'!S256,RightSleeve[Display],RightSleeve[Pct])*$E246,2))),"")</f>
        <v/>
      </c>
      <c r="Q246" s="214" t="str">
        <f aca="false">IF('Bulk Order Details'!J256="","",SUM(F246:P246))</f>
        <v/>
      </c>
      <c r="R246" s="213" t="str">
        <f aca="false">IFERROR(E246-D246,"")</f>
        <v/>
      </c>
      <c r="S246" s="215" t="str">
        <f aca="false">IFERROR(MIN(IF(Summary!$D$11="Yes",-J246,0),IF(H246&gt;0,-J246,0)),"")</f>
        <v/>
      </c>
      <c r="T246" s="212" t="str">
        <f aca="false">IFERROR(IF(Summary!$D$10="Yes",-K246,""),"")</f>
        <v/>
      </c>
      <c r="U246" s="213" t="str">
        <f aca="false">IFERROR(IF(Summary!$D$12="Yes",-L246,""),"")</f>
        <v/>
      </c>
      <c r="V246" s="216" t="str">
        <f aca="false">IF('Bulk Order Details'!J256="","",SUM(R246:U246))</f>
        <v/>
      </c>
      <c r="W246" s="217" t="str">
        <f aca="false">IF('Bulk Order Details'!J256="","",D246+Q246)</f>
        <v/>
      </c>
      <c r="X246" s="218" t="str">
        <f aca="false">IF('Bulk Order Details'!J256="","",D246+Q246+V246)</f>
        <v/>
      </c>
      <c r="Y246" s="219" t="str">
        <f aca="false">IFERROR((W246-X246)/W246,"")</f>
        <v/>
      </c>
      <c r="Z246" s="220" t="str">
        <f aca="false">IF('Bulk Order Details'!J256="","",MAX(1,'Bulk Order Details'!D256))</f>
        <v/>
      </c>
      <c r="AA246" s="217" t="str">
        <f aca="false">IF(Pricing_Details[[#This Row],[Quantity]]="","",Pricing_Details[[#This Row],[Retail Price]]*Pricing_Details[[#This Row],[Quantity]])</f>
        <v/>
      </c>
      <c r="AB246" s="217" t="str">
        <f aca="false">IF(Pricing_Details[[#This Row],[Quantity]]="","",Pricing_Details[[#This Row],[Total Discount]]*Pricing_Details[[#This Row],[Quantity]])</f>
        <v/>
      </c>
      <c r="AC246" s="221" t="str">
        <f aca="false">IFERROR(ROUND(Pricing_Details[[#This Row],[Actual Price]]*Pricing_Details[[#This Row],[Quantity]],2),"")</f>
        <v/>
      </c>
      <c r="AE246" s="179" t="str">
        <f aca="false">IF('Bulk Order Details'!J256="","",VLOOKUP('Bulk Order Details'!H256,Collection[],3)&amp;VLOOKUP('Bulk Order Details'!J256,Collar[],4)&amp;VLOOKUP('Bulk Order Details'!I256,Sleeve[],4))</f>
        <v/>
      </c>
      <c r="AF246" s="179" t="str">
        <f aca="false">IF('Bulk Order Details'!J256="","",LOOKUP('Bulk Order Details'!E256,Cut[Display],Cut[Code])&amp;LOOKUP('Bulk Order Details'!F256,#REF!,#REF!)&amp;IF('Bulk Order Details'!G256="","",LOOKUP('Bulk Order Details'!G256,Length[Display],Length[Code])))</f>
        <v/>
      </c>
      <c r="AG246" s="179" t="str">
        <f aca="false">IF('Bulk Order Details'!J256="","",IF('Bulk Order Details'!C256="","",'Bulk Order Details'!C256))</f>
        <v/>
      </c>
      <c r="AH246" s="179" t="str">
        <f aca="false">IF('Bulk Order Details'!O256="","","-"&amp;LOOKUP('Bulk Order Details'!O256,#REF!,#REF!))</f>
        <v/>
      </c>
      <c r="AI246" s="179" t="str">
        <f aca="false">IF('Bulk Order Details'!P256="","","-"&amp;LOOKUP('Bulk Order Details'!P256,#REF!,#REF!))</f>
        <v/>
      </c>
      <c r="AJ246" s="179" t="str">
        <f aca="false">IF('Bulk Order Details'!Q256="","","-"&amp;LOOKUP('Bulk Order Details'!Q256,#REF!,#REF!))</f>
        <v/>
      </c>
      <c r="AK246" s="179" t="str">
        <f aca="false">IF('Bulk Order Details'!R256="","","-"&amp;LOOKUP('Bulk Order Details'!R256,#REF!,#REF!))</f>
        <v/>
      </c>
      <c r="AL246" s="179" t="str">
        <f aca="false">IF('Bulk Order Details'!S256="","","-"&amp;LOOKUP('Bulk Order Details'!S256,#REF!,#REF!))</f>
        <v/>
      </c>
      <c r="AM246" s="179" t="str">
        <f aca="false">IF(_xlfn.CONCAT(AH246:AL246)="","","Lo"&amp;_xlfn.CONCAT(AH246:AL246))</f>
        <v/>
      </c>
      <c r="AN246" s="179" t="str">
        <f aca="false">IF('Bulk Order Details'!K256="","","Na-"&amp;'Bulk Order Details'!K256)</f>
        <v/>
      </c>
      <c r="AO246" s="179" t="str">
        <f aca="false">IF('Bulk Order Details'!N256="","","Fo-"&amp;'Bulk Order Details'!N256)</f>
        <v/>
      </c>
      <c r="AP246" s="179" t="str">
        <f aca="false">IF(AE246="","",AE246&amp;"_"&amp;AF246&amp;"_"&amp;AG246&amp;IF(AM246="","","_"&amp;AM246)&amp;IF(AN246="","","_"&amp;AN246)&amp;IF(AO246="","","_"&amp;AO246))</f>
        <v/>
      </c>
      <c r="AQ246" s="218" t="str">
        <f aca="false">IF(X246="","",X246)</f>
        <v/>
      </c>
    </row>
    <row r="247" customFormat="false" ht="15" hidden="false" customHeight="true" outlineLevel="0" collapsed="false">
      <c r="B247" s="209" t="n">
        <f aca="false">'Bulk Order Details'!B257</f>
        <v>244</v>
      </c>
      <c r="C247" s="209" t="e">
        <f aca="false">IF('bulk order details'!#ref!="","",'bulk order details'!#ref!&amp;" "&amp;'bulk order details'!#ref!)</f>
        <v>#VALUE!</v>
      </c>
      <c r="D247" s="210" t="str">
        <f aca="false">IF('Bulk Order Details'!J257="","",VLOOKUP(1,Price[],3))</f>
        <v/>
      </c>
      <c r="E247" s="211" t="str">
        <f aca="false">IF('Bulk Order Details'!J257="","",Summary!$D$9)</f>
        <v/>
      </c>
      <c r="F247" s="212" t="str">
        <f aca="false">IF('Bulk Order Details'!F257="","",_xlfn.xlookup('Bulk Order Details'!F257,Size[Display],Size[Price]))</f>
        <v/>
      </c>
      <c r="G247" s="212" t="str">
        <f aca="false">IF('Bulk Order Details'!G257="","",_xlfn.xlookup('Bulk Order Details'!G257,Length[Display],Length[Price]))</f>
        <v/>
      </c>
      <c r="H247" s="212" t="str">
        <f aca="false">IF('Bulk Order Details'!H257="","",_xlfn.xlookup('Bulk Order Details'!H257,Collection[Display],Collection[Price]))</f>
        <v/>
      </c>
      <c r="I247" s="212" t="str">
        <f aca="false">IF('Bulk Order Details'!I257="","",_xlfn.xlookup('Bulk Order Details'!I257,Sleeve[Display],Sleeve[Price]))</f>
        <v/>
      </c>
      <c r="J247" s="212" t="str">
        <f aca="false">IF('Bulk Order Details'!J257="","",_xlfn.xlookup('Bulk Order Details'!J257,Collar[Display],Collar[Price]))</f>
        <v/>
      </c>
      <c r="K247" s="212" t="str">
        <f aca="false">IF('Bulk Order Details'!K257="","",_xlfn.xlookup("Name",Name[Name],Name[Price]))</f>
        <v/>
      </c>
      <c r="L247" s="213" t="str">
        <f aca="false">IFERROR(IF('Bulk Order Details'!O257="","",IF(_xlfn.xlookup('Bulk Order Details'!O257,Logos[Display],Logos[Use])="Flat",_xlfn.xlookup('Bulk Order Details'!O257,Logos[Display],Logos[Flat]),ROUND(_xlfn.xlookup('Bulk Order Details'!O257,Logos[Display],Logos[Pct])*$E247,2))),"")</f>
        <v/>
      </c>
      <c r="M247" s="222" t="str">
        <f aca="false">IFERROR(IF('Bulk Order Details'!P257="","",IF(_xlfn.xlookup('Bulk Order Details'!P257,Chest[Display],Chest[Use])="Flat",_xlfn.xlookup('Bulk Order Details'!P257,Chest[Display],Chest[Flat]),ROUND(_xlfn.xlookup('Bulk Order Details'!P257,Chest[Display],Chest[Pct])*$E247,2))),"")</f>
        <v/>
      </c>
      <c r="N247" s="222" t="str">
        <f aca="false">IFERROR(IF('Bulk Order Details'!Q257="","",IF(_xlfn.xlookup('Bulk Order Details'!Q257,Chest[Display],Chest[Use])="Flat",_xlfn.xlookup('Bulk Order Details'!Q257,Chest[Display],Chest[Flat]),ROUND(_xlfn.xlookup('Bulk Order Details'!Q257,Chest[Display],Chest[Pct])*$E247,2))),"")</f>
        <v/>
      </c>
      <c r="O247" s="222" t="str">
        <f aca="false">IFERROR(IF('Bulk Order Details'!R257="","",IF(_xlfn.xlookup('Bulk Order Details'!R257,LeftSleeve[Display],LeftSleeve[Use])="Flat",_xlfn.xlookup('Bulk Order Details'!R257,LeftSleeve[Display],LeftSleeve[Flat]),ROUND(_xlfn.xlookup('Bulk Order Details'!R257,LeftSleeve[Display],LeftSleeve[Pct])*$E247,2))),"")</f>
        <v/>
      </c>
      <c r="P247" s="222" t="str">
        <f aca="false">IFERROR(IF('Bulk Order Details'!S257="","",IF(_xlfn.xlookup('Bulk Order Details'!S257,RightSleeve[Display],RightSleeve[Use])="Flat",_xlfn.xlookup('Bulk Order Details'!S257,RightSleeve[Display],RightSleeve[Flat]),ROUND(_xlfn.xlookup('Bulk Order Details'!S257,RightSleeve[Display],RightSleeve[Pct])*$E247,2))),"")</f>
        <v/>
      </c>
      <c r="Q247" s="214" t="str">
        <f aca="false">IF('Bulk Order Details'!J257="","",SUM(F247:P247))</f>
        <v/>
      </c>
      <c r="R247" s="213" t="str">
        <f aca="false">IFERROR(E247-D247,"")</f>
        <v/>
      </c>
      <c r="S247" s="215" t="str">
        <f aca="false">IFERROR(MIN(IF(Summary!$D$11="Yes",-J247,0),IF(H247&gt;0,-J247,0)),"")</f>
        <v/>
      </c>
      <c r="T247" s="212" t="str">
        <f aca="false">IFERROR(IF(Summary!$D$10="Yes",-K247,""),"")</f>
        <v/>
      </c>
      <c r="U247" s="213" t="str">
        <f aca="false">IFERROR(IF(Summary!$D$12="Yes",-L247,""),"")</f>
        <v/>
      </c>
      <c r="V247" s="216" t="str">
        <f aca="false">IF('Bulk Order Details'!J257="","",SUM(R247:U247))</f>
        <v/>
      </c>
      <c r="W247" s="217" t="str">
        <f aca="false">IF('Bulk Order Details'!J257="","",D247+Q247)</f>
        <v/>
      </c>
      <c r="X247" s="218" t="str">
        <f aca="false">IF('Bulk Order Details'!J257="","",D247+Q247+V247)</f>
        <v/>
      </c>
      <c r="Y247" s="219" t="str">
        <f aca="false">IFERROR((W247-X247)/W247,"")</f>
        <v/>
      </c>
      <c r="Z247" s="220" t="str">
        <f aca="false">IF('Bulk Order Details'!J257="","",MAX(1,'Bulk Order Details'!D257))</f>
        <v/>
      </c>
      <c r="AA247" s="217" t="str">
        <f aca="false">IF(Pricing_Details[[#This Row],[Quantity]]="","",Pricing_Details[[#This Row],[Retail Price]]*Pricing_Details[[#This Row],[Quantity]])</f>
        <v/>
      </c>
      <c r="AB247" s="217" t="str">
        <f aca="false">IF(Pricing_Details[[#This Row],[Quantity]]="","",Pricing_Details[[#This Row],[Total Discount]]*Pricing_Details[[#This Row],[Quantity]])</f>
        <v/>
      </c>
      <c r="AC247" s="221" t="str">
        <f aca="false">IFERROR(ROUND(Pricing_Details[[#This Row],[Actual Price]]*Pricing_Details[[#This Row],[Quantity]],2),"")</f>
        <v/>
      </c>
      <c r="AE247" s="179" t="str">
        <f aca="false">IF('Bulk Order Details'!J257="","",VLOOKUP('Bulk Order Details'!H257,Collection[],3)&amp;VLOOKUP('Bulk Order Details'!J257,Collar[],4)&amp;VLOOKUP('Bulk Order Details'!I257,Sleeve[],4))</f>
        <v/>
      </c>
      <c r="AF247" s="179" t="str">
        <f aca="false">IF('Bulk Order Details'!J257="","",LOOKUP('Bulk Order Details'!E257,Cut[Display],Cut[Code])&amp;LOOKUP('Bulk Order Details'!F257,#REF!,#REF!)&amp;IF('Bulk Order Details'!G257="","",LOOKUP('Bulk Order Details'!G257,Length[Display],Length[Code])))</f>
        <v/>
      </c>
      <c r="AG247" s="179" t="str">
        <f aca="false">IF('Bulk Order Details'!J257="","",IF('Bulk Order Details'!C257="","",'Bulk Order Details'!C257))</f>
        <v/>
      </c>
      <c r="AH247" s="179" t="str">
        <f aca="false">IF('Bulk Order Details'!O257="","","-"&amp;LOOKUP('Bulk Order Details'!O257,#REF!,#REF!))</f>
        <v/>
      </c>
      <c r="AI247" s="179" t="str">
        <f aca="false">IF('Bulk Order Details'!P257="","","-"&amp;LOOKUP('Bulk Order Details'!P257,#REF!,#REF!))</f>
        <v/>
      </c>
      <c r="AJ247" s="179" t="str">
        <f aca="false">IF('Bulk Order Details'!Q257="","","-"&amp;LOOKUP('Bulk Order Details'!Q257,#REF!,#REF!))</f>
        <v/>
      </c>
      <c r="AK247" s="179" t="str">
        <f aca="false">IF('Bulk Order Details'!R257="","","-"&amp;LOOKUP('Bulk Order Details'!R257,#REF!,#REF!))</f>
        <v/>
      </c>
      <c r="AL247" s="179" t="str">
        <f aca="false">IF('Bulk Order Details'!S257="","","-"&amp;LOOKUP('Bulk Order Details'!S257,#REF!,#REF!))</f>
        <v/>
      </c>
      <c r="AM247" s="179" t="str">
        <f aca="false">IF(_xlfn.CONCAT(AH247:AL247)="","","Lo"&amp;_xlfn.CONCAT(AH247:AL247))</f>
        <v/>
      </c>
      <c r="AN247" s="179" t="str">
        <f aca="false">IF('Bulk Order Details'!K257="","","Na-"&amp;'Bulk Order Details'!K257)</f>
        <v/>
      </c>
      <c r="AO247" s="179" t="str">
        <f aca="false">IF('Bulk Order Details'!N257="","","Fo-"&amp;'Bulk Order Details'!N257)</f>
        <v/>
      </c>
      <c r="AP247" s="179" t="str">
        <f aca="false">IF(AE247="","",AE247&amp;"_"&amp;AF247&amp;"_"&amp;AG247&amp;IF(AM247="","","_"&amp;AM247)&amp;IF(AN247="","","_"&amp;AN247)&amp;IF(AO247="","","_"&amp;AO247))</f>
        <v/>
      </c>
      <c r="AQ247" s="218" t="str">
        <f aca="false">IF(X247="","",X247)</f>
        <v/>
      </c>
    </row>
    <row r="248" customFormat="false" ht="15" hidden="false" customHeight="true" outlineLevel="0" collapsed="false">
      <c r="B248" s="209" t="n">
        <f aca="false">'Bulk Order Details'!B258</f>
        <v>245</v>
      </c>
      <c r="C248" s="209" t="e">
        <f aca="false">IF('bulk order details'!#ref!="","",'bulk order details'!#ref!&amp;" "&amp;'bulk order details'!#ref!)</f>
        <v>#VALUE!</v>
      </c>
      <c r="D248" s="210" t="str">
        <f aca="false">IF('Bulk Order Details'!J258="","",VLOOKUP(1,Price[],3))</f>
        <v/>
      </c>
      <c r="E248" s="211" t="str">
        <f aca="false">IF('Bulk Order Details'!J258="","",Summary!$D$9)</f>
        <v/>
      </c>
      <c r="F248" s="212" t="str">
        <f aca="false">IF('Bulk Order Details'!F258="","",_xlfn.xlookup('Bulk Order Details'!F258,Size[Display],Size[Price]))</f>
        <v/>
      </c>
      <c r="G248" s="212" t="str">
        <f aca="false">IF('Bulk Order Details'!G258="","",_xlfn.xlookup('Bulk Order Details'!G258,Length[Display],Length[Price]))</f>
        <v/>
      </c>
      <c r="H248" s="212" t="str">
        <f aca="false">IF('Bulk Order Details'!H258="","",_xlfn.xlookup('Bulk Order Details'!H258,Collection[Display],Collection[Price]))</f>
        <v/>
      </c>
      <c r="I248" s="212" t="str">
        <f aca="false">IF('Bulk Order Details'!I258="","",_xlfn.xlookup('Bulk Order Details'!I258,Sleeve[Display],Sleeve[Price]))</f>
        <v/>
      </c>
      <c r="J248" s="212" t="str">
        <f aca="false">IF('Bulk Order Details'!J258="","",_xlfn.xlookup('Bulk Order Details'!J258,Collar[Display],Collar[Price]))</f>
        <v/>
      </c>
      <c r="K248" s="212" t="str">
        <f aca="false">IF('Bulk Order Details'!K258="","",_xlfn.xlookup("Name",Name[Name],Name[Price]))</f>
        <v/>
      </c>
      <c r="L248" s="213" t="str">
        <f aca="false">IFERROR(IF('Bulk Order Details'!O258="","",IF(_xlfn.xlookup('Bulk Order Details'!O258,Logos[Display],Logos[Use])="Flat",_xlfn.xlookup('Bulk Order Details'!O258,Logos[Display],Logos[Flat]),ROUND(_xlfn.xlookup('Bulk Order Details'!O258,Logos[Display],Logos[Pct])*$E248,2))),"")</f>
        <v/>
      </c>
      <c r="M248" s="222" t="str">
        <f aca="false">IFERROR(IF('Bulk Order Details'!P258="","",IF(_xlfn.xlookup('Bulk Order Details'!P258,Chest[Display],Chest[Use])="Flat",_xlfn.xlookup('Bulk Order Details'!P258,Chest[Display],Chest[Flat]),ROUND(_xlfn.xlookup('Bulk Order Details'!P258,Chest[Display],Chest[Pct])*$E248,2))),"")</f>
        <v/>
      </c>
      <c r="N248" s="222" t="str">
        <f aca="false">IFERROR(IF('Bulk Order Details'!Q258="","",IF(_xlfn.xlookup('Bulk Order Details'!Q258,Chest[Display],Chest[Use])="Flat",_xlfn.xlookup('Bulk Order Details'!Q258,Chest[Display],Chest[Flat]),ROUND(_xlfn.xlookup('Bulk Order Details'!Q258,Chest[Display],Chest[Pct])*$E248,2))),"")</f>
        <v/>
      </c>
      <c r="O248" s="222" t="str">
        <f aca="false">IFERROR(IF('Bulk Order Details'!R258="","",IF(_xlfn.xlookup('Bulk Order Details'!R258,LeftSleeve[Display],LeftSleeve[Use])="Flat",_xlfn.xlookup('Bulk Order Details'!R258,LeftSleeve[Display],LeftSleeve[Flat]),ROUND(_xlfn.xlookup('Bulk Order Details'!R258,LeftSleeve[Display],LeftSleeve[Pct])*$E248,2))),"")</f>
        <v/>
      </c>
      <c r="P248" s="222" t="str">
        <f aca="false">IFERROR(IF('Bulk Order Details'!S258="","",IF(_xlfn.xlookup('Bulk Order Details'!S258,RightSleeve[Display],RightSleeve[Use])="Flat",_xlfn.xlookup('Bulk Order Details'!S258,RightSleeve[Display],RightSleeve[Flat]),ROUND(_xlfn.xlookup('Bulk Order Details'!S258,RightSleeve[Display],RightSleeve[Pct])*$E248,2))),"")</f>
        <v/>
      </c>
      <c r="Q248" s="214" t="str">
        <f aca="false">IF('Bulk Order Details'!J258="","",SUM(F248:P248))</f>
        <v/>
      </c>
      <c r="R248" s="213" t="str">
        <f aca="false">IFERROR(E248-D248,"")</f>
        <v/>
      </c>
      <c r="S248" s="215" t="str">
        <f aca="false">IFERROR(MIN(IF(Summary!$D$11="Yes",-J248,0),IF(H248&gt;0,-J248,0)),"")</f>
        <v/>
      </c>
      <c r="T248" s="212" t="str">
        <f aca="false">IFERROR(IF(Summary!$D$10="Yes",-K248,""),"")</f>
        <v/>
      </c>
      <c r="U248" s="213" t="str">
        <f aca="false">IFERROR(IF(Summary!$D$12="Yes",-L248,""),"")</f>
        <v/>
      </c>
      <c r="V248" s="216" t="str">
        <f aca="false">IF('Bulk Order Details'!J258="","",SUM(R248:U248))</f>
        <v/>
      </c>
      <c r="W248" s="217" t="str">
        <f aca="false">IF('Bulk Order Details'!J258="","",D248+Q248)</f>
        <v/>
      </c>
      <c r="X248" s="218" t="str">
        <f aca="false">IF('Bulk Order Details'!J258="","",D248+Q248+V248)</f>
        <v/>
      </c>
      <c r="Y248" s="219" t="str">
        <f aca="false">IFERROR((W248-X248)/W248,"")</f>
        <v/>
      </c>
      <c r="Z248" s="220" t="str">
        <f aca="false">IF('Bulk Order Details'!J258="","",MAX(1,'Bulk Order Details'!D258))</f>
        <v/>
      </c>
      <c r="AA248" s="217" t="str">
        <f aca="false">IF(Pricing_Details[[#This Row],[Quantity]]="","",Pricing_Details[[#This Row],[Retail Price]]*Pricing_Details[[#This Row],[Quantity]])</f>
        <v/>
      </c>
      <c r="AB248" s="217" t="str">
        <f aca="false">IF(Pricing_Details[[#This Row],[Quantity]]="","",Pricing_Details[[#This Row],[Total Discount]]*Pricing_Details[[#This Row],[Quantity]])</f>
        <v/>
      </c>
      <c r="AC248" s="221" t="str">
        <f aca="false">IFERROR(ROUND(Pricing_Details[[#This Row],[Actual Price]]*Pricing_Details[[#This Row],[Quantity]],2),"")</f>
        <v/>
      </c>
      <c r="AE248" s="179" t="str">
        <f aca="false">IF('Bulk Order Details'!J258="","",VLOOKUP('Bulk Order Details'!H258,Collection[],3)&amp;VLOOKUP('Bulk Order Details'!J258,Collar[],4)&amp;VLOOKUP('Bulk Order Details'!I258,Sleeve[],4))</f>
        <v/>
      </c>
      <c r="AF248" s="179" t="str">
        <f aca="false">IF('Bulk Order Details'!J258="","",LOOKUP('Bulk Order Details'!E258,Cut[Display],Cut[Code])&amp;LOOKUP('Bulk Order Details'!F258,#REF!,#REF!)&amp;IF('Bulk Order Details'!G258="","",LOOKUP('Bulk Order Details'!G258,Length[Display],Length[Code])))</f>
        <v/>
      </c>
      <c r="AG248" s="179" t="str">
        <f aca="false">IF('Bulk Order Details'!J258="","",IF('Bulk Order Details'!C258="","",'Bulk Order Details'!C258))</f>
        <v/>
      </c>
      <c r="AH248" s="179" t="str">
        <f aca="false">IF('Bulk Order Details'!O258="","","-"&amp;LOOKUP('Bulk Order Details'!O258,#REF!,#REF!))</f>
        <v/>
      </c>
      <c r="AI248" s="179" t="str">
        <f aca="false">IF('Bulk Order Details'!P258="","","-"&amp;LOOKUP('Bulk Order Details'!P258,#REF!,#REF!))</f>
        <v/>
      </c>
      <c r="AJ248" s="179" t="str">
        <f aca="false">IF('Bulk Order Details'!Q258="","","-"&amp;LOOKUP('Bulk Order Details'!Q258,#REF!,#REF!))</f>
        <v/>
      </c>
      <c r="AK248" s="179" t="str">
        <f aca="false">IF('Bulk Order Details'!R258="","","-"&amp;LOOKUP('Bulk Order Details'!R258,#REF!,#REF!))</f>
        <v/>
      </c>
      <c r="AL248" s="179" t="str">
        <f aca="false">IF('Bulk Order Details'!S258="","","-"&amp;LOOKUP('Bulk Order Details'!S258,#REF!,#REF!))</f>
        <v/>
      </c>
      <c r="AM248" s="179" t="str">
        <f aca="false">IF(_xlfn.CONCAT(AH248:AL248)="","","Lo"&amp;_xlfn.CONCAT(AH248:AL248))</f>
        <v/>
      </c>
      <c r="AN248" s="179" t="str">
        <f aca="false">IF('Bulk Order Details'!K258="","","Na-"&amp;'Bulk Order Details'!K258)</f>
        <v/>
      </c>
      <c r="AO248" s="179" t="str">
        <f aca="false">IF('Bulk Order Details'!N258="","","Fo-"&amp;'Bulk Order Details'!N258)</f>
        <v/>
      </c>
      <c r="AP248" s="179" t="str">
        <f aca="false">IF(AE248="","",AE248&amp;"_"&amp;AF248&amp;"_"&amp;AG248&amp;IF(AM248="","","_"&amp;AM248)&amp;IF(AN248="","","_"&amp;AN248)&amp;IF(AO248="","","_"&amp;AO248))</f>
        <v/>
      </c>
      <c r="AQ248" s="218" t="str">
        <f aca="false">IF(X248="","",X248)</f>
        <v/>
      </c>
    </row>
    <row r="249" customFormat="false" ht="15" hidden="false" customHeight="true" outlineLevel="0" collapsed="false">
      <c r="B249" s="209" t="n">
        <f aca="false">'Bulk Order Details'!B259</f>
        <v>246</v>
      </c>
      <c r="C249" s="209" t="e">
        <f aca="false">IF('bulk order details'!#ref!="","",'bulk order details'!#ref!&amp;" "&amp;'bulk order details'!#ref!)</f>
        <v>#VALUE!</v>
      </c>
      <c r="D249" s="210" t="str">
        <f aca="false">IF('Bulk Order Details'!J259="","",VLOOKUP(1,Price[],3))</f>
        <v/>
      </c>
      <c r="E249" s="211" t="str">
        <f aca="false">IF('Bulk Order Details'!J259="","",Summary!$D$9)</f>
        <v/>
      </c>
      <c r="F249" s="212" t="str">
        <f aca="false">IF('Bulk Order Details'!F259="","",_xlfn.xlookup('Bulk Order Details'!F259,Size[Display],Size[Price]))</f>
        <v/>
      </c>
      <c r="G249" s="212" t="str">
        <f aca="false">IF('Bulk Order Details'!G259="","",_xlfn.xlookup('Bulk Order Details'!G259,Length[Display],Length[Price]))</f>
        <v/>
      </c>
      <c r="H249" s="212" t="str">
        <f aca="false">IF('Bulk Order Details'!H259="","",_xlfn.xlookup('Bulk Order Details'!H259,Collection[Display],Collection[Price]))</f>
        <v/>
      </c>
      <c r="I249" s="212" t="str">
        <f aca="false">IF('Bulk Order Details'!I259="","",_xlfn.xlookup('Bulk Order Details'!I259,Sleeve[Display],Sleeve[Price]))</f>
        <v/>
      </c>
      <c r="J249" s="212" t="str">
        <f aca="false">IF('Bulk Order Details'!J259="","",_xlfn.xlookup('Bulk Order Details'!J259,Collar[Display],Collar[Price]))</f>
        <v/>
      </c>
      <c r="K249" s="212" t="str">
        <f aca="false">IF('Bulk Order Details'!K259="","",_xlfn.xlookup("Name",Name[Name],Name[Price]))</f>
        <v/>
      </c>
      <c r="L249" s="213" t="str">
        <f aca="false">IFERROR(IF('Bulk Order Details'!O259="","",IF(_xlfn.xlookup('Bulk Order Details'!O259,Logos[Display],Logos[Use])="Flat",_xlfn.xlookup('Bulk Order Details'!O259,Logos[Display],Logos[Flat]),ROUND(_xlfn.xlookup('Bulk Order Details'!O259,Logos[Display],Logos[Pct])*$E249,2))),"")</f>
        <v/>
      </c>
      <c r="M249" s="222" t="str">
        <f aca="false">IFERROR(IF('Bulk Order Details'!P259="","",IF(_xlfn.xlookup('Bulk Order Details'!P259,Chest[Display],Chest[Use])="Flat",_xlfn.xlookup('Bulk Order Details'!P259,Chest[Display],Chest[Flat]),ROUND(_xlfn.xlookup('Bulk Order Details'!P259,Chest[Display],Chest[Pct])*$E249,2))),"")</f>
        <v/>
      </c>
      <c r="N249" s="222" t="str">
        <f aca="false">IFERROR(IF('Bulk Order Details'!Q259="","",IF(_xlfn.xlookup('Bulk Order Details'!Q259,Chest[Display],Chest[Use])="Flat",_xlfn.xlookup('Bulk Order Details'!Q259,Chest[Display],Chest[Flat]),ROUND(_xlfn.xlookup('Bulk Order Details'!Q259,Chest[Display],Chest[Pct])*$E249,2))),"")</f>
        <v/>
      </c>
      <c r="O249" s="222" t="str">
        <f aca="false">IFERROR(IF('Bulk Order Details'!R259="","",IF(_xlfn.xlookup('Bulk Order Details'!R259,LeftSleeve[Display],LeftSleeve[Use])="Flat",_xlfn.xlookup('Bulk Order Details'!R259,LeftSleeve[Display],LeftSleeve[Flat]),ROUND(_xlfn.xlookup('Bulk Order Details'!R259,LeftSleeve[Display],LeftSleeve[Pct])*$E249,2))),"")</f>
        <v/>
      </c>
      <c r="P249" s="222" t="str">
        <f aca="false">IFERROR(IF('Bulk Order Details'!S259="","",IF(_xlfn.xlookup('Bulk Order Details'!S259,RightSleeve[Display],RightSleeve[Use])="Flat",_xlfn.xlookup('Bulk Order Details'!S259,RightSleeve[Display],RightSleeve[Flat]),ROUND(_xlfn.xlookup('Bulk Order Details'!S259,RightSleeve[Display],RightSleeve[Pct])*$E249,2))),"")</f>
        <v/>
      </c>
      <c r="Q249" s="214" t="str">
        <f aca="false">IF('Bulk Order Details'!J259="","",SUM(F249:P249))</f>
        <v/>
      </c>
      <c r="R249" s="213" t="str">
        <f aca="false">IFERROR(E249-D249,"")</f>
        <v/>
      </c>
      <c r="S249" s="215" t="str">
        <f aca="false">IFERROR(MIN(IF(Summary!$D$11="Yes",-J249,0),IF(H249&gt;0,-J249,0)),"")</f>
        <v/>
      </c>
      <c r="T249" s="212" t="str">
        <f aca="false">IFERROR(IF(Summary!$D$10="Yes",-K249,""),"")</f>
        <v/>
      </c>
      <c r="U249" s="213" t="str">
        <f aca="false">IFERROR(IF(Summary!$D$12="Yes",-L249,""),"")</f>
        <v/>
      </c>
      <c r="V249" s="216" t="str">
        <f aca="false">IF('Bulk Order Details'!J259="","",SUM(R249:U249))</f>
        <v/>
      </c>
      <c r="W249" s="217" t="str">
        <f aca="false">IF('Bulk Order Details'!J259="","",D249+Q249)</f>
        <v/>
      </c>
      <c r="X249" s="218" t="str">
        <f aca="false">IF('Bulk Order Details'!J259="","",D249+Q249+V249)</f>
        <v/>
      </c>
      <c r="Y249" s="219" t="str">
        <f aca="false">IFERROR((W249-X249)/W249,"")</f>
        <v/>
      </c>
      <c r="Z249" s="220" t="str">
        <f aca="false">IF('Bulk Order Details'!J259="","",MAX(1,'Bulk Order Details'!D259))</f>
        <v/>
      </c>
      <c r="AA249" s="217" t="str">
        <f aca="false">IF(Pricing_Details[[#This Row],[Quantity]]="","",Pricing_Details[[#This Row],[Retail Price]]*Pricing_Details[[#This Row],[Quantity]])</f>
        <v/>
      </c>
      <c r="AB249" s="217" t="str">
        <f aca="false">IF(Pricing_Details[[#This Row],[Quantity]]="","",Pricing_Details[[#This Row],[Total Discount]]*Pricing_Details[[#This Row],[Quantity]])</f>
        <v/>
      </c>
      <c r="AC249" s="221" t="str">
        <f aca="false">IFERROR(ROUND(Pricing_Details[[#This Row],[Actual Price]]*Pricing_Details[[#This Row],[Quantity]],2),"")</f>
        <v/>
      </c>
      <c r="AE249" s="179" t="str">
        <f aca="false">IF('Bulk Order Details'!J259="","",VLOOKUP('Bulk Order Details'!H259,Collection[],3)&amp;VLOOKUP('Bulk Order Details'!J259,Collar[],4)&amp;VLOOKUP('Bulk Order Details'!I259,Sleeve[],4))</f>
        <v/>
      </c>
      <c r="AF249" s="179" t="str">
        <f aca="false">IF('Bulk Order Details'!J259="","",LOOKUP('Bulk Order Details'!E259,Cut[Display],Cut[Code])&amp;LOOKUP('Bulk Order Details'!F259,#REF!,#REF!)&amp;IF('Bulk Order Details'!G259="","",LOOKUP('Bulk Order Details'!G259,Length[Display],Length[Code])))</f>
        <v/>
      </c>
      <c r="AG249" s="179" t="str">
        <f aca="false">IF('Bulk Order Details'!J259="","",IF('Bulk Order Details'!C259="","",'Bulk Order Details'!C259))</f>
        <v/>
      </c>
      <c r="AH249" s="179" t="str">
        <f aca="false">IF('Bulk Order Details'!O259="","","-"&amp;LOOKUP('Bulk Order Details'!O259,#REF!,#REF!))</f>
        <v/>
      </c>
      <c r="AI249" s="179" t="str">
        <f aca="false">IF('Bulk Order Details'!P259="","","-"&amp;LOOKUP('Bulk Order Details'!P259,#REF!,#REF!))</f>
        <v/>
      </c>
      <c r="AJ249" s="179" t="str">
        <f aca="false">IF('Bulk Order Details'!Q259="","","-"&amp;LOOKUP('Bulk Order Details'!Q259,#REF!,#REF!))</f>
        <v/>
      </c>
      <c r="AK249" s="179" t="str">
        <f aca="false">IF('Bulk Order Details'!R259="","","-"&amp;LOOKUP('Bulk Order Details'!R259,#REF!,#REF!))</f>
        <v/>
      </c>
      <c r="AL249" s="179" t="str">
        <f aca="false">IF('Bulk Order Details'!S259="","","-"&amp;LOOKUP('Bulk Order Details'!S259,#REF!,#REF!))</f>
        <v/>
      </c>
      <c r="AM249" s="179" t="str">
        <f aca="false">IF(_xlfn.CONCAT(AH249:AL249)="","","Lo"&amp;_xlfn.CONCAT(AH249:AL249))</f>
        <v/>
      </c>
      <c r="AN249" s="179" t="str">
        <f aca="false">IF('Bulk Order Details'!K259="","","Na-"&amp;'Bulk Order Details'!K259)</f>
        <v/>
      </c>
      <c r="AO249" s="179" t="str">
        <f aca="false">IF('Bulk Order Details'!N259="","","Fo-"&amp;'Bulk Order Details'!N259)</f>
        <v/>
      </c>
      <c r="AP249" s="179" t="str">
        <f aca="false">IF(AE249="","",AE249&amp;"_"&amp;AF249&amp;"_"&amp;AG249&amp;IF(AM249="","","_"&amp;AM249)&amp;IF(AN249="","","_"&amp;AN249)&amp;IF(AO249="","","_"&amp;AO249))</f>
        <v/>
      </c>
      <c r="AQ249" s="218" t="str">
        <f aca="false">IF(X249="","",X249)</f>
        <v/>
      </c>
    </row>
    <row r="250" customFormat="false" ht="15" hidden="false" customHeight="true" outlineLevel="0" collapsed="false">
      <c r="B250" s="209" t="n">
        <f aca="false">'Bulk Order Details'!B260</f>
        <v>247</v>
      </c>
      <c r="C250" s="209" t="e">
        <f aca="false">IF('bulk order details'!#ref!="","",'bulk order details'!#ref!&amp;" "&amp;'bulk order details'!#ref!)</f>
        <v>#VALUE!</v>
      </c>
      <c r="D250" s="210" t="str">
        <f aca="false">IF('Bulk Order Details'!J260="","",VLOOKUP(1,Price[],3))</f>
        <v/>
      </c>
      <c r="E250" s="211" t="str">
        <f aca="false">IF('Bulk Order Details'!J260="","",Summary!$D$9)</f>
        <v/>
      </c>
      <c r="F250" s="212" t="str">
        <f aca="false">IF('Bulk Order Details'!F260="","",_xlfn.xlookup('Bulk Order Details'!F260,Size[Display],Size[Price]))</f>
        <v/>
      </c>
      <c r="G250" s="212" t="str">
        <f aca="false">IF('Bulk Order Details'!G260="","",_xlfn.xlookup('Bulk Order Details'!G260,Length[Display],Length[Price]))</f>
        <v/>
      </c>
      <c r="H250" s="212" t="str">
        <f aca="false">IF('Bulk Order Details'!H260="","",_xlfn.xlookup('Bulk Order Details'!H260,Collection[Display],Collection[Price]))</f>
        <v/>
      </c>
      <c r="I250" s="212" t="str">
        <f aca="false">IF('Bulk Order Details'!I260="","",_xlfn.xlookup('Bulk Order Details'!I260,Sleeve[Display],Sleeve[Price]))</f>
        <v/>
      </c>
      <c r="J250" s="212" t="str">
        <f aca="false">IF('Bulk Order Details'!J260="","",_xlfn.xlookup('Bulk Order Details'!J260,Collar[Display],Collar[Price]))</f>
        <v/>
      </c>
      <c r="K250" s="212" t="str">
        <f aca="false">IF('Bulk Order Details'!K260="","",_xlfn.xlookup("Name",Name[Name],Name[Price]))</f>
        <v/>
      </c>
      <c r="L250" s="213" t="str">
        <f aca="false">IFERROR(IF('Bulk Order Details'!O260="","",IF(_xlfn.xlookup('Bulk Order Details'!O260,Logos[Display],Logos[Use])="Flat",_xlfn.xlookup('Bulk Order Details'!O260,Logos[Display],Logos[Flat]),ROUND(_xlfn.xlookup('Bulk Order Details'!O260,Logos[Display],Logos[Pct])*$E250,2))),"")</f>
        <v/>
      </c>
      <c r="M250" s="222" t="str">
        <f aca="false">IFERROR(IF('Bulk Order Details'!P260="","",IF(_xlfn.xlookup('Bulk Order Details'!P260,Chest[Display],Chest[Use])="Flat",_xlfn.xlookup('Bulk Order Details'!P260,Chest[Display],Chest[Flat]),ROUND(_xlfn.xlookup('Bulk Order Details'!P260,Chest[Display],Chest[Pct])*$E250,2))),"")</f>
        <v/>
      </c>
      <c r="N250" s="222" t="str">
        <f aca="false">IFERROR(IF('Bulk Order Details'!Q260="","",IF(_xlfn.xlookup('Bulk Order Details'!Q260,Chest[Display],Chest[Use])="Flat",_xlfn.xlookup('Bulk Order Details'!Q260,Chest[Display],Chest[Flat]),ROUND(_xlfn.xlookup('Bulk Order Details'!Q260,Chest[Display],Chest[Pct])*$E250,2))),"")</f>
        <v/>
      </c>
      <c r="O250" s="222" t="str">
        <f aca="false">IFERROR(IF('Bulk Order Details'!R260="","",IF(_xlfn.xlookup('Bulk Order Details'!R260,LeftSleeve[Display],LeftSleeve[Use])="Flat",_xlfn.xlookup('Bulk Order Details'!R260,LeftSleeve[Display],LeftSleeve[Flat]),ROUND(_xlfn.xlookup('Bulk Order Details'!R260,LeftSleeve[Display],LeftSleeve[Pct])*$E250,2))),"")</f>
        <v/>
      </c>
      <c r="P250" s="222" t="str">
        <f aca="false">IFERROR(IF('Bulk Order Details'!S260="","",IF(_xlfn.xlookup('Bulk Order Details'!S260,RightSleeve[Display],RightSleeve[Use])="Flat",_xlfn.xlookup('Bulk Order Details'!S260,RightSleeve[Display],RightSleeve[Flat]),ROUND(_xlfn.xlookup('Bulk Order Details'!S260,RightSleeve[Display],RightSleeve[Pct])*$E250,2))),"")</f>
        <v/>
      </c>
      <c r="Q250" s="214" t="str">
        <f aca="false">IF('Bulk Order Details'!J260="","",SUM(F250:P250))</f>
        <v/>
      </c>
      <c r="R250" s="213" t="str">
        <f aca="false">IFERROR(E250-D250,"")</f>
        <v/>
      </c>
      <c r="S250" s="215" t="str">
        <f aca="false">IFERROR(MIN(IF(Summary!$D$11="Yes",-J250,0),IF(H250&gt;0,-J250,0)),"")</f>
        <v/>
      </c>
      <c r="T250" s="212" t="str">
        <f aca="false">IFERROR(IF(Summary!$D$10="Yes",-K250,""),"")</f>
        <v/>
      </c>
      <c r="U250" s="213" t="str">
        <f aca="false">IFERROR(IF(Summary!$D$12="Yes",-L250,""),"")</f>
        <v/>
      </c>
      <c r="V250" s="216" t="str">
        <f aca="false">IF('Bulk Order Details'!J260="","",SUM(R250:U250))</f>
        <v/>
      </c>
      <c r="W250" s="217" t="str">
        <f aca="false">IF('Bulk Order Details'!J260="","",D250+Q250)</f>
        <v/>
      </c>
      <c r="X250" s="218" t="str">
        <f aca="false">IF('Bulk Order Details'!J260="","",D250+Q250+V250)</f>
        <v/>
      </c>
      <c r="Y250" s="219" t="str">
        <f aca="false">IFERROR((W250-X250)/W250,"")</f>
        <v/>
      </c>
      <c r="Z250" s="220" t="str">
        <f aca="false">IF('Bulk Order Details'!J260="","",MAX(1,'Bulk Order Details'!D260))</f>
        <v/>
      </c>
      <c r="AA250" s="217" t="str">
        <f aca="false">IF(Pricing_Details[[#This Row],[Quantity]]="","",Pricing_Details[[#This Row],[Retail Price]]*Pricing_Details[[#This Row],[Quantity]])</f>
        <v/>
      </c>
      <c r="AB250" s="217" t="str">
        <f aca="false">IF(Pricing_Details[[#This Row],[Quantity]]="","",Pricing_Details[[#This Row],[Total Discount]]*Pricing_Details[[#This Row],[Quantity]])</f>
        <v/>
      </c>
      <c r="AC250" s="221" t="str">
        <f aca="false">IFERROR(ROUND(Pricing_Details[[#This Row],[Actual Price]]*Pricing_Details[[#This Row],[Quantity]],2),"")</f>
        <v/>
      </c>
      <c r="AE250" s="179" t="str">
        <f aca="false">IF('Bulk Order Details'!J260="","",VLOOKUP('Bulk Order Details'!H260,Collection[],3)&amp;VLOOKUP('Bulk Order Details'!J260,Collar[],4)&amp;VLOOKUP('Bulk Order Details'!I260,Sleeve[],4))</f>
        <v/>
      </c>
      <c r="AF250" s="179" t="str">
        <f aca="false">IF('Bulk Order Details'!J260="","",LOOKUP('Bulk Order Details'!E260,Cut[Display],Cut[Code])&amp;LOOKUP('Bulk Order Details'!F260,#REF!,#REF!)&amp;IF('Bulk Order Details'!G260="","",LOOKUP('Bulk Order Details'!G260,Length[Display],Length[Code])))</f>
        <v/>
      </c>
      <c r="AG250" s="179" t="str">
        <f aca="false">IF('Bulk Order Details'!J260="","",IF('Bulk Order Details'!C260="","",'Bulk Order Details'!C260))</f>
        <v/>
      </c>
      <c r="AH250" s="179" t="str">
        <f aca="false">IF('Bulk Order Details'!O260="","","-"&amp;LOOKUP('Bulk Order Details'!O260,#REF!,#REF!))</f>
        <v/>
      </c>
      <c r="AI250" s="179" t="str">
        <f aca="false">IF('Bulk Order Details'!P260="","","-"&amp;LOOKUP('Bulk Order Details'!P260,#REF!,#REF!))</f>
        <v/>
      </c>
      <c r="AJ250" s="179" t="str">
        <f aca="false">IF('Bulk Order Details'!Q260="","","-"&amp;LOOKUP('Bulk Order Details'!Q260,#REF!,#REF!))</f>
        <v/>
      </c>
      <c r="AK250" s="179" t="str">
        <f aca="false">IF('Bulk Order Details'!R260="","","-"&amp;LOOKUP('Bulk Order Details'!R260,#REF!,#REF!))</f>
        <v/>
      </c>
      <c r="AL250" s="179" t="str">
        <f aca="false">IF('Bulk Order Details'!S260="","","-"&amp;LOOKUP('Bulk Order Details'!S260,#REF!,#REF!))</f>
        <v/>
      </c>
      <c r="AM250" s="179" t="str">
        <f aca="false">IF(_xlfn.CONCAT(AH250:AL250)="","","Lo"&amp;_xlfn.CONCAT(AH250:AL250))</f>
        <v/>
      </c>
      <c r="AN250" s="179" t="str">
        <f aca="false">IF('Bulk Order Details'!K260="","","Na-"&amp;'Bulk Order Details'!K260)</f>
        <v/>
      </c>
      <c r="AO250" s="179" t="str">
        <f aca="false">IF('Bulk Order Details'!N260="","","Fo-"&amp;'Bulk Order Details'!N260)</f>
        <v/>
      </c>
      <c r="AP250" s="179" t="str">
        <f aca="false">IF(AE250="","",AE250&amp;"_"&amp;AF250&amp;"_"&amp;AG250&amp;IF(AM250="","","_"&amp;AM250)&amp;IF(AN250="","","_"&amp;AN250)&amp;IF(AO250="","","_"&amp;AO250))</f>
        <v/>
      </c>
      <c r="AQ250" s="218" t="str">
        <f aca="false">IF(X250="","",X250)</f>
        <v/>
      </c>
    </row>
    <row r="251" customFormat="false" ht="15" hidden="false" customHeight="true" outlineLevel="0" collapsed="false">
      <c r="B251" s="209" t="n">
        <f aca="false">'Bulk Order Details'!B261</f>
        <v>248</v>
      </c>
      <c r="C251" s="209" t="e">
        <f aca="false">IF('bulk order details'!#ref!="","",'bulk order details'!#ref!&amp;" "&amp;'bulk order details'!#ref!)</f>
        <v>#VALUE!</v>
      </c>
      <c r="D251" s="210" t="str">
        <f aca="false">IF('Bulk Order Details'!J261="","",VLOOKUP(1,Price[],3))</f>
        <v/>
      </c>
      <c r="E251" s="211" t="str">
        <f aca="false">IF('Bulk Order Details'!J261="","",Summary!$D$9)</f>
        <v/>
      </c>
      <c r="F251" s="212" t="str">
        <f aca="false">IF('Bulk Order Details'!F261="","",_xlfn.xlookup('Bulk Order Details'!F261,Size[Display],Size[Price]))</f>
        <v/>
      </c>
      <c r="G251" s="212" t="str">
        <f aca="false">IF('Bulk Order Details'!G261="","",_xlfn.xlookup('Bulk Order Details'!G261,Length[Display],Length[Price]))</f>
        <v/>
      </c>
      <c r="H251" s="212" t="str">
        <f aca="false">IF('Bulk Order Details'!H261="","",_xlfn.xlookup('Bulk Order Details'!H261,Collection[Display],Collection[Price]))</f>
        <v/>
      </c>
      <c r="I251" s="212" t="str">
        <f aca="false">IF('Bulk Order Details'!I261="","",_xlfn.xlookup('Bulk Order Details'!I261,Sleeve[Display],Sleeve[Price]))</f>
        <v/>
      </c>
      <c r="J251" s="212" t="str">
        <f aca="false">IF('Bulk Order Details'!J261="","",_xlfn.xlookup('Bulk Order Details'!J261,Collar[Display],Collar[Price]))</f>
        <v/>
      </c>
      <c r="K251" s="212" t="str">
        <f aca="false">IF('Bulk Order Details'!K261="","",_xlfn.xlookup("Name",Name[Name],Name[Price]))</f>
        <v/>
      </c>
      <c r="L251" s="213" t="str">
        <f aca="false">IFERROR(IF('Bulk Order Details'!O261="","",IF(_xlfn.xlookup('Bulk Order Details'!O261,Logos[Display],Logos[Use])="Flat",_xlfn.xlookup('Bulk Order Details'!O261,Logos[Display],Logos[Flat]),ROUND(_xlfn.xlookup('Bulk Order Details'!O261,Logos[Display],Logos[Pct])*$E251,2))),"")</f>
        <v/>
      </c>
      <c r="M251" s="222" t="str">
        <f aca="false">IFERROR(IF('Bulk Order Details'!P261="","",IF(_xlfn.xlookup('Bulk Order Details'!P261,Chest[Display],Chest[Use])="Flat",_xlfn.xlookup('Bulk Order Details'!P261,Chest[Display],Chest[Flat]),ROUND(_xlfn.xlookup('Bulk Order Details'!P261,Chest[Display],Chest[Pct])*$E251,2))),"")</f>
        <v/>
      </c>
      <c r="N251" s="222" t="str">
        <f aca="false">IFERROR(IF('Bulk Order Details'!Q261="","",IF(_xlfn.xlookup('Bulk Order Details'!Q261,Chest[Display],Chest[Use])="Flat",_xlfn.xlookup('Bulk Order Details'!Q261,Chest[Display],Chest[Flat]),ROUND(_xlfn.xlookup('Bulk Order Details'!Q261,Chest[Display],Chest[Pct])*$E251,2))),"")</f>
        <v/>
      </c>
      <c r="O251" s="222" t="str">
        <f aca="false">IFERROR(IF('Bulk Order Details'!R261="","",IF(_xlfn.xlookup('Bulk Order Details'!R261,LeftSleeve[Display],LeftSleeve[Use])="Flat",_xlfn.xlookup('Bulk Order Details'!R261,LeftSleeve[Display],LeftSleeve[Flat]),ROUND(_xlfn.xlookup('Bulk Order Details'!R261,LeftSleeve[Display],LeftSleeve[Pct])*$E251,2))),"")</f>
        <v/>
      </c>
      <c r="P251" s="222" t="str">
        <f aca="false">IFERROR(IF('Bulk Order Details'!S261="","",IF(_xlfn.xlookup('Bulk Order Details'!S261,RightSleeve[Display],RightSleeve[Use])="Flat",_xlfn.xlookup('Bulk Order Details'!S261,RightSleeve[Display],RightSleeve[Flat]),ROUND(_xlfn.xlookup('Bulk Order Details'!S261,RightSleeve[Display],RightSleeve[Pct])*$E251,2))),"")</f>
        <v/>
      </c>
      <c r="Q251" s="214" t="str">
        <f aca="false">IF('Bulk Order Details'!J261="","",SUM(F251:P251))</f>
        <v/>
      </c>
      <c r="R251" s="213" t="str">
        <f aca="false">IFERROR(E251-D251,"")</f>
        <v/>
      </c>
      <c r="S251" s="215" t="str">
        <f aca="false">IFERROR(MIN(IF(Summary!$D$11="Yes",-J251,0),IF(H251&gt;0,-J251,0)),"")</f>
        <v/>
      </c>
      <c r="T251" s="212" t="str">
        <f aca="false">IFERROR(IF(Summary!$D$10="Yes",-K251,""),"")</f>
        <v/>
      </c>
      <c r="U251" s="213" t="str">
        <f aca="false">IFERROR(IF(Summary!$D$12="Yes",-L251,""),"")</f>
        <v/>
      </c>
      <c r="V251" s="216" t="str">
        <f aca="false">IF('Bulk Order Details'!J261="","",SUM(R251:U251))</f>
        <v/>
      </c>
      <c r="W251" s="217" t="str">
        <f aca="false">IF('Bulk Order Details'!J261="","",D251+Q251)</f>
        <v/>
      </c>
      <c r="X251" s="218" t="str">
        <f aca="false">IF('Bulk Order Details'!J261="","",D251+Q251+V251)</f>
        <v/>
      </c>
      <c r="Y251" s="219" t="str">
        <f aca="false">IFERROR((W251-X251)/W251,"")</f>
        <v/>
      </c>
      <c r="Z251" s="220" t="str">
        <f aca="false">IF('Bulk Order Details'!J261="","",MAX(1,'Bulk Order Details'!D261))</f>
        <v/>
      </c>
      <c r="AA251" s="217" t="str">
        <f aca="false">IF(Pricing_Details[[#This Row],[Quantity]]="","",Pricing_Details[[#This Row],[Retail Price]]*Pricing_Details[[#This Row],[Quantity]])</f>
        <v/>
      </c>
      <c r="AB251" s="217" t="str">
        <f aca="false">IF(Pricing_Details[[#This Row],[Quantity]]="","",Pricing_Details[[#This Row],[Total Discount]]*Pricing_Details[[#This Row],[Quantity]])</f>
        <v/>
      </c>
      <c r="AC251" s="221" t="str">
        <f aca="false">IFERROR(ROUND(Pricing_Details[[#This Row],[Actual Price]]*Pricing_Details[[#This Row],[Quantity]],2),"")</f>
        <v/>
      </c>
      <c r="AE251" s="179" t="str">
        <f aca="false">IF('Bulk Order Details'!J261="","",VLOOKUP('Bulk Order Details'!H261,Collection[],3)&amp;VLOOKUP('Bulk Order Details'!J261,Collar[],4)&amp;VLOOKUP('Bulk Order Details'!I261,Sleeve[],4))</f>
        <v/>
      </c>
      <c r="AF251" s="179" t="str">
        <f aca="false">IF('Bulk Order Details'!J261="","",LOOKUP('Bulk Order Details'!E261,Cut[Display],Cut[Code])&amp;LOOKUP('Bulk Order Details'!F261,#REF!,#REF!)&amp;IF('Bulk Order Details'!G261="","",LOOKUP('Bulk Order Details'!G261,Length[Display],Length[Code])))</f>
        <v/>
      </c>
      <c r="AG251" s="179" t="str">
        <f aca="false">IF('Bulk Order Details'!J261="","",IF('Bulk Order Details'!C261="","",'Bulk Order Details'!C261))</f>
        <v/>
      </c>
      <c r="AH251" s="179" t="str">
        <f aca="false">IF('Bulk Order Details'!O261="","","-"&amp;LOOKUP('Bulk Order Details'!O261,#REF!,#REF!))</f>
        <v/>
      </c>
      <c r="AI251" s="179" t="str">
        <f aca="false">IF('Bulk Order Details'!P261="","","-"&amp;LOOKUP('Bulk Order Details'!P261,#REF!,#REF!))</f>
        <v/>
      </c>
      <c r="AJ251" s="179" t="str">
        <f aca="false">IF('Bulk Order Details'!Q261="","","-"&amp;LOOKUP('Bulk Order Details'!Q261,#REF!,#REF!))</f>
        <v/>
      </c>
      <c r="AK251" s="179" t="str">
        <f aca="false">IF('Bulk Order Details'!R261="","","-"&amp;LOOKUP('Bulk Order Details'!R261,#REF!,#REF!))</f>
        <v/>
      </c>
      <c r="AL251" s="179" t="str">
        <f aca="false">IF('Bulk Order Details'!S261="","","-"&amp;LOOKUP('Bulk Order Details'!S261,#REF!,#REF!))</f>
        <v/>
      </c>
      <c r="AM251" s="179" t="str">
        <f aca="false">IF(_xlfn.CONCAT(AH251:AL251)="","","Lo"&amp;_xlfn.CONCAT(AH251:AL251))</f>
        <v/>
      </c>
      <c r="AN251" s="179" t="str">
        <f aca="false">IF('Bulk Order Details'!K261="","","Na-"&amp;'Bulk Order Details'!K261)</f>
        <v/>
      </c>
      <c r="AO251" s="179" t="str">
        <f aca="false">IF('Bulk Order Details'!N261="","","Fo-"&amp;'Bulk Order Details'!N261)</f>
        <v/>
      </c>
      <c r="AP251" s="179" t="str">
        <f aca="false">IF(AE251="","",AE251&amp;"_"&amp;AF251&amp;"_"&amp;AG251&amp;IF(AM251="","","_"&amp;AM251)&amp;IF(AN251="","","_"&amp;AN251)&amp;IF(AO251="","","_"&amp;AO251))</f>
        <v/>
      </c>
      <c r="AQ251" s="218" t="str">
        <f aca="false">IF(X251="","",X251)</f>
        <v/>
      </c>
    </row>
    <row r="252" customFormat="false" ht="15" hidden="false" customHeight="true" outlineLevel="0" collapsed="false">
      <c r="B252" s="209" t="n">
        <f aca="false">'Bulk Order Details'!B262</f>
        <v>249</v>
      </c>
      <c r="C252" s="209" t="e">
        <f aca="false">IF('bulk order details'!#ref!="","",'bulk order details'!#ref!&amp;" "&amp;'bulk order details'!#ref!)</f>
        <v>#VALUE!</v>
      </c>
      <c r="D252" s="210" t="str">
        <f aca="false">IF('Bulk Order Details'!J262="","",VLOOKUP(1,Price[],3))</f>
        <v/>
      </c>
      <c r="E252" s="211" t="str">
        <f aca="false">IF('Bulk Order Details'!J262="","",Summary!$D$9)</f>
        <v/>
      </c>
      <c r="F252" s="212" t="str">
        <f aca="false">IF('Bulk Order Details'!F262="","",_xlfn.xlookup('Bulk Order Details'!F262,Size[Display],Size[Price]))</f>
        <v/>
      </c>
      <c r="G252" s="212" t="str">
        <f aca="false">IF('Bulk Order Details'!G262="","",_xlfn.xlookup('Bulk Order Details'!G262,Length[Display],Length[Price]))</f>
        <v/>
      </c>
      <c r="H252" s="212" t="str">
        <f aca="false">IF('Bulk Order Details'!H262="","",_xlfn.xlookup('Bulk Order Details'!H262,Collection[Display],Collection[Price]))</f>
        <v/>
      </c>
      <c r="I252" s="212" t="str">
        <f aca="false">IF('Bulk Order Details'!I262="","",_xlfn.xlookup('Bulk Order Details'!I262,Sleeve[Display],Sleeve[Price]))</f>
        <v/>
      </c>
      <c r="J252" s="212" t="str">
        <f aca="false">IF('Bulk Order Details'!J262="","",_xlfn.xlookup('Bulk Order Details'!J262,Collar[Display],Collar[Price]))</f>
        <v/>
      </c>
      <c r="K252" s="212" t="str">
        <f aca="false">IF('Bulk Order Details'!K262="","",_xlfn.xlookup("Name",Name[Name],Name[Price]))</f>
        <v/>
      </c>
      <c r="L252" s="213" t="str">
        <f aca="false">IFERROR(IF('Bulk Order Details'!O262="","",IF(_xlfn.xlookup('Bulk Order Details'!O262,Logos[Display],Logos[Use])="Flat",_xlfn.xlookup('Bulk Order Details'!O262,Logos[Display],Logos[Flat]),ROUND(_xlfn.xlookup('Bulk Order Details'!O262,Logos[Display],Logos[Pct])*$E252,2))),"")</f>
        <v/>
      </c>
      <c r="M252" s="222" t="str">
        <f aca="false">IFERROR(IF('Bulk Order Details'!P262="","",IF(_xlfn.xlookup('Bulk Order Details'!P262,Chest[Display],Chest[Use])="Flat",_xlfn.xlookup('Bulk Order Details'!P262,Chest[Display],Chest[Flat]),ROUND(_xlfn.xlookup('Bulk Order Details'!P262,Chest[Display],Chest[Pct])*$E252,2))),"")</f>
        <v/>
      </c>
      <c r="N252" s="222" t="str">
        <f aca="false">IFERROR(IF('Bulk Order Details'!Q262="","",IF(_xlfn.xlookup('Bulk Order Details'!Q262,Chest[Display],Chest[Use])="Flat",_xlfn.xlookup('Bulk Order Details'!Q262,Chest[Display],Chest[Flat]),ROUND(_xlfn.xlookup('Bulk Order Details'!Q262,Chest[Display],Chest[Pct])*$E252,2))),"")</f>
        <v/>
      </c>
      <c r="O252" s="222" t="str">
        <f aca="false">IFERROR(IF('Bulk Order Details'!R262="","",IF(_xlfn.xlookup('Bulk Order Details'!R262,LeftSleeve[Display],LeftSleeve[Use])="Flat",_xlfn.xlookup('Bulk Order Details'!R262,LeftSleeve[Display],LeftSleeve[Flat]),ROUND(_xlfn.xlookup('Bulk Order Details'!R262,LeftSleeve[Display],LeftSleeve[Pct])*$E252,2))),"")</f>
        <v/>
      </c>
      <c r="P252" s="222" t="str">
        <f aca="false">IFERROR(IF('Bulk Order Details'!S262="","",IF(_xlfn.xlookup('Bulk Order Details'!S262,RightSleeve[Display],RightSleeve[Use])="Flat",_xlfn.xlookup('Bulk Order Details'!S262,RightSleeve[Display],RightSleeve[Flat]),ROUND(_xlfn.xlookup('Bulk Order Details'!S262,RightSleeve[Display],RightSleeve[Pct])*$E252,2))),"")</f>
        <v/>
      </c>
      <c r="Q252" s="214" t="str">
        <f aca="false">IF('Bulk Order Details'!J262="","",SUM(F252:P252))</f>
        <v/>
      </c>
      <c r="R252" s="213" t="str">
        <f aca="false">IFERROR(E252-D252,"")</f>
        <v/>
      </c>
      <c r="S252" s="215" t="str">
        <f aca="false">IFERROR(MIN(IF(Summary!$D$11="Yes",-J252,0),IF(H252&gt;0,-J252,0)),"")</f>
        <v/>
      </c>
      <c r="T252" s="212" t="str">
        <f aca="false">IFERROR(IF(Summary!$D$10="Yes",-K252,""),"")</f>
        <v/>
      </c>
      <c r="U252" s="213" t="str">
        <f aca="false">IFERROR(IF(Summary!$D$12="Yes",-L252,""),"")</f>
        <v/>
      </c>
      <c r="V252" s="216" t="str">
        <f aca="false">IF('Bulk Order Details'!J262="","",SUM(R252:U252))</f>
        <v/>
      </c>
      <c r="W252" s="217" t="str">
        <f aca="false">IF('Bulk Order Details'!J262="","",D252+Q252)</f>
        <v/>
      </c>
      <c r="X252" s="218" t="str">
        <f aca="false">IF('Bulk Order Details'!J262="","",D252+Q252+V252)</f>
        <v/>
      </c>
      <c r="Y252" s="219" t="str">
        <f aca="false">IFERROR((W252-X252)/W252,"")</f>
        <v/>
      </c>
      <c r="Z252" s="220" t="str">
        <f aca="false">IF('Bulk Order Details'!J262="","",MAX(1,'Bulk Order Details'!D262))</f>
        <v/>
      </c>
      <c r="AA252" s="217" t="str">
        <f aca="false">IF(Pricing_Details[[#This Row],[Quantity]]="","",Pricing_Details[[#This Row],[Retail Price]]*Pricing_Details[[#This Row],[Quantity]])</f>
        <v/>
      </c>
      <c r="AB252" s="217" t="str">
        <f aca="false">IF(Pricing_Details[[#This Row],[Quantity]]="","",Pricing_Details[[#This Row],[Total Discount]]*Pricing_Details[[#This Row],[Quantity]])</f>
        <v/>
      </c>
      <c r="AC252" s="221" t="str">
        <f aca="false">IFERROR(ROUND(Pricing_Details[[#This Row],[Actual Price]]*Pricing_Details[[#This Row],[Quantity]],2),"")</f>
        <v/>
      </c>
      <c r="AE252" s="179" t="str">
        <f aca="false">IF('Bulk Order Details'!J262="","",VLOOKUP('Bulk Order Details'!H262,Collection[],3)&amp;VLOOKUP('Bulk Order Details'!J262,Collar[],4)&amp;VLOOKUP('Bulk Order Details'!I262,Sleeve[],4))</f>
        <v/>
      </c>
      <c r="AF252" s="179" t="str">
        <f aca="false">IF('Bulk Order Details'!J262="","",LOOKUP('Bulk Order Details'!E262,Cut[Display],Cut[Code])&amp;LOOKUP('Bulk Order Details'!F262,#REF!,#REF!)&amp;IF('Bulk Order Details'!G262="","",LOOKUP('Bulk Order Details'!G262,Length[Display],Length[Code])))</f>
        <v/>
      </c>
      <c r="AG252" s="179" t="str">
        <f aca="false">IF('Bulk Order Details'!J262="","",IF('Bulk Order Details'!C262="","",'Bulk Order Details'!C262))</f>
        <v/>
      </c>
      <c r="AH252" s="179" t="str">
        <f aca="false">IF('Bulk Order Details'!O262="","","-"&amp;LOOKUP('Bulk Order Details'!O262,#REF!,#REF!))</f>
        <v/>
      </c>
      <c r="AI252" s="179" t="str">
        <f aca="false">IF('Bulk Order Details'!P262="","","-"&amp;LOOKUP('Bulk Order Details'!P262,#REF!,#REF!))</f>
        <v/>
      </c>
      <c r="AJ252" s="179" t="str">
        <f aca="false">IF('Bulk Order Details'!Q262="","","-"&amp;LOOKUP('Bulk Order Details'!Q262,#REF!,#REF!))</f>
        <v/>
      </c>
      <c r="AK252" s="179" t="str">
        <f aca="false">IF('Bulk Order Details'!R262="","","-"&amp;LOOKUP('Bulk Order Details'!R262,#REF!,#REF!))</f>
        <v/>
      </c>
      <c r="AL252" s="179" t="str">
        <f aca="false">IF('Bulk Order Details'!S262="","","-"&amp;LOOKUP('Bulk Order Details'!S262,#REF!,#REF!))</f>
        <v/>
      </c>
      <c r="AM252" s="179" t="str">
        <f aca="false">IF(_xlfn.CONCAT(AH252:AL252)="","","Lo"&amp;_xlfn.CONCAT(AH252:AL252))</f>
        <v/>
      </c>
      <c r="AN252" s="179" t="str">
        <f aca="false">IF('Bulk Order Details'!K262="","","Na-"&amp;'Bulk Order Details'!K262)</f>
        <v/>
      </c>
      <c r="AO252" s="179" t="str">
        <f aca="false">IF('Bulk Order Details'!N262="","","Fo-"&amp;'Bulk Order Details'!N262)</f>
        <v/>
      </c>
      <c r="AP252" s="179" t="str">
        <f aca="false">IF(AE252="","",AE252&amp;"_"&amp;AF252&amp;"_"&amp;AG252&amp;IF(AM252="","","_"&amp;AM252)&amp;IF(AN252="","","_"&amp;AN252)&amp;IF(AO252="","","_"&amp;AO252))</f>
        <v/>
      </c>
      <c r="AQ252" s="218" t="str">
        <f aca="false">IF(X252="","",X252)</f>
        <v/>
      </c>
    </row>
    <row r="253" customFormat="false" ht="15" hidden="false" customHeight="true" outlineLevel="0" collapsed="false">
      <c r="B253" s="209" t="n">
        <f aca="false">'Bulk Order Details'!B263</f>
        <v>250</v>
      </c>
      <c r="C253" s="209" t="e">
        <f aca="false">IF('bulk order details'!#ref!="","",'bulk order details'!#ref!&amp;" "&amp;'bulk order details'!#ref!)</f>
        <v>#VALUE!</v>
      </c>
      <c r="D253" s="210" t="str">
        <f aca="false">IF('Bulk Order Details'!J263="","",VLOOKUP(1,Price[],3))</f>
        <v/>
      </c>
      <c r="E253" s="211" t="str">
        <f aca="false">IF('Bulk Order Details'!J263="","",Summary!$D$9)</f>
        <v/>
      </c>
      <c r="F253" s="212" t="str">
        <f aca="false">IF('Bulk Order Details'!F263="","",_xlfn.xlookup('Bulk Order Details'!F263,Size[Display],Size[Price]))</f>
        <v/>
      </c>
      <c r="G253" s="212" t="str">
        <f aca="false">IF('Bulk Order Details'!G263="","",_xlfn.xlookup('Bulk Order Details'!G263,Length[Display],Length[Price]))</f>
        <v/>
      </c>
      <c r="H253" s="212" t="str">
        <f aca="false">IF('Bulk Order Details'!H263="","",_xlfn.xlookup('Bulk Order Details'!H263,Collection[Display],Collection[Price]))</f>
        <v/>
      </c>
      <c r="I253" s="212" t="str">
        <f aca="false">IF('Bulk Order Details'!I263="","",_xlfn.xlookup('Bulk Order Details'!I263,Sleeve[Display],Sleeve[Price]))</f>
        <v/>
      </c>
      <c r="J253" s="212" t="str">
        <f aca="false">IF('Bulk Order Details'!J263="","",_xlfn.xlookup('Bulk Order Details'!J263,Collar[Display],Collar[Price]))</f>
        <v/>
      </c>
      <c r="K253" s="212" t="str">
        <f aca="false">IF('Bulk Order Details'!K263="","",_xlfn.xlookup("Name",Name[Name],Name[Price]))</f>
        <v/>
      </c>
      <c r="L253" s="213" t="str">
        <f aca="false">IFERROR(IF('Bulk Order Details'!O263="","",IF(_xlfn.xlookup('Bulk Order Details'!O263,Logos[Display],Logos[Use])="Flat",_xlfn.xlookup('Bulk Order Details'!O263,Logos[Display],Logos[Flat]),ROUND(_xlfn.xlookup('Bulk Order Details'!O263,Logos[Display],Logos[Pct])*$E253,2))),"")</f>
        <v/>
      </c>
      <c r="M253" s="222" t="str">
        <f aca="false">IFERROR(IF('Bulk Order Details'!P263="","",IF(_xlfn.xlookup('Bulk Order Details'!P263,Chest[Display],Chest[Use])="Flat",_xlfn.xlookup('Bulk Order Details'!P263,Chest[Display],Chest[Flat]),ROUND(_xlfn.xlookup('Bulk Order Details'!P263,Chest[Display],Chest[Pct])*$E253,2))),"")</f>
        <v/>
      </c>
      <c r="N253" s="222" t="str">
        <f aca="false">IFERROR(IF('Bulk Order Details'!Q263="","",IF(_xlfn.xlookup('Bulk Order Details'!Q263,Chest[Display],Chest[Use])="Flat",_xlfn.xlookup('Bulk Order Details'!Q263,Chest[Display],Chest[Flat]),ROUND(_xlfn.xlookup('Bulk Order Details'!Q263,Chest[Display],Chest[Pct])*$E253,2))),"")</f>
        <v/>
      </c>
      <c r="O253" s="222" t="str">
        <f aca="false">IFERROR(IF('Bulk Order Details'!R263="","",IF(_xlfn.xlookup('Bulk Order Details'!R263,LeftSleeve[Display],LeftSleeve[Use])="Flat",_xlfn.xlookup('Bulk Order Details'!R263,LeftSleeve[Display],LeftSleeve[Flat]),ROUND(_xlfn.xlookup('Bulk Order Details'!R263,LeftSleeve[Display],LeftSleeve[Pct])*$E253,2))),"")</f>
        <v/>
      </c>
      <c r="P253" s="222" t="str">
        <f aca="false">IFERROR(IF('Bulk Order Details'!S263="","",IF(_xlfn.xlookup('Bulk Order Details'!S263,RightSleeve[Display],RightSleeve[Use])="Flat",_xlfn.xlookup('Bulk Order Details'!S263,RightSleeve[Display],RightSleeve[Flat]),ROUND(_xlfn.xlookup('Bulk Order Details'!S263,RightSleeve[Display],RightSleeve[Pct])*$E253,2))),"")</f>
        <v/>
      </c>
      <c r="Q253" s="214" t="str">
        <f aca="false">IF('Bulk Order Details'!J263="","",SUM(F253:P253))</f>
        <v/>
      </c>
      <c r="R253" s="213" t="str">
        <f aca="false">IFERROR(E253-D253,"")</f>
        <v/>
      </c>
      <c r="S253" s="215" t="str">
        <f aca="false">IFERROR(MIN(IF(Summary!$D$11="Yes",-J253,0),IF(H253&gt;0,-J253,0)),"")</f>
        <v/>
      </c>
      <c r="T253" s="212" t="str">
        <f aca="false">IFERROR(IF(Summary!$D$10="Yes",-K253,""),"")</f>
        <v/>
      </c>
      <c r="U253" s="213" t="str">
        <f aca="false">IFERROR(IF(Summary!$D$12="Yes",-L253,""),"")</f>
        <v/>
      </c>
      <c r="V253" s="216" t="str">
        <f aca="false">IF('Bulk Order Details'!J263="","",SUM(R253:U253))</f>
        <v/>
      </c>
      <c r="W253" s="217" t="str">
        <f aca="false">IF('Bulk Order Details'!J263="","",D253+Q253)</f>
        <v/>
      </c>
      <c r="X253" s="218" t="str">
        <f aca="false">IF('Bulk Order Details'!J263="","",D253+Q253+V253)</f>
        <v/>
      </c>
      <c r="Y253" s="219" t="str">
        <f aca="false">IFERROR((W253-X253)/W253,"")</f>
        <v/>
      </c>
      <c r="Z253" s="220" t="str">
        <f aca="false">IF('Bulk Order Details'!J263="","",MAX(1,'Bulk Order Details'!D263))</f>
        <v/>
      </c>
      <c r="AA253" s="217" t="str">
        <f aca="false">IF(Pricing_Details[[#This Row],[Quantity]]="","",Pricing_Details[[#This Row],[Retail Price]]*Pricing_Details[[#This Row],[Quantity]])</f>
        <v/>
      </c>
      <c r="AB253" s="217" t="str">
        <f aca="false">IF(Pricing_Details[[#This Row],[Quantity]]="","",Pricing_Details[[#This Row],[Total Discount]]*Pricing_Details[[#This Row],[Quantity]])</f>
        <v/>
      </c>
      <c r="AC253" s="221" t="str">
        <f aca="false">IFERROR(ROUND(Pricing_Details[[#This Row],[Actual Price]]*Pricing_Details[[#This Row],[Quantity]],2),"")</f>
        <v/>
      </c>
      <c r="AE253" s="179" t="str">
        <f aca="false">IF('Bulk Order Details'!J263="","",VLOOKUP('Bulk Order Details'!H263,Collection[],3)&amp;VLOOKUP('Bulk Order Details'!J263,Collar[],4)&amp;VLOOKUP('Bulk Order Details'!I263,Sleeve[],4))</f>
        <v/>
      </c>
      <c r="AF253" s="179" t="str">
        <f aca="false">IF('Bulk Order Details'!J263="","",LOOKUP('Bulk Order Details'!E263,Cut[Display],Cut[Code])&amp;LOOKUP('Bulk Order Details'!F263,#REF!,#REF!)&amp;IF('Bulk Order Details'!G263="","",LOOKUP('Bulk Order Details'!G263,Length[Display],Length[Code])))</f>
        <v/>
      </c>
      <c r="AG253" s="179" t="str">
        <f aca="false">IF('Bulk Order Details'!J263="","",IF('Bulk Order Details'!C263="","",'Bulk Order Details'!C263))</f>
        <v/>
      </c>
      <c r="AH253" s="179" t="str">
        <f aca="false">IF('Bulk Order Details'!O263="","","-"&amp;LOOKUP('Bulk Order Details'!O263,#REF!,#REF!))</f>
        <v/>
      </c>
      <c r="AI253" s="179" t="str">
        <f aca="false">IF('Bulk Order Details'!P263="","","-"&amp;LOOKUP('Bulk Order Details'!P263,#REF!,#REF!))</f>
        <v/>
      </c>
      <c r="AJ253" s="179" t="str">
        <f aca="false">IF('Bulk Order Details'!Q263="","","-"&amp;LOOKUP('Bulk Order Details'!Q263,#REF!,#REF!))</f>
        <v/>
      </c>
      <c r="AK253" s="179" t="str">
        <f aca="false">IF('Bulk Order Details'!R263="","","-"&amp;LOOKUP('Bulk Order Details'!R263,#REF!,#REF!))</f>
        <v/>
      </c>
      <c r="AL253" s="179" t="str">
        <f aca="false">IF('Bulk Order Details'!S263="","","-"&amp;LOOKUP('Bulk Order Details'!S263,#REF!,#REF!))</f>
        <v/>
      </c>
      <c r="AM253" s="179" t="str">
        <f aca="false">IF(_xlfn.CONCAT(AH253:AL253)="","","Lo"&amp;_xlfn.CONCAT(AH253:AL253))</f>
        <v/>
      </c>
      <c r="AN253" s="179" t="str">
        <f aca="false">IF('Bulk Order Details'!K263="","","Na-"&amp;'Bulk Order Details'!K263)</f>
        <v/>
      </c>
      <c r="AO253" s="179" t="str">
        <f aca="false">IF('Bulk Order Details'!N263="","","Fo-"&amp;'Bulk Order Details'!N263)</f>
        <v/>
      </c>
      <c r="AP253" s="179" t="str">
        <f aca="false">IF(AE253="","",AE253&amp;"_"&amp;AF253&amp;"_"&amp;AG253&amp;IF(AM253="","","_"&amp;AM253)&amp;IF(AN253="","","_"&amp;AN253)&amp;IF(AO253="","","_"&amp;AO253))</f>
        <v/>
      </c>
      <c r="AQ253" s="218" t="str">
        <f aca="false">IF(X253="","",X253)</f>
        <v/>
      </c>
    </row>
    <row r="254" customFormat="false" ht="15" hidden="false" customHeight="true" outlineLevel="0" collapsed="false">
      <c r="B254" s="209" t="n">
        <f aca="false">'Bulk Order Details'!B264</f>
        <v>251</v>
      </c>
      <c r="C254" s="209" t="e">
        <f aca="false">IF('bulk order details'!#ref!="","",'bulk order details'!#ref!&amp;" "&amp;'bulk order details'!#ref!)</f>
        <v>#VALUE!</v>
      </c>
      <c r="D254" s="210" t="str">
        <f aca="false">IF('Bulk Order Details'!J264="","",VLOOKUP(1,Price[],3))</f>
        <v/>
      </c>
      <c r="E254" s="211" t="str">
        <f aca="false">IF('Bulk Order Details'!J264="","",Summary!$D$9)</f>
        <v/>
      </c>
      <c r="F254" s="212" t="str">
        <f aca="false">IF('Bulk Order Details'!F264="","",_xlfn.xlookup('Bulk Order Details'!F264,Size[Display],Size[Price]))</f>
        <v/>
      </c>
      <c r="G254" s="212" t="str">
        <f aca="false">IF('Bulk Order Details'!G264="","",_xlfn.xlookup('Bulk Order Details'!G264,Length[Display],Length[Price]))</f>
        <v/>
      </c>
      <c r="H254" s="212" t="str">
        <f aca="false">IF('Bulk Order Details'!H264="","",_xlfn.xlookup('Bulk Order Details'!H264,Collection[Display],Collection[Price]))</f>
        <v/>
      </c>
      <c r="I254" s="212" t="str">
        <f aca="false">IF('Bulk Order Details'!I264="","",_xlfn.xlookup('Bulk Order Details'!I264,Sleeve[Display],Sleeve[Price]))</f>
        <v/>
      </c>
      <c r="J254" s="212" t="str">
        <f aca="false">IF('Bulk Order Details'!J264="","",_xlfn.xlookup('Bulk Order Details'!J264,Collar[Display],Collar[Price]))</f>
        <v/>
      </c>
      <c r="K254" s="212" t="str">
        <f aca="false">IF('Bulk Order Details'!K264="","",_xlfn.xlookup("Name",Name[Name],Name[Price]))</f>
        <v/>
      </c>
      <c r="L254" s="213" t="str">
        <f aca="false">IFERROR(IF('Bulk Order Details'!O264="","",IF(_xlfn.xlookup('Bulk Order Details'!O264,Logos[Display],Logos[Use])="Flat",_xlfn.xlookup('Bulk Order Details'!O264,Logos[Display],Logos[Flat]),ROUND(_xlfn.xlookup('Bulk Order Details'!O264,Logos[Display],Logos[Pct])*$E254,2))),"")</f>
        <v/>
      </c>
      <c r="M254" s="222" t="str">
        <f aca="false">IFERROR(IF('Bulk Order Details'!P264="","",IF(_xlfn.xlookup('Bulk Order Details'!P264,Chest[Display],Chest[Use])="Flat",_xlfn.xlookup('Bulk Order Details'!P264,Chest[Display],Chest[Flat]),ROUND(_xlfn.xlookup('Bulk Order Details'!P264,Chest[Display],Chest[Pct])*$E254,2))),"")</f>
        <v/>
      </c>
      <c r="N254" s="222" t="str">
        <f aca="false">IFERROR(IF('Bulk Order Details'!Q264="","",IF(_xlfn.xlookup('Bulk Order Details'!Q264,Chest[Display],Chest[Use])="Flat",_xlfn.xlookup('Bulk Order Details'!Q264,Chest[Display],Chest[Flat]),ROUND(_xlfn.xlookup('Bulk Order Details'!Q264,Chest[Display],Chest[Pct])*$E254,2))),"")</f>
        <v/>
      </c>
      <c r="O254" s="222" t="str">
        <f aca="false">IFERROR(IF('Bulk Order Details'!R264="","",IF(_xlfn.xlookup('Bulk Order Details'!R264,LeftSleeve[Display],LeftSleeve[Use])="Flat",_xlfn.xlookup('Bulk Order Details'!R264,LeftSleeve[Display],LeftSleeve[Flat]),ROUND(_xlfn.xlookup('Bulk Order Details'!R264,LeftSleeve[Display],LeftSleeve[Pct])*$E254,2))),"")</f>
        <v/>
      </c>
      <c r="P254" s="222" t="str">
        <f aca="false">IFERROR(IF('Bulk Order Details'!S264="","",IF(_xlfn.xlookup('Bulk Order Details'!S264,RightSleeve[Display],RightSleeve[Use])="Flat",_xlfn.xlookup('Bulk Order Details'!S264,RightSleeve[Display],RightSleeve[Flat]),ROUND(_xlfn.xlookup('Bulk Order Details'!S264,RightSleeve[Display],RightSleeve[Pct])*$E254,2))),"")</f>
        <v/>
      </c>
      <c r="Q254" s="214" t="str">
        <f aca="false">IF('Bulk Order Details'!J264="","",SUM(F254:P254))</f>
        <v/>
      </c>
      <c r="R254" s="213" t="str">
        <f aca="false">IFERROR(E254-D254,"")</f>
        <v/>
      </c>
      <c r="S254" s="215" t="str">
        <f aca="false">IFERROR(MIN(IF(Summary!$D$11="Yes",-J254,0),IF(H254&gt;0,-J254,0)),"")</f>
        <v/>
      </c>
      <c r="T254" s="212" t="str">
        <f aca="false">IFERROR(IF(Summary!$D$10="Yes",-K254,""),"")</f>
        <v/>
      </c>
      <c r="U254" s="213" t="str">
        <f aca="false">IFERROR(IF(Summary!$D$12="Yes",-L254,""),"")</f>
        <v/>
      </c>
      <c r="V254" s="216" t="str">
        <f aca="false">IF('Bulk Order Details'!J264="","",SUM(R254:U254))</f>
        <v/>
      </c>
      <c r="W254" s="217" t="str">
        <f aca="false">IF('Bulk Order Details'!J264="","",D254+Q254)</f>
        <v/>
      </c>
      <c r="X254" s="218" t="str">
        <f aca="false">IF('Bulk Order Details'!J264="","",D254+Q254+V254)</f>
        <v/>
      </c>
      <c r="Y254" s="219" t="str">
        <f aca="false">IFERROR((W254-X254)/W254,"")</f>
        <v/>
      </c>
      <c r="Z254" s="220" t="str">
        <f aca="false">IF('Bulk Order Details'!J264="","",MAX(1,'Bulk Order Details'!D264))</f>
        <v/>
      </c>
      <c r="AA254" s="217" t="str">
        <f aca="false">IF(Pricing_Details[[#This Row],[Quantity]]="","",Pricing_Details[[#This Row],[Retail Price]]*Pricing_Details[[#This Row],[Quantity]])</f>
        <v/>
      </c>
      <c r="AB254" s="217" t="str">
        <f aca="false">IF(Pricing_Details[[#This Row],[Quantity]]="","",Pricing_Details[[#This Row],[Total Discount]]*Pricing_Details[[#This Row],[Quantity]])</f>
        <v/>
      </c>
      <c r="AC254" s="221" t="str">
        <f aca="false">IFERROR(ROUND(Pricing_Details[[#This Row],[Actual Price]]*Pricing_Details[[#This Row],[Quantity]],2),"")</f>
        <v/>
      </c>
      <c r="AE254" s="179" t="str">
        <f aca="false">IF('Bulk Order Details'!J264="","",VLOOKUP('Bulk Order Details'!H264,Collection[],3)&amp;VLOOKUP('Bulk Order Details'!J264,Collar[],4)&amp;VLOOKUP('Bulk Order Details'!I264,Sleeve[],4))</f>
        <v/>
      </c>
      <c r="AF254" s="179" t="str">
        <f aca="false">IF('Bulk Order Details'!J264="","",LOOKUP('Bulk Order Details'!E264,Cut[Display],Cut[Code])&amp;LOOKUP('Bulk Order Details'!F264,#REF!,#REF!)&amp;IF('Bulk Order Details'!G264="","",LOOKUP('Bulk Order Details'!G264,Length[Display],Length[Code])))</f>
        <v/>
      </c>
      <c r="AG254" s="179" t="str">
        <f aca="false">IF('Bulk Order Details'!J264="","",IF('Bulk Order Details'!C264="","",'Bulk Order Details'!C264))</f>
        <v/>
      </c>
      <c r="AH254" s="179" t="str">
        <f aca="false">IF('Bulk Order Details'!O264="","","-"&amp;LOOKUP('Bulk Order Details'!O264,#REF!,#REF!))</f>
        <v/>
      </c>
      <c r="AI254" s="179" t="str">
        <f aca="false">IF('Bulk Order Details'!P264="","","-"&amp;LOOKUP('Bulk Order Details'!P264,#REF!,#REF!))</f>
        <v/>
      </c>
      <c r="AJ254" s="179" t="str">
        <f aca="false">IF('Bulk Order Details'!Q264="","","-"&amp;LOOKUP('Bulk Order Details'!Q264,#REF!,#REF!))</f>
        <v/>
      </c>
      <c r="AK254" s="179" t="str">
        <f aca="false">IF('Bulk Order Details'!R264="","","-"&amp;LOOKUP('Bulk Order Details'!R264,#REF!,#REF!))</f>
        <v/>
      </c>
      <c r="AL254" s="179" t="str">
        <f aca="false">IF('Bulk Order Details'!S264="","","-"&amp;LOOKUP('Bulk Order Details'!S264,#REF!,#REF!))</f>
        <v/>
      </c>
      <c r="AM254" s="179" t="str">
        <f aca="false">IF(_xlfn.CONCAT(AH254:AL254)="","","Lo"&amp;_xlfn.CONCAT(AH254:AL254))</f>
        <v/>
      </c>
      <c r="AN254" s="179" t="str">
        <f aca="false">IF('Bulk Order Details'!K264="","","Na-"&amp;'Bulk Order Details'!K264)</f>
        <v/>
      </c>
      <c r="AO254" s="179" t="str">
        <f aca="false">IF('Bulk Order Details'!N264="","","Fo-"&amp;'Bulk Order Details'!N264)</f>
        <v/>
      </c>
      <c r="AP254" s="179" t="str">
        <f aca="false">IF(AE254="","",AE254&amp;"_"&amp;AF254&amp;"_"&amp;AG254&amp;IF(AM254="","","_"&amp;AM254)&amp;IF(AN254="","","_"&amp;AN254)&amp;IF(AO254="","","_"&amp;AO254))</f>
        <v/>
      </c>
      <c r="AQ254" s="218" t="str">
        <f aca="false">IF(X254="","",X254)</f>
        <v/>
      </c>
    </row>
    <row r="255" customFormat="false" ht="15" hidden="false" customHeight="true" outlineLevel="0" collapsed="false">
      <c r="B255" s="209" t="n">
        <f aca="false">'Bulk Order Details'!B265</f>
        <v>252</v>
      </c>
      <c r="C255" s="209" t="e">
        <f aca="false">IF('bulk order details'!#ref!="","",'bulk order details'!#ref!&amp;" "&amp;'bulk order details'!#ref!)</f>
        <v>#VALUE!</v>
      </c>
      <c r="D255" s="210" t="str">
        <f aca="false">IF('Bulk Order Details'!J265="","",VLOOKUP(1,Price[],3))</f>
        <v/>
      </c>
      <c r="E255" s="211" t="str">
        <f aca="false">IF('Bulk Order Details'!J265="","",Summary!$D$9)</f>
        <v/>
      </c>
      <c r="F255" s="212" t="str">
        <f aca="false">IF('Bulk Order Details'!F265="","",_xlfn.xlookup('Bulk Order Details'!F265,Size[Display],Size[Price]))</f>
        <v/>
      </c>
      <c r="G255" s="212" t="str">
        <f aca="false">IF('Bulk Order Details'!G265="","",_xlfn.xlookup('Bulk Order Details'!G265,Length[Display],Length[Price]))</f>
        <v/>
      </c>
      <c r="H255" s="212" t="str">
        <f aca="false">IF('Bulk Order Details'!H265="","",_xlfn.xlookup('Bulk Order Details'!H265,Collection[Display],Collection[Price]))</f>
        <v/>
      </c>
      <c r="I255" s="212" t="str">
        <f aca="false">IF('Bulk Order Details'!I265="","",_xlfn.xlookup('Bulk Order Details'!I265,Sleeve[Display],Sleeve[Price]))</f>
        <v/>
      </c>
      <c r="J255" s="212" t="str">
        <f aca="false">IF('Bulk Order Details'!J265="","",_xlfn.xlookup('Bulk Order Details'!J265,Collar[Display],Collar[Price]))</f>
        <v/>
      </c>
      <c r="K255" s="212" t="str">
        <f aca="false">IF('Bulk Order Details'!K265="","",_xlfn.xlookup("Name",Name[Name],Name[Price]))</f>
        <v/>
      </c>
      <c r="L255" s="213" t="str">
        <f aca="false">IFERROR(IF('Bulk Order Details'!O265="","",IF(_xlfn.xlookup('Bulk Order Details'!O265,Logos[Display],Logos[Use])="Flat",_xlfn.xlookup('Bulk Order Details'!O265,Logos[Display],Logos[Flat]),ROUND(_xlfn.xlookup('Bulk Order Details'!O265,Logos[Display],Logos[Pct])*$E255,2))),"")</f>
        <v/>
      </c>
      <c r="M255" s="222" t="str">
        <f aca="false">IFERROR(IF('Bulk Order Details'!P265="","",IF(_xlfn.xlookup('Bulk Order Details'!P265,Chest[Display],Chest[Use])="Flat",_xlfn.xlookup('Bulk Order Details'!P265,Chest[Display],Chest[Flat]),ROUND(_xlfn.xlookup('Bulk Order Details'!P265,Chest[Display],Chest[Pct])*$E255,2))),"")</f>
        <v/>
      </c>
      <c r="N255" s="222" t="str">
        <f aca="false">IFERROR(IF('Bulk Order Details'!Q265="","",IF(_xlfn.xlookup('Bulk Order Details'!Q265,Chest[Display],Chest[Use])="Flat",_xlfn.xlookup('Bulk Order Details'!Q265,Chest[Display],Chest[Flat]),ROUND(_xlfn.xlookup('Bulk Order Details'!Q265,Chest[Display],Chest[Pct])*$E255,2))),"")</f>
        <v/>
      </c>
      <c r="O255" s="222" t="str">
        <f aca="false">IFERROR(IF('Bulk Order Details'!R265="","",IF(_xlfn.xlookup('Bulk Order Details'!R265,LeftSleeve[Display],LeftSleeve[Use])="Flat",_xlfn.xlookup('Bulk Order Details'!R265,LeftSleeve[Display],LeftSleeve[Flat]),ROUND(_xlfn.xlookup('Bulk Order Details'!R265,LeftSleeve[Display],LeftSleeve[Pct])*$E255,2))),"")</f>
        <v/>
      </c>
      <c r="P255" s="222" t="str">
        <f aca="false">IFERROR(IF('Bulk Order Details'!S265="","",IF(_xlfn.xlookup('Bulk Order Details'!S265,RightSleeve[Display],RightSleeve[Use])="Flat",_xlfn.xlookup('Bulk Order Details'!S265,RightSleeve[Display],RightSleeve[Flat]),ROUND(_xlfn.xlookup('Bulk Order Details'!S265,RightSleeve[Display],RightSleeve[Pct])*$E255,2))),"")</f>
        <v/>
      </c>
      <c r="Q255" s="214" t="str">
        <f aca="false">IF('Bulk Order Details'!J265="","",SUM(F255:P255))</f>
        <v/>
      </c>
      <c r="R255" s="213" t="str">
        <f aca="false">IFERROR(E255-D255,"")</f>
        <v/>
      </c>
      <c r="S255" s="215" t="str">
        <f aca="false">IFERROR(MIN(IF(Summary!$D$11="Yes",-J255,0),IF(H255&gt;0,-J255,0)),"")</f>
        <v/>
      </c>
      <c r="T255" s="212" t="str">
        <f aca="false">IFERROR(IF(Summary!$D$10="Yes",-K255,""),"")</f>
        <v/>
      </c>
      <c r="U255" s="213" t="str">
        <f aca="false">IFERROR(IF(Summary!$D$12="Yes",-L255,""),"")</f>
        <v/>
      </c>
      <c r="V255" s="216" t="str">
        <f aca="false">IF('Bulk Order Details'!J265="","",SUM(R255:U255))</f>
        <v/>
      </c>
      <c r="W255" s="217" t="str">
        <f aca="false">IF('Bulk Order Details'!J265="","",D255+Q255)</f>
        <v/>
      </c>
      <c r="X255" s="218" t="str">
        <f aca="false">IF('Bulk Order Details'!J265="","",D255+Q255+V255)</f>
        <v/>
      </c>
      <c r="Y255" s="219" t="str">
        <f aca="false">IFERROR((W255-X255)/W255,"")</f>
        <v/>
      </c>
      <c r="Z255" s="220" t="str">
        <f aca="false">IF('Bulk Order Details'!J265="","",MAX(1,'Bulk Order Details'!D265))</f>
        <v/>
      </c>
      <c r="AA255" s="217" t="str">
        <f aca="false">IF(Pricing_Details[[#This Row],[Quantity]]="","",Pricing_Details[[#This Row],[Retail Price]]*Pricing_Details[[#This Row],[Quantity]])</f>
        <v/>
      </c>
      <c r="AB255" s="217" t="str">
        <f aca="false">IF(Pricing_Details[[#This Row],[Quantity]]="","",Pricing_Details[[#This Row],[Total Discount]]*Pricing_Details[[#This Row],[Quantity]])</f>
        <v/>
      </c>
      <c r="AC255" s="221" t="str">
        <f aca="false">IFERROR(ROUND(Pricing_Details[[#This Row],[Actual Price]]*Pricing_Details[[#This Row],[Quantity]],2),"")</f>
        <v/>
      </c>
      <c r="AE255" s="179" t="str">
        <f aca="false">IF('Bulk Order Details'!J265="","",VLOOKUP('Bulk Order Details'!H265,Collection[],3)&amp;VLOOKUP('Bulk Order Details'!J265,Collar[],4)&amp;VLOOKUP('Bulk Order Details'!I265,Sleeve[],4))</f>
        <v/>
      </c>
      <c r="AF255" s="179" t="str">
        <f aca="false">IF('Bulk Order Details'!J265="","",LOOKUP('Bulk Order Details'!E265,Cut[Display],Cut[Code])&amp;LOOKUP('Bulk Order Details'!F265,#REF!,#REF!)&amp;IF('Bulk Order Details'!G265="","",LOOKUP('Bulk Order Details'!G265,Length[Display],Length[Code])))</f>
        <v/>
      </c>
      <c r="AG255" s="179" t="str">
        <f aca="false">IF('Bulk Order Details'!J265="","",IF('Bulk Order Details'!C265="","",'Bulk Order Details'!C265))</f>
        <v/>
      </c>
      <c r="AH255" s="179" t="str">
        <f aca="false">IF('Bulk Order Details'!O265="","","-"&amp;LOOKUP('Bulk Order Details'!O265,#REF!,#REF!))</f>
        <v/>
      </c>
      <c r="AI255" s="179" t="str">
        <f aca="false">IF('Bulk Order Details'!P265="","","-"&amp;LOOKUP('Bulk Order Details'!P265,#REF!,#REF!))</f>
        <v/>
      </c>
      <c r="AJ255" s="179" t="str">
        <f aca="false">IF('Bulk Order Details'!Q265="","","-"&amp;LOOKUP('Bulk Order Details'!Q265,#REF!,#REF!))</f>
        <v/>
      </c>
      <c r="AK255" s="179" t="str">
        <f aca="false">IF('Bulk Order Details'!R265="","","-"&amp;LOOKUP('Bulk Order Details'!R265,#REF!,#REF!))</f>
        <v/>
      </c>
      <c r="AL255" s="179" t="str">
        <f aca="false">IF('Bulk Order Details'!S265="","","-"&amp;LOOKUP('Bulk Order Details'!S265,#REF!,#REF!))</f>
        <v/>
      </c>
      <c r="AM255" s="179" t="str">
        <f aca="false">IF(_xlfn.CONCAT(AH255:AL255)="","","Lo"&amp;_xlfn.CONCAT(AH255:AL255))</f>
        <v/>
      </c>
      <c r="AN255" s="179" t="str">
        <f aca="false">IF('Bulk Order Details'!K265="","","Na-"&amp;'Bulk Order Details'!K265)</f>
        <v/>
      </c>
      <c r="AO255" s="179" t="str">
        <f aca="false">IF('Bulk Order Details'!N265="","","Fo-"&amp;'Bulk Order Details'!N265)</f>
        <v/>
      </c>
      <c r="AP255" s="179" t="str">
        <f aca="false">IF(AE255="","",AE255&amp;"_"&amp;AF255&amp;"_"&amp;AG255&amp;IF(AM255="","","_"&amp;AM255)&amp;IF(AN255="","","_"&amp;AN255)&amp;IF(AO255="","","_"&amp;AO255))</f>
        <v/>
      </c>
      <c r="AQ255" s="218" t="str">
        <f aca="false">IF(X255="","",X255)</f>
        <v/>
      </c>
    </row>
    <row r="256" customFormat="false" ht="15" hidden="false" customHeight="true" outlineLevel="0" collapsed="false">
      <c r="B256" s="209" t="n">
        <f aca="false">'Bulk Order Details'!B266</f>
        <v>253</v>
      </c>
      <c r="C256" s="209" t="e">
        <f aca="false">IF('bulk order details'!#ref!="","",'bulk order details'!#ref!&amp;" "&amp;'bulk order details'!#ref!)</f>
        <v>#VALUE!</v>
      </c>
      <c r="D256" s="210" t="str">
        <f aca="false">IF('Bulk Order Details'!J266="","",VLOOKUP(1,Price[],3))</f>
        <v/>
      </c>
      <c r="E256" s="211" t="str">
        <f aca="false">IF('Bulk Order Details'!J266="","",Summary!$D$9)</f>
        <v/>
      </c>
      <c r="F256" s="212" t="str">
        <f aca="false">IF('Bulk Order Details'!F266="","",_xlfn.xlookup('Bulk Order Details'!F266,Size[Display],Size[Price]))</f>
        <v/>
      </c>
      <c r="G256" s="212" t="str">
        <f aca="false">IF('Bulk Order Details'!G266="","",_xlfn.xlookup('Bulk Order Details'!G266,Length[Display],Length[Price]))</f>
        <v/>
      </c>
      <c r="H256" s="212" t="str">
        <f aca="false">IF('Bulk Order Details'!H266="","",_xlfn.xlookup('Bulk Order Details'!H266,Collection[Display],Collection[Price]))</f>
        <v/>
      </c>
      <c r="I256" s="212" t="str">
        <f aca="false">IF('Bulk Order Details'!I266="","",_xlfn.xlookup('Bulk Order Details'!I266,Sleeve[Display],Sleeve[Price]))</f>
        <v/>
      </c>
      <c r="J256" s="212" t="str">
        <f aca="false">IF('Bulk Order Details'!J266="","",_xlfn.xlookup('Bulk Order Details'!J266,Collar[Display],Collar[Price]))</f>
        <v/>
      </c>
      <c r="K256" s="212" t="str">
        <f aca="false">IF('Bulk Order Details'!K266="","",_xlfn.xlookup("Name",Name[Name],Name[Price]))</f>
        <v/>
      </c>
      <c r="L256" s="213" t="str">
        <f aca="false">IFERROR(IF('Bulk Order Details'!O266="","",IF(_xlfn.xlookup('Bulk Order Details'!O266,Logos[Display],Logos[Use])="Flat",_xlfn.xlookup('Bulk Order Details'!O266,Logos[Display],Logos[Flat]),ROUND(_xlfn.xlookup('Bulk Order Details'!O266,Logos[Display],Logos[Pct])*$E256,2))),"")</f>
        <v/>
      </c>
      <c r="M256" s="222" t="str">
        <f aca="false">IFERROR(IF('Bulk Order Details'!P266="","",IF(_xlfn.xlookup('Bulk Order Details'!P266,Chest[Display],Chest[Use])="Flat",_xlfn.xlookup('Bulk Order Details'!P266,Chest[Display],Chest[Flat]),ROUND(_xlfn.xlookup('Bulk Order Details'!P266,Chest[Display],Chest[Pct])*$E256,2))),"")</f>
        <v/>
      </c>
      <c r="N256" s="222" t="str">
        <f aca="false">IFERROR(IF('Bulk Order Details'!Q266="","",IF(_xlfn.xlookup('Bulk Order Details'!Q266,Chest[Display],Chest[Use])="Flat",_xlfn.xlookup('Bulk Order Details'!Q266,Chest[Display],Chest[Flat]),ROUND(_xlfn.xlookup('Bulk Order Details'!Q266,Chest[Display],Chest[Pct])*$E256,2))),"")</f>
        <v/>
      </c>
      <c r="O256" s="222" t="str">
        <f aca="false">IFERROR(IF('Bulk Order Details'!R266="","",IF(_xlfn.xlookup('Bulk Order Details'!R266,LeftSleeve[Display],LeftSleeve[Use])="Flat",_xlfn.xlookup('Bulk Order Details'!R266,LeftSleeve[Display],LeftSleeve[Flat]),ROUND(_xlfn.xlookup('Bulk Order Details'!R266,LeftSleeve[Display],LeftSleeve[Pct])*$E256,2))),"")</f>
        <v/>
      </c>
      <c r="P256" s="222" t="str">
        <f aca="false">IFERROR(IF('Bulk Order Details'!S266="","",IF(_xlfn.xlookup('Bulk Order Details'!S266,RightSleeve[Display],RightSleeve[Use])="Flat",_xlfn.xlookup('Bulk Order Details'!S266,RightSleeve[Display],RightSleeve[Flat]),ROUND(_xlfn.xlookup('Bulk Order Details'!S266,RightSleeve[Display],RightSleeve[Pct])*$E256,2))),"")</f>
        <v/>
      </c>
      <c r="Q256" s="214" t="str">
        <f aca="false">IF('Bulk Order Details'!J266="","",SUM(F256:P256))</f>
        <v/>
      </c>
      <c r="R256" s="213" t="str">
        <f aca="false">IFERROR(E256-D256,"")</f>
        <v/>
      </c>
      <c r="S256" s="215" t="str">
        <f aca="false">IFERROR(MIN(IF(Summary!$D$11="Yes",-J256,0),IF(H256&gt;0,-J256,0)),"")</f>
        <v/>
      </c>
      <c r="T256" s="212" t="str">
        <f aca="false">IFERROR(IF(Summary!$D$10="Yes",-K256,""),"")</f>
        <v/>
      </c>
      <c r="U256" s="213" t="str">
        <f aca="false">IFERROR(IF(Summary!$D$12="Yes",-L256,""),"")</f>
        <v/>
      </c>
      <c r="V256" s="216" t="str">
        <f aca="false">IF('Bulk Order Details'!J266="","",SUM(R256:U256))</f>
        <v/>
      </c>
      <c r="W256" s="217" t="str">
        <f aca="false">IF('Bulk Order Details'!J266="","",D256+Q256)</f>
        <v/>
      </c>
      <c r="X256" s="218" t="str">
        <f aca="false">IF('Bulk Order Details'!J266="","",D256+Q256+V256)</f>
        <v/>
      </c>
      <c r="Y256" s="219" t="str">
        <f aca="false">IFERROR((W256-X256)/W256,"")</f>
        <v/>
      </c>
      <c r="Z256" s="220" t="str">
        <f aca="false">IF('Bulk Order Details'!J266="","",MAX(1,'Bulk Order Details'!D266))</f>
        <v/>
      </c>
      <c r="AA256" s="217" t="str">
        <f aca="false">IF(Pricing_Details[[#This Row],[Quantity]]="","",Pricing_Details[[#This Row],[Retail Price]]*Pricing_Details[[#This Row],[Quantity]])</f>
        <v/>
      </c>
      <c r="AB256" s="217" t="str">
        <f aca="false">IF(Pricing_Details[[#This Row],[Quantity]]="","",Pricing_Details[[#This Row],[Total Discount]]*Pricing_Details[[#This Row],[Quantity]])</f>
        <v/>
      </c>
      <c r="AC256" s="221" t="str">
        <f aca="false">IFERROR(ROUND(Pricing_Details[[#This Row],[Actual Price]]*Pricing_Details[[#This Row],[Quantity]],2),"")</f>
        <v/>
      </c>
      <c r="AE256" s="179" t="str">
        <f aca="false">IF('Bulk Order Details'!J266="","",VLOOKUP('Bulk Order Details'!H266,Collection[],3)&amp;VLOOKUP('Bulk Order Details'!J266,Collar[],4)&amp;VLOOKUP('Bulk Order Details'!I266,Sleeve[],4))</f>
        <v/>
      </c>
      <c r="AF256" s="179" t="str">
        <f aca="false">IF('Bulk Order Details'!J266="","",LOOKUP('Bulk Order Details'!E266,Cut[Display],Cut[Code])&amp;LOOKUP('Bulk Order Details'!F266,#REF!,#REF!)&amp;IF('Bulk Order Details'!G266="","",LOOKUP('Bulk Order Details'!G266,Length[Display],Length[Code])))</f>
        <v/>
      </c>
      <c r="AG256" s="179" t="str">
        <f aca="false">IF('Bulk Order Details'!J266="","",IF('Bulk Order Details'!C266="","",'Bulk Order Details'!C266))</f>
        <v/>
      </c>
      <c r="AH256" s="179" t="str">
        <f aca="false">IF('Bulk Order Details'!O266="","","-"&amp;LOOKUP('Bulk Order Details'!O266,#REF!,#REF!))</f>
        <v/>
      </c>
      <c r="AI256" s="179" t="str">
        <f aca="false">IF('Bulk Order Details'!P266="","","-"&amp;LOOKUP('Bulk Order Details'!P266,#REF!,#REF!))</f>
        <v/>
      </c>
      <c r="AJ256" s="179" t="str">
        <f aca="false">IF('Bulk Order Details'!Q266="","","-"&amp;LOOKUP('Bulk Order Details'!Q266,#REF!,#REF!))</f>
        <v/>
      </c>
      <c r="AK256" s="179" t="str">
        <f aca="false">IF('Bulk Order Details'!R266="","","-"&amp;LOOKUP('Bulk Order Details'!R266,#REF!,#REF!))</f>
        <v/>
      </c>
      <c r="AL256" s="179" t="str">
        <f aca="false">IF('Bulk Order Details'!S266="","","-"&amp;LOOKUP('Bulk Order Details'!S266,#REF!,#REF!))</f>
        <v/>
      </c>
      <c r="AM256" s="179" t="str">
        <f aca="false">IF(_xlfn.CONCAT(AH256:AL256)="","","Lo"&amp;_xlfn.CONCAT(AH256:AL256))</f>
        <v/>
      </c>
      <c r="AN256" s="179" t="str">
        <f aca="false">IF('Bulk Order Details'!K266="","","Na-"&amp;'Bulk Order Details'!K266)</f>
        <v/>
      </c>
      <c r="AO256" s="179" t="str">
        <f aca="false">IF('Bulk Order Details'!N266="","","Fo-"&amp;'Bulk Order Details'!N266)</f>
        <v/>
      </c>
      <c r="AP256" s="179" t="str">
        <f aca="false">IF(AE256="","",AE256&amp;"_"&amp;AF256&amp;"_"&amp;AG256&amp;IF(AM256="","","_"&amp;AM256)&amp;IF(AN256="","","_"&amp;AN256)&amp;IF(AO256="","","_"&amp;AO256))</f>
        <v/>
      </c>
      <c r="AQ256" s="218" t="str">
        <f aca="false">IF(X256="","",X256)</f>
        <v/>
      </c>
    </row>
    <row r="257" customFormat="false" ht="15" hidden="false" customHeight="true" outlineLevel="0" collapsed="false">
      <c r="B257" s="209" t="n">
        <f aca="false">'Bulk Order Details'!B267</f>
        <v>254</v>
      </c>
      <c r="C257" s="209" t="e">
        <f aca="false">IF('bulk order details'!#ref!="","",'bulk order details'!#ref!&amp;" "&amp;'bulk order details'!#ref!)</f>
        <v>#VALUE!</v>
      </c>
      <c r="D257" s="210" t="str">
        <f aca="false">IF('Bulk Order Details'!J267="","",VLOOKUP(1,Price[],3))</f>
        <v/>
      </c>
      <c r="E257" s="211" t="str">
        <f aca="false">IF('Bulk Order Details'!J267="","",Summary!$D$9)</f>
        <v/>
      </c>
      <c r="F257" s="212" t="str">
        <f aca="false">IF('Bulk Order Details'!F267="","",_xlfn.xlookup('Bulk Order Details'!F267,Size[Display],Size[Price]))</f>
        <v/>
      </c>
      <c r="G257" s="212" t="str">
        <f aca="false">IF('Bulk Order Details'!G267="","",_xlfn.xlookup('Bulk Order Details'!G267,Length[Display],Length[Price]))</f>
        <v/>
      </c>
      <c r="H257" s="212" t="str">
        <f aca="false">IF('Bulk Order Details'!H267="","",_xlfn.xlookup('Bulk Order Details'!H267,Collection[Display],Collection[Price]))</f>
        <v/>
      </c>
      <c r="I257" s="212" t="str">
        <f aca="false">IF('Bulk Order Details'!I267="","",_xlfn.xlookup('Bulk Order Details'!I267,Sleeve[Display],Sleeve[Price]))</f>
        <v/>
      </c>
      <c r="J257" s="212" t="str">
        <f aca="false">IF('Bulk Order Details'!J267="","",_xlfn.xlookup('Bulk Order Details'!J267,Collar[Display],Collar[Price]))</f>
        <v/>
      </c>
      <c r="K257" s="212" t="str">
        <f aca="false">IF('Bulk Order Details'!K267="","",_xlfn.xlookup("Name",Name[Name],Name[Price]))</f>
        <v/>
      </c>
      <c r="L257" s="213" t="str">
        <f aca="false">IFERROR(IF('Bulk Order Details'!O267="","",IF(_xlfn.xlookup('Bulk Order Details'!O267,Logos[Display],Logos[Use])="Flat",_xlfn.xlookup('Bulk Order Details'!O267,Logos[Display],Logos[Flat]),ROUND(_xlfn.xlookup('Bulk Order Details'!O267,Logos[Display],Logos[Pct])*$E257,2))),"")</f>
        <v/>
      </c>
      <c r="M257" s="222" t="str">
        <f aca="false">IFERROR(IF('Bulk Order Details'!P267="","",IF(_xlfn.xlookup('Bulk Order Details'!P267,Chest[Display],Chest[Use])="Flat",_xlfn.xlookup('Bulk Order Details'!P267,Chest[Display],Chest[Flat]),ROUND(_xlfn.xlookup('Bulk Order Details'!P267,Chest[Display],Chest[Pct])*$E257,2))),"")</f>
        <v/>
      </c>
      <c r="N257" s="222" t="str">
        <f aca="false">IFERROR(IF('Bulk Order Details'!Q267="","",IF(_xlfn.xlookup('Bulk Order Details'!Q267,Chest[Display],Chest[Use])="Flat",_xlfn.xlookup('Bulk Order Details'!Q267,Chest[Display],Chest[Flat]),ROUND(_xlfn.xlookup('Bulk Order Details'!Q267,Chest[Display],Chest[Pct])*$E257,2))),"")</f>
        <v/>
      </c>
      <c r="O257" s="222" t="str">
        <f aca="false">IFERROR(IF('Bulk Order Details'!R267="","",IF(_xlfn.xlookup('Bulk Order Details'!R267,LeftSleeve[Display],LeftSleeve[Use])="Flat",_xlfn.xlookup('Bulk Order Details'!R267,LeftSleeve[Display],LeftSleeve[Flat]),ROUND(_xlfn.xlookup('Bulk Order Details'!R267,LeftSleeve[Display],LeftSleeve[Pct])*$E257,2))),"")</f>
        <v/>
      </c>
      <c r="P257" s="222" t="str">
        <f aca="false">IFERROR(IF('Bulk Order Details'!S267="","",IF(_xlfn.xlookup('Bulk Order Details'!S267,RightSleeve[Display],RightSleeve[Use])="Flat",_xlfn.xlookup('Bulk Order Details'!S267,RightSleeve[Display],RightSleeve[Flat]),ROUND(_xlfn.xlookup('Bulk Order Details'!S267,RightSleeve[Display],RightSleeve[Pct])*$E257,2))),"")</f>
        <v/>
      </c>
      <c r="Q257" s="214" t="str">
        <f aca="false">IF('Bulk Order Details'!J267="","",SUM(F257:P257))</f>
        <v/>
      </c>
      <c r="R257" s="213" t="str">
        <f aca="false">IFERROR(E257-D257,"")</f>
        <v/>
      </c>
      <c r="S257" s="215" t="str">
        <f aca="false">IFERROR(MIN(IF(Summary!$D$11="Yes",-J257,0),IF(H257&gt;0,-J257,0)),"")</f>
        <v/>
      </c>
      <c r="T257" s="212" t="str">
        <f aca="false">IFERROR(IF(Summary!$D$10="Yes",-K257,""),"")</f>
        <v/>
      </c>
      <c r="U257" s="213" t="str">
        <f aca="false">IFERROR(IF(Summary!$D$12="Yes",-L257,""),"")</f>
        <v/>
      </c>
      <c r="V257" s="216" t="str">
        <f aca="false">IF('Bulk Order Details'!J267="","",SUM(R257:U257))</f>
        <v/>
      </c>
      <c r="W257" s="217" t="str">
        <f aca="false">IF('Bulk Order Details'!J267="","",D257+Q257)</f>
        <v/>
      </c>
      <c r="X257" s="218" t="str">
        <f aca="false">IF('Bulk Order Details'!J267="","",D257+Q257+V257)</f>
        <v/>
      </c>
      <c r="Y257" s="219" t="str">
        <f aca="false">IFERROR((W257-X257)/W257,"")</f>
        <v/>
      </c>
      <c r="Z257" s="220" t="str">
        <f aca="false">IF('Bulk Order Details'!J267="","",MAX(1,'Bulk Order Details'!D267))</f>
        <v/>
      </c>
      <c r="AA257" s="217" t="str">
        <f aca="false">IF(Pricing_Details[[#This Row],[Quantity]]="","",Pricing_Details[[#This Row],[Retail Price]]*Pricing_Details[[#This Row],[Quantity]])</f>
        <v/>
      </c>
      <c r="AB257" s="217" t="str">
        <f aca="false">IF(Pricing_Details[[#This Row],[Quantity]]="","",Pricing_Details[[#This Row],[Total Discount]]*Pricing_Details[[#This Row],[Quantity]])</f>
        <v/>
      </c>
      <c r="AC257" s="221" t="str">
        <f aca="false">IFERROR(ROUND(Pricing_Details[[#This Row],[Actual Price]]*Pricing_Details[[#This Row],[Quantity]],2),"")</f>
        <v/>
      </c>
      <c r="AE257" s="179" t="str">
        <f aca="false">IF('Bulk Order Details'!J267="","",VLOOKUP('Bulk Order Details'!H267,Collection[],3)&amp;VLOOKUP('Bulk Order Details'!J267,Collar[],4)&amp;VLOOKUP('Bulk Order Details'!I267,Sleeve[],4))</f>
        <v/>
      </c>
      <c r="AF257" s="179" t="str">
        <f aca="false">IF('Bulk Order Details'!J267="","",LOOKUP('Bulk Order Details'!E267,Cut[Display],Cut[Code])&amp;LOOKUP('Bulk Order Details'!F267,#REF!,#REF!)&amp;IF('Bulk Order Details'!G267="","",LOOKUP('Bulk Order Details'!G267,Length[Display],Length[Code])))</f>
        <v/>
      </c>
      <c r="AG257" s="179" t="str">
        <f aca="false">IF('Bulk Order Details'!J267="","",IF('Bulk Order Details'!C267="","",'Bulk Order Details'!C267))</f>
        <v/>
      </c>
      <c r="AH257" s="179" t="str">
        <f aca="false">IF('Bulk Order Details'!O267="","","-"&amp;LOOKUP('Bulk Order Details'!O267,#REF!,#REF!))</f>
        <v/>
      </c>
      <c r="AI257" s="179" t="str">
        <f aca="false">IF('Bulk Order Details'!P267="","","-"&amp;LOOKUP('Bulk Order Details'!P267,#REF!,#REF!))</f>
        <v/>
      </c>
      <c r="AJ257" s="179" t="str">
        <f aca="false">IF('Bulk Order Details'!Q267="","","-"&amp;LOOKUP('Bulk Order Details'!Q267,#REF!,#REF!))</f>
        <v/>
      </c>
      <c r="AK257" s="179" t="str">
        <f aca="false">IF('Bulk Order Details'!R267="","","-"&amp;LOOKUP('Bulk Order Details'!R267,#REF!,#REF!))</f>
        <v/>
      </c>
      <c r="AL257" s="179" t="str">
        <f aca="false">IF('Bulk Order Details'!S267="","","-"&amp;LOOKUP('Bulk Order Details'!S267,#REF!,#REF!))</f>
        <v/>
      </c>
      <c r="AM257" s="179" t="str">
        <f aca="false">IF(_xlfn.CONCAT(AH257:AL257)="","","Lo"&amp;_xlfn.CONCAT(AH257:AL257))</f>
        <v/>
      </c>
      <c r="AN257" s="179" t="str">
        <f aca="false">IF('Bulk Order Details'!K267="","","Na-"&amp;'Bulk Order Details'!K267)</f>
        <v/>
      </c>
      <c r="AO257" s="179" t="str">
        <f aca="false">IF('Bulk Order Details'!N267="","","Fo-"&amp;'Bulk Order Details'!N267)</f>
        <v/>
      </c>
      <c r="AP257" s="179" t="str">
        <f aca="false">IF(AE257="","",AE257&amp;"_"&amp;AF257&amp;"_"&amp;AG257&amp;IF(AM257="","","_"&amp;AM257)&amp;IF(AN257="","","_"&amp;AN257)&amp;IF(AO257="","","_"&amp;AO257))</f>
        <v/>
      </c>
      <c r="AQ257" s="218" t="str">
        <f aca="false">IF(X257="","",X257)</f>
        <v/>
      </c>
    </row>
    <row r="258" customFormat="false" ht="15" hidden="false" customHeight="true" outlineLevel="0" collapsed="false">
      <c r="B258" s="209" t="n">
        <f aca="false">'Bulk Order Details'!B268</f>
        <v>255</v>
      </c>
      <c r="C258" s="209" t="e">
        <f aca="false">IF('bulk order details'!#ref!="","",'bulk order details'!#ref!&amp;" "&amp;'bulk order details'!#ref!)</f>
        <v>#VALUE!</v>
      </c>
      <c r="D258" s="210" t="str">
        <f aca="false">IF('Bulk Order Details'!J268="","",VLOOKUP(1,Price[],3))</f>
        <v/>
      </c>
      <c r="E258" s="211" t="str">
        <f aca="false">IF('Bulk Order Details'!J268="","",Summary!$D$9)</f>
        <v/>
      </c>
      <c r="F258" s="212" t="str">
        <f aca="false">IF('Bulk Order Details'!F268="","",_xlfn.xlookup('Bulk Order Details'!F268,Size[Display],Size[Price]))</f>
        <v/>
      </c>
      <c r="G258" s="212" t="str">
        <f aca="false">IF('Bulk Order Details'!G268="","",_xlfn.xlookup('Bulk Order Details'!G268,Length[Display],Length[Price]))</f>
        <v/>
      </c>
      <c r="H258" s="212" t="str">
        <f aca="false">IF('Bulk Order Details'!H268="","",_xlfn.xlookup('Bulk Order Details'!H268,Collection[Display],Collection[Price]))</f>
        <v/>
      </c>
      <c r="I258" s="212" t="str">
        <f aca="false">IF('Bulk Order Details'!I268="","",_xlfn.xlookup('Bulk Order Details'!I268,Sleeve[Display],Sleeve[Price]))</f>
        <v/>
      </c>
      <c r="J258" s="212" t="str">
        <f aca="false">IF('Bulk Order Details'!J268="","",_xlfn.xlookup('Bulk Order Details'!J268,Collar[Display],Collar[Price]))</f>
        <v/>
      </c>
      <c r="K258" s="212" t="str">
        <f aca="false">IF('Bulk Order Details'!K268="","",_xlfn.xlookup("Name",Name[Name],Name[Price]))</f>
        <v/>
      </c>
      <c r="L258" s="213" t="str">
        <f aca="false">IFERROR(IF('Bulk Order Details'!O268="","",IF(_xlfn.xlookup('Bulk Order Details'!O268,Logos[Display],Logos[Use])="Flat",_xlfn.xlookup('Bulk Order Details'!O268,Logos[Display],Logos[Flat]),ROUND(_xlfn.xlookup('Bulk Order Details'!O268,Logos[Display],Logos[Pct])*$E258,2))),"")</f>
        <v/>
      </c>
      <c r="M258" s="222" t="str">
        <f aca="false">IFERROR(IF('Bulk Order Details'!P268="","",IF(_xlfn.xlookup('Bulk Order Details'!P268,Chest[Display],Chest[Use])="Flat",_xlfn.xlookup('Bulk Order Details'!P268,Chest[Display],Chest[Flat]),ROUND(_xlfn.xlookup('Bulk Order Details'!P268,Chest[Display],Chest[Pct])*$E258,2))),"")</f>
        <v/>
      </c>
      <c r="N258" s="222" t="str">
        <f aca="false">IFERROR(IF('Bulk Order Details'!Q268="","",IF(_xlfn.xlookup('Bulk Order Details'!Q268,Chest[Display],Chest[Use])="Flat",_xlfn.xlookup('Bulk Order Details'!Q268,Chest[Display],Chest[Flat]),ROUND(_xlfn.xlookup('Bulk Order Details'!Q268,Chest[Display],Chest[Pct])*$E258,2))),"")</f>
        <v/>
      </c>
      <c r="O258" s="222" t="str">
        <f aca="false">IFERROR(IF('Bulk Order Details'!R268="","",IF(_xlfn.xlookup('Bulk Order Details'!R268,LeftSleeve[Display],LeftSleeve[Use])="Flat",_xlfn.xlookup('Bulk Order Details'!R268,LeftSleeve[Display],LeftSleeve[Flat]),ROUND(_xlfn.xlookup('Bulk Order Details'!R268,LeftSleeve[Display],LeftSleeve[Pct])*$E258,2))),"")</f>
        <v/>
      </c>
      <c r="P258" s="222" t="str">
        <f aca="false">IFERROR(IF('Bulk Order Details'!S268="","",IF(_xlfn.xlookup('Bulk Order Details'!S268,RightSleeve[Display],RightSleeve[Use])="Flat",_xlfn.xlookup('Bulk Order Details'!S268,RightSleeve[Display],RightSleeve[Flat]),ROUND(_xlfn.xlookup('Bulk Order Details'!S268,RightSleeve[Display],RightSleeve[Pct])*$E258,2))),"")</f>
        <v/>
      </c>
      <c r="Q258" s="214" t="str">
        <f aca="false">IF('Bulk Order Details'!J268="","",SUM(F258:P258))</f>
        <v/>
      </c>
      <c r="R258" s="213" t="str">
        <f aca="false">IFERROR(E258-D258,"")</f>
        <v/>
      </c>
      <c r="S258" s="215" t="str">
        <f aca="false">IFERROR(MIN(IF(Summary!$D$11="Yes",-J258,0),IF(H258&gt;0,-J258,0)),"")</f>
        <v/>
      </c>
      <c r="T258" s="212" t="str">
        <f aca="false">IFERROR(IF(Summary!$D$10="Yes",-K258,""),"")</f>
        <v/>
      </c>
      <c r="U258" s="213" t="str">
        <f aca="false">IFERROR(IF(Summary!$D$12="Yes",-L258,""),"")</f>
        <v/>
      </c>
      <c r="V258" s="216" t="str">
        <f aca="false">IF('Bulk Order Details'!J268="","",SUM(R258:U258))</f>
        <v/>
      </c>
      <c r="W258" s="217" t="str">
        <f aca="false">IF('Bulk Order Details'!J268="","",D258+Q258)</f>
        <v/>
      </c>
      <c r="X258" s="218" t="str">
        <f aca="false">IF('Bulk Order Details'!J268="","",D258+Q258+V258)</f>
        <v/>
      </c>
      <c r="Y258" s="219" t="str">
        <f aca="false">IFERROR((W258-X258)/W258,"")</f>
        <v/>
      </c>
      <c r="Z258" s="220" t="str">
        <f aca="false">IF('Bulk Order Details'!J268="","",MAX(1,'Bulk Order Details'!D268))</f>
        <v/>
      </c>
      <c r="AA258" s="217" t="str">
        <f aca="false">IF(Pricing_Details[[#This Row],[Quantity]]="","",Pricing_Details[[#This Row],[Retail Price]]*Pricing_Details[[#This Row],[Quantity]])</f>
        <v/>
      </c>
      <c r="AB258" s="217" t="str">
        <f aca="false">IF(Pricing_Details[[#This Row],[Quantity]]="","",Pricing_Details[[#This Row],[Total Discount]]*Pricing_Details[[#This Row],[Quantity]])</f>
        <v/>
      </c>
      <c r="AC258" s="221" t="str">
        <f aca="false">IFERROR(ROUND(Pricing_Details[[#This Row],[Actual Price]]*Pricing_Details[[#This Row],[Quantity]],2),"")</f>
        <v/>
      </c>
      <c r="AE258" s="179" t="str">
        <f aca="false">IF('Bulk Order Details'!J268="","",VLOOKUP('Bulk Order Details'!H268,Collection[],3)&amp;VLOOKUP('Bulk Order Details'!J268,Collar[],4)&amp;VLOOKUP('Bulk Order Details'!I268,Sleeve[],4))</f>
        <v/>
      </c>
      <c r="AF258" s="179" t="str">
        <f aca="false">IF('Bulk Order Details'!J268="","",LOOKUP('Bulk Order Details'!E268,Cut[Display],Cut[Code])&amp;LOOKUP('Bulk Order Details'!F268,#REF!,#REF!)&amp;IF('Bulk Order Details'!G268="","",LOOKUP('Bulk Order Details'!G268,Length[Display],Length[Code])))</f>
        <v/>
      </c>
      <c r="AG258" s="179" t="str">
        <f aca="false">IF('Bulk Order Details'!J268="","",IF('Bulk Order Details'!C268="","",'Bulk Order Details'!C268))</f>
        <v/>
      </c>
      <c r="AH258" s="179" t="str">
        <f aca="false">IF('Bulk Order Details'!O268="","","-"&amp;LOOKUP('Bulk Order Details'!O268,#REF!,#REF!))</f>
        <v/>
      </c>
      <c r="AI258" s="179" t="str">
        <f aca="false">IF('Bulk Order Details'!P268="","","-"&amp;LOOKUP('Bulk Order Details'!P268,#REF!,#REF!))</f>
        <v/>
      </c>
      <c r="AJ258" s="179" t="str">
        <f aca="false">IF('Bulk Order Details'!Q268="","","-"&amp;LOOKUP('Bulk Order Details'!Q268,#REF!,#REF!))</f>
        <v/>
      </c>
      <c r="AK258" s="179" t="str">
        <f aca="false">IF('Bulk Order Details'!R268="","","-"&amp;LOOKUP('Bulk Order Details'!R268,#REF!,#REF!))</f>
        <v/>
      </c>
      <c r="AL258" s="179" t="str">
        <f aca="false">IF('Bulk Order Details'!S268="","","-"&amp;LOOKUP('Bulk Order Details'!S268,#REF!,#REF!))</f>
        <v/>
      </c>
      <c r="AM258" s="179" t="str">
        <f aca="false">IF(_xlfn.CONCAT(AH258:AL258)="","","Lo"&amp;_xlfn.CONCAT(AH258:AL258))</f>
        <v/>
      </c>
      <c r="AN258" s="179" t="str">
        <f aca="false">IF('Bulk Order Details'!K268="","","Na-"&amp;'Bulk Order Details'!K268)</f>
        <v/>
      </c>
      <c r="AO258" s="179" t="str">
        <f aca="false">IF('Bulk Order Details'!N268="","","Fo-"&amp;'Bulk Order Details'!N268)</f>
        <v/>
      </c>
      <c r="AP258" s="179" t="str">
        <f aca="false">IF(AE258="","",AE258&amp;"_"&amp;AF258&amp;"_"&amp;AG258&amp;IF(AM258="","","_"&amp;AM258)&amp;IF(AN258="","","_"&amp;AN258)&amp;IF(AO258="","","_"&amp;AO258))</f>
        <v/>
      </c>
      <c r="AQ258" s="218" t="str">
        <f aca="false">IF(X258="","",X258)</f>
        <v/>
      </c>
    </row>
    <row r="259" customFormat="false" ht="15" hidden="false" customHeight="true" outlineLevel="0" collapsed="false">
      <c r="B259" s="209" t="n">
        <f aca="false">'Bulk Order Details'!B269</f>
        <v>256</v>
      </c>
      <c r="C259" s="209" t="e">
        <f aca="false">IF('bulk order details'!#ref!="","",'bulk order details'!#ref!&amp;" "&amp;'bulk order details'!#ref!)</f>
        <v>#VALUE!</v>
      </c>
      <c r="D259" s="210" t="str">
        <f aca="false">IF('Bulk Order Details'!J269="","",VLOOKUP(1,Price[],3))</f>
        <v/>
      </c>
      <c r="E259" s="211" t="str">
        <f aca="false">IF('Bulk Order Details'!J269="","",Summary!$D$9)</f>
        <v/>
      </c>
      <c r="F259" s="212" t="str">
        <f aca="false">IF('Bulk Order Details'!F269="","",_xlfn.xlookup('Bulk Order Details'!F269,Size[Display],Size[Price]))</f>
        <v/>
      </c>
      <c r="G259" s="212" t="str">
        <f aca="false">IF('Bulk Order Details'!G269="","",_xlfn.xlookup('Bulk Order Details'!G269,Length[Display],Length[Price]))</f>
        <v/>
      </c>
      <c r="H259" s="212" t="str">
        <f aca="false">IF('Bulk Order Details'!H269="","",_xlfn.xlookup('Bulk Order Details'!H269,Collection[Display],Collection[Price]))</f>
        <v/>
      </c>
      <c r="I259" s="212" t="str">
        <f aca="false">IF('Bulk Order Details'!I269="","",_xlfn.xlookup('Bulk Order Details'!I269,Sleeve[Display],Sleeve[Price]))</f>
        <v/>
      </c>
      <c r="J259" s="212" t="str">
        <f aca="false">IF('Bulk Order Details'!J269="","",_xlfn.xlookup('Bulk Order Details'!J269,Collar[Display],Collar[Price]))</f>
        <v/>
      </c>
      <c r="K259" s="212" t="str">
        <f aca="false">IF('Bulk Order Details'!K269="","",_xlfn.xlookup("Name",Name[Name],Name[Price]))</f>
        <v/>
      </c>
      <c r="L259" s="213" t="str">
        <f aca="false">IFERROR(IF('Bulk Order Details'!O269="","",IF(_xlfn.xlookup('Bulk Order Details'!O269,Logos[Display],Logos[Use])="Flat",_xlfn.xlookup('Bulk Order Details'!O269,Logos[Display],Logos[Flat]),ROUND(_xlfn.xlookup('Bulk Order Details'!O269,Logos[Display],Logos[Pct])*$E259,2))),"")</f>
        <v/>
      </c>
      <c r="M259" s="222" t="str">
        <f aca="false">IFERROR(IF('Bulk Order Details'!P269="","",IF(_xlfn.xlookup('Bulk Order Details'!P269,Chest[Display],Chest[Use])="Flat",_xlfn.xlookup('Bulk Order Details'!P269,Chest[Display],Chest[Flat]),ROUND(_xlfn.xlookup('Bulk Order Details'!P269,Chest[Display],Chest[Pct])*$E259,2))),"")</f>
        <v/>
      </c>
      <c r="N259" s="222" t="str">
        <f aca="false">IFERROR(IF('Bulk Order Details'!Q269="","",IF(_xlfn.xlookup('Bulk Order Details'!Q269,Chest[Display],Chest[Use])="Flat",_xlfn.xlookup('Bulk Order Details'!Q269,Chest[Display],Chest[Flat]),ROUND(_xlfn.xlookup('Bulk Order Details'!Q269,Chest[Display],Chest[Pct])*$E259,2))),"")</f>
        <v/>
      </c>
      <c r="O259" s="222" t="str">
        <f aca="false">IFERROR(IF('Bulk Order Details'!R269="","",IF(_xlfn.xlookup('Bulk Order Details'!R269,LeftSleeve[Display],LeftSleeve[Use])="Flat",_xlfn.xlookup('Bulk Order Details'!R269,LeftSleeve[Display],LeftSleeve[Flat]),ROUND(_xlfn.xlookup('Bulk Order Details'!R269,LeftSleeve[Display],LeftSleeve[Pct])*$E259,2))),"")</f>
        <v/>
      </c>
      <c r="P259" s="222" t="str">
        <f aca="false">IFERROR(IF('Bulk Order Details'!S269="","",IF(_xlfn.xlookup('Bulk Order Details'!S269,RightSleeve[Display],RightSleeve[Use])="Flat",_xlfn.xlookup('Bulk Order Details'!S269,RightSleeve[Display],RightSleeve[Flat]),ROUND(_xlfn.xlookup('Bulk Order Details'!S269,RightSleeve[Display],RightSleeve[Pct])*$E259,2))),"")</f>
        <v/>
      </c>
      <c r="Q259" s="214" t="str">
        <f aca="false">IF('Bulk Order Details'!J269="","",SUM(F259:P259))</f>
        <v/>
      </c>
      <c r="R259" s="213" t="str">
        <f aca="false">IFERROR(E259-D259,"")</f>
        <v/>
      </c>
      <c r="S259" s="215" t="str">
        <f aca="false">IFERROR(MIN(IF(Summary!$D$11="Yes",-J259,0),IF(H259&gt;0,-J259,0)),"")</f>
        <v/>
      </c>
      <c r="T259" s="212" t="str">
        <f aca="false">IFERROR(IF(Summary!$D$10="Yes",-K259,""),"")</f>
        <v/>
      </c>
      <c r="U259" s="213" t="str">
        <f aca="false">IFERROR(IF(Summary!$D$12="Yes",-L259,""),"")</f>
        <v/>
      </c>
      <c r="V259" s="216" t="str">
        <f aca="false">IF('Bulk Order Details'!J269="","",SUM(R259:U259))</f>
        <v/>
      </c>
      <c r="W259" s="217" t="str">
        <f aca="false">IF('Bulk Order Details'!J269="","",D259+Q259)</f>
        <v/>
      </c>
      <c r="X259" s="218" t="str">
        <f aca="false">IF('Bulk Order Details'!J269="","",D259+Q259+V259)</f>
        <v/>
      </c>
      <c r="Y259" s="219" t="str">
        <f aca="false">IFERROR((W259-X259)/W259,"")</f>
        <v/>
      </c>
      <c r="Z259" s="220" t="str">
        <f aca="false">IF('Bulk Order Details'!J269="","",MAX(1,'Bulk Order Details'!D269))</f>
        <v/>
      </c>
      <c r="AA259" s="217" t="str">
        <f aca="false">IF(Pricing_Details[[#This Row],[Quantity]]="","",Pricing_Details[[#This Row],[Retail Price]]*Pricing_Details[[#This Row],[Quantity]])</f>
        <v/>
      </c>
      <c r="AB259" s="217" t="str">
        <f aca="false">IF(Pricing_Details[[#This Row],[Quantity]]="","",Pricing_Details[[#This Row],[Total Discount]]*Pricing_Details[[#This Row],[Quantity]])</f>
        <v/>
      </c>
      <c r="AC259" s="221" t="str">
        <f aca="false">IFERROR(ROUND(Pricing_Details[[#This Row],[Actual Price]]*Pricing_Details[[#This Row],[Quantity]],2),"")</f>
        <v/>
      </c>
      <c r="AE259" s="179" t="str">
        <f aca="false">IF('Bulk Order Details'!J269="","",VLOOKUP('Bulk Order Details'!H269,Collection[],3)&amp;VLOOKUP('Bulk Order Details'!J269,Collar[],4)&amp;VLOOKUP('Bulk Order Details'!I269,Sleeve[],4))</f>
        <v/>
      </c>
      <c r="AF259" s="179" t="str">
        <f aca="false">IF('Bulk Order Details'!J269="","",LOOKUP('Bulk Order Details'!E269,Cut[Display],Cut[Code])&amp;LOOKUP('Bulk Order Details'!F269,#REF!,#REF!)&amp;IF('Bulk Order Details'!G269="","",LOOKUP('Bulk Order Details'!G269,Length[Display],Length[Code])))</f>
        <v/>
      </c>
      <c r="AG259" s="179" t="str">
        <f aca="false">IF('Bulk Order Details'!J269="","",IF('Bulk Order Details'!C269="","",'Bulk Order Details'!C269))</f>
        <v/>
      </c>
      <c r="AH259" s="179" t="str">
        <f aca="false">IF('Bulk Order Details'!O269="","","-"&amp;LOOKUP('Bulk Order Details'!O269,#REF!,#REF!))</f>
        <v/>
      </c>
      <c r="AI259" s="179" t="str">
        <f aca="false">IF('Bulk Order Details'!P269="","","-"&amp;LOOKUP('Bulk Order Details'!P269,#REF!,#REF!))</f>
        <v/>
      </c>
      <c r="AJ259" s="179" t="str">
        <f aca="false">IF('Bulk Order Details'!Q269="","","-"&amp;LOOKUP('Bulk Order Details'!Q269,#REF!,#REF!))</f>
        <v/>
      </c>
      <c r="AK259" s="179" t="str">
        <f aca="false">IF('Bulk Order Details'!R269="","","-"&amp;LOOKUP('Bulk Order Details'!R269,#REF!,#REF!))</f>
        <v/>
      </c>
      <c r="AL259" s="179" t="str">
        <f aca="false">IF('Bulk Order Details'!S269="","","-"&amp;LOOKUP('Bulk Order Details'!S269,#REF!,#REF!))</f>
        <v/>
      </c>
      <c r="AM259" s="179" t="str">
        <f aca="false">IF(_xlfn.CONCAT(AH259:AL259)="","","Lo"&amp;_xlfn.CONCAT(AH259:AL259))</f>
        <v/>
      </c>
      <c r="AN259" s="179" t="str">
        <f aca="false">IF('Bulk Order Details'!K269="","","Na-"&amp;'Bulk Order Details'!K269)</f>
        <v/>
      </c>
      <c r="AO259" s="179" t="str">
        <f aca="false">IF('Bulk Order Details'!N269="","","Fo-"&amp;'Bulk Order Details'!N269)</f>
        <v/>
      </c>
      <c r="AP259" s="179" t="str">
        <f aca="false">IF(AE259="","",AE259&amp;"_"&amp;AF259&amp;"_"&amp;AG259&amp;IF(AM259="","","_"&amp;AM259)&amp;IF(AN259="","","_"&amp;AN259)&amp;IF(AO259="","","_"&amp;AO259))</f>
        <v/>
      </c>
      <c r="AQ259" s="218" t="str">
        <f aca="false">IF(X259="","",X259)</f>
        <v/>
      </c>
    </row>
    <row r="260" customFormat="false" ht="15" hidden="false" customHeight="true" outlineLevel="0" collapsed="false">
      <c r="B260" s="209" t="n">
        <f aca="false">'Bulk Order Details'!B270</f>
        <v>257</v>
      </c>
      <c r="C260" s="209" t="e">
        <f aca="false">IF('bulk order details'!#ref!="","",'bulk order details'!#ref!&amp;" "&amp;'bulk order details'!#ref!)</f>
        <v>#VALUE!</v>
      </c>
      <c r="D260" s="210" t="str">
        <f aca="false">IF('Bulk Order Details'!J270="","",VLOOKUP(1,Price[],3))</f>
        <v/>
      </c>
      <c r="E260" s="211" t="str">
        <f aca="false">IF('Bulk Order Details'!J270="","",Summary!$D$9)</f>
        <v/>
      </c>
      <c r="F260" s="212" t="str">
        <f aca="false">IF('Bulk Order Details'!F270="","",_xlfn.xlookup('Bulk Order Details'!F270,Size[Display],Size[Price]))</f>
        <v/>
      </c>
      <c r="G260" s="212" t="str">
        <f aca="false">IF('Bulk Order Details'!G270="","",_xlfn.xlookup('Bulk Order Details'!G270,Length[Display],Length[Price]))</f>
        <v/>
      </c>
      <c r="H260" s="212" t="str">
        <f aca="false">IF('Bulk Order Details'!H270="","",_xlfn.xlookup('Bulk Order Details'!H270,Collection[Display],Collection[Price]))</f>
        <v/>
      </c>
      <c r="I260" s="212" t="str">
        <f aca="false">IF('Bulk Order Details'!I270="","",_xlfn.xlookup('Bulk Order Details'!I270,Sleeve[Display],Sleeve[Price]))</f>
        <v/>
      </c>
      <c r="J260" s="212" t="str">
        <f aca="false">IF('Bulk Order Details'!J270="","",_xlfn.xlookup('Bulk Order Details'!J270,Collar[Display],Collar[Price]))</f>
        <v/>
      </c>
      <c r="K260" s="212" t="str">
        <f aca="false">IF('Bulk Order Details'!K270="","",_xlfn.xlookup("Name",Name[Name],Name[Price]))</f>
        <v/>
      </c>
      <c r="L260" s="213" t="str">
        <f aca="false">IFERROR(IF('Bulk Order Details'!O270="","",IF(_xlfn.xlookup('Bulk Order Details'!O270,Logos[Display],Logos[Use])="Flat",_xlfn.xlookup('Bulk Order Details'!O270,Logos[Display],Logos[Flat]),ROUND(_xlfn.xlookup('Bulk Order Details'!O270,Logos[Display],Logos[Pct])*$E260,2))),"")</f>
        <v/>
      </c>
      <c r="M260" s="222" t="str">
        <f aca="false">IFERROR(IF('Bulk Order Details'!P270="","",IF(_xlfn.xlookup('Bulk Order Details'!P270,Chest[Display],Chest[Use])="Flat",_xlfn.xlookup('Bulk Order Details'!P270,Chest[Display],Chest[Flat]),ROUND(_xlfn.xlookup('Bulk Order Details'!P270,Chest[Display],Chest[Pct])*$E260,2))),"")</f>
        <v/>
      </c>
      <c r="N260" s="222" t="str">
        <f aca="false">IFERROR(IF('Bulk Order Details'!Q270="","",IF(_xlfn.xlookup('Bulk Order Details'!Q270,Chest[Display],Chest[Use])="Flat",_xlfn.xlookup('Bulk Order Details'!Q270,Chest[Display],Chest[Flat]),ROUND(_xlfn.xlookup('Bulk Order Details'!Q270,Chest[Display],Chest[Pct])*$E260,2))),"")</f>
        <v/>
      </c>
      <c r="O260" s="222" t="str">
        <f aca="false">IFERROR(IF('Bulk Order Details'!R270="","",IF(_xlfn.xlookup('Bulk Order Details'!R270,LeftSleeve[Display],LeftSleeve[Use])="Flat",_xlfn.xlookup('Bulk Order Details'!R270,LeftSleeve[Display],LeftSleeve[Flat]),ROUND(_xlfn.xlookup('Bulk Order Details'!R270,LeftSleeve[Display],LeftSleeve[Pct])*$E260,2))),"")</f>
        <v/>
      </c>
      <c r="P260" s="222" t="str">
        <f aca="false">IFERROR(IF('Bulk Order Details'!S270="","",IF(_xlfn.xlookup('Bulk Order Details'!S270,RightSleeve[Display],RightSleeve[Use])="Flat",_xlfn.xlookup('Bulk Order Details'!S270,RightSleeve[Display],RightSleeve[Flat]),ROUND(_xlfn.xlookup('Bulk Order Details'!S270,RightSleeve[Display],RightSleeve[Pct])*$E260,2))),"")</f>
        <v/>
      </c>
      <c r="Q260" s="214" t="str">
        <f aca="false">IF('Bulk Order Details'!J270="","",SUM(F260:P260))</f>
        <v/>
      </c>
      <c r="R260" s="213" t="str">
        <f aca="false">IFERROR(E260-D260,"")</f>
        <v/>
      </c>
      <c r="S260" s="215" t="str">
        <f aca="false">IFERROR(MIN(IF(Summary!$D$11="Yes",-J260,0),IF(H260&gt;0,-J260,0)),"")</f>
        <v/>
      </c>
      <c r="T260" s="212" t="str">
        <f aca="false">IFERROR(IF(Summary!$D$10="Yes",-K260,""),"")</f>
        <v/>
      </c>
      <c r="U260" s="213" t="str">
        <f aca="false">IFERROR(IF(Summary!$D$12="Yes",-L260,""),"")</f>
        <v/>
      </c>
      <c r="V260" s="216" t="str">
        <f aca="false">IF('Bulk Order Details'!J270="","",SUM(R260:U260))</f>
        <v/>
      </c>
      <c r="W260" s="217" t="str">
        <f aca="false">IF('Bulk Order Details'!J270="","",D260+Q260)</f>
        <v/>
      </c>
      <c r="X260" s="218" t="str">
        <f aca="false">IF('Bulk Order Details'!J270="","",D260+Q260+V260)</f>
        <v/>
      </c>
      <c r="Y260" s="219" t="str">
        <f aca="false">IFERROR((W260-X260)/W260,"")</f>
        <v/>
      </c>
      <c r="Z260" s="220" t="str">
        <f aca="false">IF('Bulk Order Details'!J270="","",MAX(1,'Bulk Order Details'!D270))</f>
        <v/>
      </c>
      <c r="AA260" s="217" t="str">
        <f aca="false">IF(Pricing_Details[[#This Row],[Quantity]]="","",Pricing_Details[[#This Row],[Retail Price]]*Pricing_Details[[#This Row],[Quantity]])</f>
        <v/>
      </c>
      <c r="AB260" s="217" t="str">
        <f aca="false">IF(Pricing_Details[[#This Row],[Quantity]]="","",Pricing_Details[[#This Row],[Total Discount]]*Pricing_Details[[#This Row],[Quantity]])</f>
        <v/>
      </c>
      <c r="AC260" s="221" t="str">
        <f aca="false">IFERROR(ROUND(Pricing_Details[[#This Row],[Actual Price]]*Pricing_Details[[#This Row],[Quantity]],2),"")</f>
        <v/>
      </c>
      <c r="AE260" s="179" t="str">
        <f aca="false">IF('Bulk Order Details'!J270="","",VLOOKUP('Bulk Order Details'!H270,Collection[],3)&amp;VLOOKUP('Bulk Order Details'!J270,Collar[],4)&amp;VLOOKUP('Bulk Order Details'!I270,Sleeve[],4))</f>
        <v/>
      </c>
      <c r="AF260" s="179" t="str">
        <f aca="false">IF('Bulk Order Details'!J270="","",LOOKUP('Bulk Order Details'!E270,Cut[Display],Cut[Code])&amp;LOOKUP('Bulk Order Details'!F270,#REF!,#REF!)&amp;IF('Bulk Order Details'!G270="","",LOOKUP('Bulk Order Details'!G270,Length[Display],Length[Code])))</f>
        <v/>
      </c>
      <c r="AG260" s="179" t="str">
        <f aca="false">IF('Bulk Order Details'!J270="","",IF('Bulk Order Details'!C270="","",'Bulk Order Details'!C270))</f>
        <v/>
      </c>
      <c r="AH260" s="179" t="str">
        <f aca="false">IF('Bulk Order Details'!O270="","","-"&amp;LOOKUP('Bulk Order Details'!O270,#REF!,#REF!))</f>
        <v/>
      </c>
      <c r="AI260" s="179" t="str">
        <f aca="false">IF('Bulk Order Details'!P270="","","-"&amp;LOOKUP('Bulk Order Details'!P270,#REF!,#REF!))</f>
        <v/>
      </c>
      <c r="AJ260" s="179" t="str">
        <f aca="false">IF('Bulk Order Details'!Q270="","","-"&amp;LOOKUP('Bulk Order Details'!Q270,#REF!,#REF!))</f>
        <v/>
      </c>
      <c r="AK260" s="179" t="str">
        <f aca="false">IF('Bulk Order Details'!R270="","","-"&amp;LOOKUP('Bulk Order Details'!R270,#REF!,#REF!))</f>
        <v/>
      </c>
      <c r="AL260" s="179" t="str">
        <f aca="false">IF('Bulk Order Details'!S270="","","-"&amp;LOOKUP('Bulk Order Details'!S270,#REF!,#REF!))</f>
        <v/>
      </c>
      <c r="AM260" s="179" t="str">
        <f aca="false">IF(_xlfn.CONCAT(AH260:AL260)="","","Lo"&amp;_xlfn.CONCAT(AH260:AL260))</f>
        <v/>
      </c>
      <c r="AN260" s="179" t="str">
        <f aca="false">IF('Bulk Order Details'!K270="","","Na-"&amp;'Bulk Order Details'!K270)</f>
        <v/>
      </c>
      <c r="AO260" s="179" t="str">
        <f aca="false">IF('Bulk Order Details'!N270="","","Fo-"&amp;'Bulk Order Details'!N270)</f>
        <v/>
      </c>
      <c r="AP260" s="179" t="str">
        <f aca="false">IF(AE260="","",AE260&amp;"_"&amp;AF260&amp;"_"&amp;AG260&amp;IF(AM260="","","_"&amp;AM260)&amp;IF(AN260="","","_"&amp;AN260)&amp;IF(AO260="","","_"&amp;AO260))</f>
        <v/>
      </c>
      <c r="AQ260" s="218" t="str">
        <f aca="false">IF(X260="","",X260)</f>
        <v/>
      </c>
    </row>
    <row r="261" customFormat="false" ht="15" hidden="false" customHeight="true" outlineLevel="0" collapsed="false">
      <c r="B261" s="209" t="n">
        <f aca="false">'Bulk Order Details'!B271</f>
        <v>258</v>
      </c>
      <c r="C261" s="209" t="e">
        <f aca="false">IF('bulk order details'!#ref!="","",'bulk order details'!#ref!&amp;" "&amp;'bulk order details'!#ref!)</f>
        <v>#VALUE!</v>
      </c>
      <c r="D261" s="210" t="str">
        <f aca="false">IF('Bulk Order Details'!J271="","",VLOOKUP(1,Price[],3))</f>
        <v/>
      </c>
      <c r="E261" s="211" t="str">
        <f aca="false">IF('Bulk Order Details'!J271="","",Summary!$D$9)</f>
        <v/>
      </c>
      <c r="F261" s="212" t="str">
        <f aca="false">IF('Bulk Order Details'!F271="","",_xlfn.xlookup('Bulk Order Details'!F271,Size[Display],Size[Price]))</f>
        <v/>
      </c>
      <c r="G261" s="212" t="str">
        <f aca="false">IF('Bulk Order Details'!G271="","",_xlfn.xlookup('Bulk Order Details'!G271,Length[Display],Length[Price]))</f>
        <v/>
      </c>
      <c r="H261" s="212" t="str">
        <f aca="false">IF('Bulk Order Details'!H271="","",_xlfn.xlookup('Bulk Order Details'!H271,Collection[Display],Collection[Price]))</f>
        <v/>
      </c>
      <c r="I261" s="212" t="str">
        <f aca="false">IF('Bulk Order Details'!I271="","",_xlfn.xlookup('Bulk Order Details'!I271,Sleeve[Display],Sleeve[Price]))</f>
        <v/>
      </c>
      <c r="J261" s="212" t="str">
        <f aca="false">IF('Bulk Order Details'!J271="","",_xlfn.xlookup('Bulk Order Details'!J271,Collar[Display],Collar[Price]))</f>
        <v/>
      </c>
      <c r="K261" s="212" t="str">
        <f aca="false">IF('Bulk Order Details'!K271="","",_xlfn.xlookup("Name",Name[Name],Name[Price]))</f>
        <v/>
      </c>
      <c r="L261" s="213" t="str">
        <f aca="false">IFERROR(IF('Bulk Order Details'!O271="","",IF(_xlfn.xlookup('Bulk Order Details'!O271,Logos[Display],Logos[Use])="Flat",_xlfn.xlookup('Bulk Order Details'!O271,Logos[Display],Logos[Flat]),ROUND(_xlfn.xlookup('Bulk Order Details'!O271,Logos[Display],Logos[Pct])*$E261,2))),"")</f>
        <v/>
      </c>
      <c r="M261" s="222" t="str">
        <f aca="false">IFERROR(IF('Bulk Order Details'!P271="","",IF(_xlfn.xlookup('Bulk Order Details'!P271,Chest[Display],Chest[Use])="Flat",_xlfn.xlookup('Bulk Order Details'!P271,Chest[Display],Chest[Flat]),ROUND(_xlfn.xlookup('Bulk Order Details'!P271,Chest[Display],Chest[Pct])*$E261,2))),"")</f>
        <v/>
      </c>
      <c r="N261" s="222" t="str">
        <f aca="false">IFERROR(IF('Bulk Order Details'!Q271="","",IF(_xlfn.xlookup('Bulk Order Details'!Q271,Chest[Display],Chest[Use])="Flat",_xlfn.xlookup('Bulk Order Details'!Q271,Chest[Display],Chest[Flat]),ROUND(_xlfn.xlookup('Bulk Order Details'!Q271,Chest[Display],Chest[Pct])*$E261,2))),"")</f>
        <v/>
      </c>
      <c r="O261" s="222" t="str">
        <f aca="false">IFERROR(IF('Bulk Order Details'!R271="","",IF(_xlfn.xlookup('Bulk Order Details'!R271,LeftSleeve[Display],LeftSleeve[Use])="Flat",_xlfn.xlookup('Bulk Order Details'!R271,LeftSleeve[Display],LeftSleeve[Flat]),ROUND(_xlfn.xlookup('Bulk Order Details'!R271,LeftSleeve[Display],LeftSleeve[Pct])*$E261,2))),"")</f>
        <v/>
      </c>
      <c r="P261" s="222" t="str">
        <f aca="false">IFERROR(IF('Bulk Order Details'!S271="","",IF(_xlfn.xlookup('Bulk Order Details'!S271,RightSleeve[Display],RightSleeve[Use])="Flat",_xlfn.xlookup('Bulk Order Details'!S271,RightSleeve[Display],RightSleeve[Flat]),ROUND(_xlfn.xlookup('Bulk Order Details'!S271,RightSleeve[Display],RightSleeve[Pct])*$E261,2))),"")</f>
        <v/>
      </c>
      <c r="Q261" s="214" t="str">
        <f aca="false">IF('Bulk Order Details'!J271="","",SUM(F261:P261))</f>
        <v/>
      </c>
      <c r="R261" s="213" t="str">
        <f aca="false">IFERROR(E261-D261,"")</f>
        <v/>
      </c>
      <c r="S261" s="215" t="str">
        <f aca="false">IFERROR(MIN(IF(Summary!$D$11="Yes",-J261,0),IF(H261&gt;0,-J261,0)),"")</f>
        <v/>
      </c>
      <c r="T261" s="212" t="str">
        <f aca="false">IFERROR(IF(Summary!$D$10="Yes",-K261,""),"")</f>
        <v/>
      </c>
      <c r="U261" s="213" t="str">
        <f aca="false">IFERROR(IF(Summary!$D$12="Yes",-L261,""),"")</f>
        <v/>
      </c>
      <c r="V261" s="216" t="str">
        <f aca="false">IF('Bulk Order Details'!J271="","",SUM(R261:U261))</f>
        <v/>
      </c>
      <c r="W261" s="217" t="str">
        <f aca="false">IF('Bulk Order Details'!J271="","",D261+Q261)</f>
        <v/>
      </c>
      <c r="X261" s="218" t="str">
        <f aca="false">IF('Bulk Order Details'!J271="","",D261+Q261+V261)</f>
        <v/>
      </c>
      <c r="Y261" s="219" t="str">
        <f aca="false">IFERROR((W261-X261)/W261,"")</f>
        <v/>
      </c>
      <c r="Z261" s="220" t="str">
        <f aca="false">IF('Bulk Order Details'!J271="","",MAX(1,'Bulk Order Details'!D271))</f>
        <v/>
      </c>
      <c r="AA261" s="217" t="str">
        <f aca="false">IF(Pricing_Details[[#This Row],[Quantity]]="","",Pricing_Details[[#This Row],[Retail Price]]*Pricing_Details[[#This Row],[Quantity]])</f>
        <v/>
      </c>
      <c r="AB261" s="217" t="str">
        <f aca="false">IF(Pricing_Details[[#This Row],[Quantity]]="","",Pricing_Details[[#This Row],[Total Discount]]*Pricing_Details[[#This Row],[Quantity]])</f>
        <v/>
      </c>
      <c r="AC261" s="221" t="str">
        <f aca="false">IFERROR(ROUND(Pricing_Details[[#This Row],[Actual Price]]*Pricing_Details[[#This Row],[Quantity]],2),"")</f>
        <v/>
      </c>
      <c r="AE261" s="179" t="str">
        <f aca="false">IF('Bulk Order Details'!J271="","",VLOOKUP('Bulk Order Details'!H271,Collection[],3)&amp;VLOOKUP('Bulk Order Details'!J271,Collar[],4)&amp;VLOOKUP('Bulk Order Details'!I271,Sleeve[],4))</f>
        <v/>
      </c>
      <c r="AF261" s="179" t="str">
        <f aca="false">IF('Bulk Order Details'!J271="","",LOOKUP('Bulk Order Details'!E271,Cut[Display],Cut[Code])&amp;LOOKUP('Bulk Order Details'!F271,#REF!,#REF!)&amp;IF('Bulk Order Details'!G271="","",LOOKUP('Bulk Order Details'!G271,Length[Display],Length[Code])))</f>
        <v/>
      </c>
      <c r="AG261" s="179" t="str">
        <f aca="false">IF('Bulk Order Details'!J271="","",IF('Bulk Order Details'!C271="","",'Bulk Order Details'!C271))</f>
        <v/>
      </c>
      <c r="AH261" s="179" t="str">
        <f aca="false">IF('Bulk Order Details'!O271="","","-"&amp;LOOKUP('Bulk Order Details'!O271,#REF!,#REF!))</f>
        <v/>
      </c>
      <c r="AI261" s="179" t="str">
        <f aca="false">IF('Bulk Order Details'!P271="","","-"&amp;LOOKUP('Bulk Order Details'!P271,#REF!,#REF!))</f>
        <v/>
      </c>
      <c r="AJ261" s="179" t="str">
        <f aca="false">IF('Bulk Order Details'!Q271="","","-"&amp;LOOKUP('Bulk Order Details'!Q271,#REF!,#REF!))</f>
        <v/>
      </c>
      <c r="AK261" s="179" t="str">
        <f aca="false">IF('Bulk Order Details'!R271="","","-"&amp;LOOKUP('Bulk Order Details'!R271,#REF!,#REF!))</f>
        <v/>
      </c>
      <c r="AL261" s="179" t="str">
        <f aca="false">IF('Bulk Order Details'!S271="","","-"&amp;LOOKUP('Bulk Order Details'!S271,#REF!,#REF!))</f>
        <v/>
      </c>
      <c r="AM261" s="179" t="str">
        <f aca="false">IF(_xlfn.CONCAT(AH261:AL261)="","","Lo"&amp;_xlfn.CONCAT(AH261:AL261))</f>
        <v/>
      </c>
      <c r="AN261" s="179" t="str">
        <f aca="false">IF('Bulk Order Details'!K271="","","Na-"&amp;'Bulk Order Details'!K271)</f>
        <v/>
      </c>
      <c r="AO261" s="179" t="str">
        <f aca="false">IF('Bulk Order Details'!N271="","","Fo-"&amp;'Bulk Order Details'!N271)</f>
        <v/>
      </c>
      <c r="AP261" s="179" t="str">
        <f aca="false">IF(AE261="","",AE261&amp;"_"&amp;AF261&amp;"_"&amp;AG261&amp;IF(AM261="","","_"&amp;AM261)&amp;IF(AN261="","","_"&amp;AN261)&amp;IF(AO261="","","_"&amp;AO261))</f>
        <v/>
      </c>
      <c r="AQ261" s="218" t="str">
        <f aca="false">IF(X261="","",X261)</f>
        <v/>
      </c>
    </row>
    <row r="262" customFormat="false" ht="15" hidden="false" customHeight="true" outlineLevel="0" collapsed="false">
      <c r="B262" s="209" t="n">
        <f aca="false">'Bulk Order Details'!B272</f>
        <v>259</v>
      </c>
      <c r="C262" s="209" t="e">
        <f aca="false">IF('bulk order details'!#ref!="","",'bulk order details'!#ref!&amp;" "&amp;'bulk order details'!#ref!)</f>
        <v>#VALUE!</v>
      </c>
      <c r="D262" s="210" t="str">
        <f aca="false">IF('Bulk Order Details'!J272="","",VLOOKUP(1,Price[],3))</f>
        <v/>
      </c>
      <c r="E262" s="211" t="str">
        <f aca="false">IF('Bulk Order Details'!J272="","",Summary!$D$9)</f>
        <v/>
      </c>
      <c r="F262" s="212" t="str">
        <f aca="false">IF('Bulk Order Details'!F272="","",_xlfn.xlookup('Bulk Order Details'!F272,Size[Display],Size[Price]))</f>
        <v/>
      </c>
      <c r="G262" s="212" t="str">
        <f aca="false">IF('Bulk Order Details'!G272="","",_xlfn.xlookup('Bulk Order Details'!G272,Length[Display],Length[Price]))</f>
        <v/>
      </c>
      <c r="H262" s="212" t="str">
        <f aca="false">IF('Bulk Order Details'!H272="","",_xlfn.xlookup('Bulk Order Details'!H272,Collection[Display],Collection[Price]))</f>
        <v/>
      </c>
      <c r="I262" s="212" t="str">
        <f aca="false">IF('Bulk Order Details'!I272="","",_xlfn.xlookup('Bulk Order Details'!I272,Sleeve[Display],Sleeve[Price]))</f>
        <v/>
      </c>
      <c r="J262" s="212" t="str">
        <f aca="false">IF('Bulk Order Details'!J272="","",_xlfn.xlookup('Bulk Order Details'!J272,Collar[Display],Collar[Price]))</f>
        <v/>
      </c>
      <c r="K262" s="212" t="str">
        <f aca="false">IF('Bulk Order Details'!K272="","",_xlfn.xlookup("Name",Name[Name],Name[Price]))</f>
        <v/>
      </c>
      <c r="L262" s="213" t="str">
        <f aca="false">IFERROR(IF('Bulk Order Details'!O272="","",IF(_xlfn.xlookup('Bulk Order Details'!O272,Logos[Display],Logos[Use])="Flat",_xlfn.xlookup('Bulk Order Details'!O272,Logos[Display],Logos[Flat]),ROUND(_xlfn.xlookup('Bulk Order Details'!O272,Logos[Display],Logos[Pct])*$E262,2))),"")</f>
        <v/>
      </c>
      <c r="M262" s="222" t="str">
        <f aca="false">IFERROR(IF('Bulk Order Details'!P272="","",IF(_xlfn.xlookup('Bulk Order Details'!P272,Chest[Display],Chest[Use])="Flat",_xlfn.xlookup('Bulk Order Details'!P272,Chest[Display],Chest[Flat]),ROUND(_xlfn.xlookup('Bulk Order Details'!P272,Chest[Display],Chest[Pct])*$E262,2))),"")</f>
        <v/>
      </c>
      <c r="N262" s="222" t="str">
        <f aca="false">IFERROR(IF('Bulk Order Details'!Q272="","",IF(_xlfn.xlookup('Bulk Order Details'!Q272,Chest[Display],Chest[Use])="Flat",_xlfn.xlookup('Bulk Order Details'!Q272,Chest[Display],Chest[Flat]),ROUND(_xlfn.xlookup('Bulk Order Details'!Q272,Chest[Display],Chest[Pct])*$E262,2))),"")</f>
        <v/>
      </c>
      <c r="O262" s="222" t="str">
        <f aca="false">IFERROR(IF('Bulk Order Details'!R272="","",IF(_xlfn.xlookup('Bulk Order Details'!R272,LeftSleeve[Display],LeftSleeve[Use])="Flat",_xlfn.xlookup('Bulk Order Details'!R272,LeftSleeve[Display],LeftSleeve[Flat]),ROUND(_xlfn.xlookup('Bulk Order Details'!R272,LeftSleeve[Display],LeftSleeve[Pct])*$E262,2))),"")</f>
        <v/>
      </c>
      <c r="P262" s="222" t="str">
        <f aca="false">IFERROR(IF('Bulk Order Details'!S272="","",IF(_xlfn.xlookup('Bulk Order Details'!S272,RightSleeve[Display],RightSleeve[Use])="Flat",_xlfn.xlookup('Bulk Order Details'!S272,RightSleeve[Display],RightSleeve[Flat]),ROUND(_xlfn.xlookup('Bulk Order Details'!S272,RightSleeve[Display],RightSleeve[Pct])*$E262,2))),"")</f>
        <v/>
      </c>
      <c r="Q262" s="214" t="str">
        <f aca="false">IF('Bulk Order Details'!J272="","",SUM(F262:P262))</f>
        <v/>
      </c>
      <c r="R262" s="213" t="str">
        <f aca="false">IFERROR(E262-D262,"")</f>
        <v/>
      </c>
      <c r="S262" s="215" t="str">
        <f aca="false">IFERROR(MIN(IF(Summary!$D$11="Yes",-J262,0),IF(H262&gt;0,-J262,0)),"")</f>
        <v/>
      </c>
      <c r="T262" s="212" t="str">
        <f aca="false">IFERROR(IF(Summary!$D$10="Yes",-K262,""),"")</f>
        <v/>
      </c>
      <c r="U262" s="213" t="str">
        <f aca="false">IFERROR(IF(Summary!$D$12="Yes",-L262,""),"")</f>
        <v/>
      </c>
      <c r="V262" s="216" t="str">
        <f aca="false">IF('Bulk Order Details'!J272="","",SUM(R262:U262))</f>
        <v/>
      </c>
      <c r="W262" s="217" t="str">
        <f aca="false">IF('Bulk Order Details'!J272="","",D262+Q262)</f>
        <v/>
      </c>
      <c r="X262" s="218" t="str">
        <f aca="false">IF('Bulk Order Details'!J272="","",D262+Q262+V262)</f>
        <v/>
      </c>
      <c r="Y262" s="219" t="str">
        <f aca="false">IFERROR((W262-X262)/W262,"")</f>
        <v/>
      </c>
      <c r="Z262" s="220" t="str">
        <f aca="false">IF('Bulk Order Details'!J272="","",MAX(1,'Bulk Order Details'!D272))</f>
        <v/>
      </c>
      <c r="AA262" s="217" t="str">
        <f aca="false">IF(Pricing_Details[[#This Row],[Quantity]]="","",Pricing_Details[[#This Row],[Retail Price]]*Pricing_Details[[#This Row],[Quantity]])</f>
        <v/>
      </c>
      <c r="AB262" s="217" t="str">
        <f aca="false">IF(Pricing_Details[[#This Row],[Quantity]]="","",Pricing_Details[[#This Row],[Total Discount]]*Pricing_Details[[#This Row],[Quantity]])</f>
        <v/>
      </c>
      <c r="AC262" s="221" t="str">
        <f aca="false">IFERROR(ROUND(Pricing_Details[[#This Row],[Actual Price]]*Pricing_Details[[#This Row],[Quantity]],2),"")</f>
        <v/>
      </c>
      <c r="AE262" s="179" t="str">
        <f aca="false">IF('Bulk Order Details'!J272="","",VLOOKUP('Bulk Order Details'!H272,Collection[],3)&amp;VLOOKUP('Bulk Order Details'!J272,Collar[],4)&amp;VLOOKUP('Bulk Order Details'!I272,Sleeve[],4))</f>
        <v/>
      </c>
      <c r="AF262" s="179" t="str">
        <f aca="false">IF('Bulk Order Details'!J272="","",LOOKUP('Bulk Order Details'!E272,Cut[Display],Cut[Code])&amp;LOOKUP('Bulk Order Details'!F272,#REF!,#REF!)&amp;IF('Bulk Order Details'!G272="","",LOOKUP('Bulk Order Details'!G272,Length[Display],Length[Code])))</f>
        <v/>
      </c>
      <c r="AG262" s="179" t="str">
        <f aca="false">IF('Bulk Order Details'!J272="","",IF('Bulk Order Details'!C272="","",'Bulk Order Details'!C272))</f>
        <v/>
      </c>
      <c r="AH262" s="179" t="str">
        <f aca="false">IF('Bulk Order Details'!O272="","","-"&amp;LOOKUP('Bulk Order Details'!O272,#REF!,#REF!))</f>
        <v/>
      </c>
      <c r="AI262" s="179" t="str">
        <f aca="false">IF('Bulk Order Details'!P272="","","-"&amp;LOOKUP('Bulk Order Details'!P272,#REF!,#REF!))</f>
        <v/>
      </c>
      <c r="AJ262" s="179" t="str">
        <f aca="false">IF('Bulk Order Details'!Q272="","","-"&amp;LOOKUP('Bulk Order Details'!Q272,#REF!,#REF!))</f>
        <v/>
      </c>
      <c r="AK262" s="179" t="str">
        <f aca="false">IF('Bulk Order Details'!R272="","","-"&amp;LOOKUP('Bulk Order Details'!R272,#REF!,#REF!))</f>
        <v/>
      </c>
      <c r="AL262" s="179" t="str">
        <f aca="false">IF('Bulk Order Details'!S272="","","-"&amp;LOOKUP('Bulk Order Details'!S272,#REF!,#REF!))</f>
        <v/>
      </c>
      <c r="AM262" s="179" t="str">
        <f aca="false">IF(_xlfn.CONCAT(AH262:AL262)="","","Lo"&amp;_xlfn.CONCAT(AH262:AL262))</f>
        <v/>
      </c>
      <c r="AN262" s="179" t="str">
        <f aca="false">IF('Bulk Order Details'!K272="","","Na-"&amp;'Bulk Order Details'!K272)</f>
        <v/>
      </c>
      <c r="AO262" s="179" t="str">
        <f aca="false">IF('Bulk Order Details'!N272="","","Fo-"&amp;'Bulk Order Details'!N272)</f>
        <v/>
      </c>
      <c r="AP262" s="179" t="str">
        <f aca="false">IF(AE262="","",AE262&amp;"_"&amp;AF262&amp;"_"&amp;AG262&amp;IF(AM262="","","_"&amp;AM262)&amp;IF(AN262="","","_"&amp;AN262)&amp;IF(AO262="","","_"&amp;AO262))</f>
        <v/>
      </c>
      <c r="AQ262" s="218" t="str">
        <f aca="false">IF(X262="","",X262)</f>
        <v/>
      </c>
    </row>
    <row r="263" customFormat="false" ht="15" hidden="false" customHeight="true" outlineLevel="0" collapsed="false">
      <c r="B263" s="209" t="n">
        <f aca="false">'Bulk Order Details'!B273</f>
        <v>260</v>
      </c>
      <c r="C263" s="209" t="e">
        <f aca="false">IF('bulk order details'!#ref!="","",'bulk order details'!#ref!&amp;" "&amp;'bulk order details'!#ref!)</f>
        <v>#VALUE!</v>
      </c>
      <c r="D263" s="210" t="str">
        <f aca="false">IF('Bulk Order Details'!J273="","",VLOOKUP(1,Price[],3))</f>
        <v/>
      </c>
      <c r="E263" s="211" t="str">
        <f aca="false">IF('Bulk Order Details'!J273="","",Summary!$D$9)</f>
        <v/>
      </c>
      <c r="F263" s="212" t="str">
        <f aca="false">IF('Bulk Order Details'!F273="","",_xlfn.xlookup('Bulk Order Details'!F273,Size[Display],Size[Price]))</f>
        <v/>
      </c>
      <c r="G263" s="212" t="str">
        <f aca="false">IF('Bulk Order Details'!G273="","",_xlfn.xlookup('Bulk Order Details'!G273,Length[Display],Length[Price]))</f>
        <v/>
      </c>
      <c r="H263" s="212" t="str">
        <f aca="false">IF('Bulk Order Details'!H273="","",_xlfn.xlookup('Bulk Order Details'!H273,Collection[Display],Collection[Price]))</f>
        <v/>
      </c>
      <c r="I263" s="212" t="str">
        <f aca="false">IF('Bulk Order Details'!I273="","",_xlfn.xlookup('Bulk Order Details'!I273,Sleeve[Display],Sleeve[Price]))</f>
        <v/>
      </c>
      <c r="J263" s="212" t="str">
        <f aca="false">IF('Bulk Order Details'!J273="","",_xlfn.xlookup('Bulk Order Details'!J273,Collar[Display],Collar[Price]))</f>
        <v/>
      </c>
      <c r="K263" s="212" t="str">
        <f aca="false">IF('Bulk Order Details'!K273="","",_xlfn.xlookup("Name",Name[Name],Name[Price]))</f>
        <v/>
      </c>
      <c r="L263" s="213" t="str">
        <f aca="false">IFERROR(IF('Bulk Order Details'!O273="","",IF(_xlfn.xlookup('Bulk Order Details'!O273,Logos[Display],Logos[Use])="Flat",_xlfn.xlookup('Bulk Order Details'!O273,Logos[Display],Logos[Flat]),ROUND(_xlfn.xlookup('Bulk Order Details'!O273,Logos[Display],Logos[Pct])*$E263,2))),"")</f>
        <v/>
      </c>
      <c r="M263" s="222" t="str">
        <f aca="false">IFERROR(IF('Bulk Order Details'!P273="","",IF(_xlfn.xlookup('Bulk Order Details'!P273,Chest[Display],Chest[Use])="Flat",_xlfn.xlookup('Bulk Order Details'!P273,Chest[Display],Chest[Flat]),ROUND(_xlfn.xlookup('Bulk Order Details'!P273,Chest[Display],Chest[Pct])*$E263,2))),"")</f>
        <v/>
      </c>
      <c r="N263" s="222" t="str">
        <f aca="false">IFERROR(IF('Bulk Order Details'!Q273="","",IF(_xlfn.xlookup('Bulk Order Details'!Q273,Chest[Display],Chest[Use])="Flat",_xlfn.xlookup('Bulk Order Details'!Q273,Chest[Display],Chest[Flat]),ROUND(_xlfn.xlookup('Bulk Order Details'!Q273,Chest[Display],Chest[Pct])*$E263,2))),"")</f>
        <v/>
      </c>
      <c r="O263" s="222" t="str">
        <f aca="false">IFERROR(IF('Bulk Order Details'!R273="","",IF(_xlfn.xlookup('Bulk Order Details'!R273,LeftSleeve[Display],LeftSleeve[Use])="Flat",_xlfn.xlookup('Bulk Order Details'!R273,LeftSleeve[Display],LeftSleeve[Flat]),ROUND(_xlfn.xlookup('Bulk Order Details'!R273,LeftSleeve[Display],LeftSleeve[Pct])*$E263,2))),"")</f>
        <v/>
      </c>
      <c r="P263" s="222" t="str">
        <f aca="false">IFERROR(IF('Bulk Order Details'!S273="","",IF(_xlfn.xlookup('Bulk Order Details'!S273,RightSleeve[Display],RightSleeve[Use])="Flat",_xlfn.xlookup('Bulk Order Details'!S273,RightSleeve[Display],RightSleeve[Flat]),ROUND(_xlfn.xlookup('Bulk Order Details'!S273,RightSleeve[Display],RightSleeve[Pct])*$E263,2))),"")</f>
        <v/>
      </c>
      <c r="Q263" s="214" t="str">
        <f aca="false">IF('Bulk Order Details'!J273="","",SUM(F263:P263))</f>
        <v/>
      </c>
      <c r="R263" s="213" t="str">
        <f aca="false">IFERROR(E263-D263,"")</f>
        <v/>
      </c>
      <c r="S263" s="215" t="str">
        <f aca="false">IFERROR(MIN(IF(Summary!$D$11="Yes",-J263,0),IF(H263&gt;0,-J263,0)),"")</f>
        <v/>
      </c>
      <c r="T263" s="212" t="str">
        <f aca="false">IFERROR(IF(Summary!$D$10="Yes",-K263,""),"")</f>
        <v/>
      </c>
      <c r="U263" s="213" t="str">
        <f aca="false">IFERROR(IF(Summary!$D$12="Yes",-L263,""),"")</f>
        <v/>
      </c>
      <c r="V263" s="216" t="str">
        <f aca="false">IF('Bulk Order Details'!J273="","",SUM(R263:U263))</f>
        <v/>
      </c>
      <c r="W263" s="217" t="str">
        <f aca="false">IF('Bulk Order Details'!J273="","",D263+Q263)</f>
        <v/>
      </c>
      <c r="X263" s="218" t="str">
        <f aca="false">IF('Bulk Order Details'!J273="","",D263+Q263+V263)</f>
        <v/>
      </c>
      <c r="Y263" s="219" t="str">
        <f aca="false">IFERROR((W263-X263)/W263,"")</f>
        <v/>
      </c>
      <c r="Z263" s="220" t="str">
        <f aca="false">IF('Bulk Order Details'!J273="","",MAX(1,'Bulk Order Details'!D273))</f>
        <v/>
      </c>
      <c r="AA263" s="217" t="str">
        <f aca="false">IF(Pricing_Details[[#This Row],[Quantity]]="","",Pricing_Details[[#This Row],[Retail Price]]*Pricing_Details[[#This Row],[Quantity]])</f>
        <v/>
      </c>
      <c r="AB263" s="217" t="str">
        <f aca="false">IF(Pricing_Details[[#This Row],[Quantity]]="","",Pricing_Details[[#This Row],[Total Discount]]*Pricing_Details[[#This Row],[Quantity]])</f>
        <v/>
      </c>
      <c r="AC263" s="221" t="str">
        <f aca="false">IFERROR(ROUND(Pricing_Details[[#This Row],[Actual Price]]*Pricing_Details[[#This Row],[Quantity]],2),"")</f>
        <v/>
      </c>
      <c r="AE263" s="179" t="str">
        <f aca="false">IF('Bulk Order Details'!J273="","",VLOOKUP('Bulk Order Details'!H273,Collection[],3)&amp;VLOOKUP('Bulk Order Details'!J273,Collar[],4)&amp;VLOOKUP('Bulk Order Details'!I273,Sleeve[],4))</f>
        <v/>
      </c>
      <c r="AF263" s="179" t="str">
        <f aca="false">IF('Bulk Order Details'!J273="","",LOOKUP('Bulk Order Details'!E273,Cut[Display],Cut[Code])&amp;LOOKUP('Bulk Order Details'!F273,#REF!,#REF!)&amp;IF('Bulk Order Details'!G273="","",LOOKUP('Bulk Order Details'!G273,Length[Display],Length[Code])))</f>
        <v/>
      </c>
      <c r="AG263" s="179" t="str">
        <f aca="false">IF('Bulk Order Details'!J273="","",IF('Bulk Order Details'!C273="","",'Bulk Order Details'!C273))</f>
        <v/>
      </c>
      <c r="AH263" s="179" t="str">
        <f aca="false">IF('Bulk Order Details'!O273="","","-"&amp;LOOKUP('Bulk Order Details'!O273,#REF!,#REF!))</f>
        <v/>
      </c>
      <c r="AI263" s="179" t="str">
        <f aca="false">IF('Bulk Order Details'!P273="","","-"&amp;LOOKUP('Bulk Order Details'!P273,#REF!,#REF!))</f>
        <v/>
      </c>
      <c r="AJ263" s="179" t="str">
        <f aca="false">IF('Bulk Order Details'!Q273="","","-"&amp;LOOKUP('Bulk Order Details'!Q273,#REF!,#REF!))</f>
        <v/>
      </c>
      <c r="AK263" s="179" t="str">
        <f aca="false">IF('Bulk Order Details'!R273="","","-"&amp;LOOKUP('Bulk Order Details'!R273,#REF!,#REF!))</f>
        <v/>
      </c>
      <c r="AL263" s="179" t="str">
        <f aca="false">IF('Bulk Order Details'!S273="","","-"&amp;LOOKUP('Bulk Order Details'!S273,#REF!,#REF!))</f>
        <v/>
      </c>
      <c r="AM263" s="179" t="str">
        <f aca="false">IF(_xlfn.CONCAT(AH263:AL263)="","","Lo"&amp;_xlfn.CONCAT(AH263:AL263))</f>
        <v/>
      </c>
      <c r="AN263" s="179" t="str">
        <f aca="false">IF('Bulk Order Details'!K273="","","Na-"&amp;'Bulk Order Details'!K273)</f>
        <v/>
      </c>
      <c r="AO263" s="179" t="str">
        <f aca="false">IF('Bulk Order Details'!N273="","","Fo-"&amp;'Bulk Order Details'!N273)</f>
        <v/>
      </c>
      <c r="AP263" s="179" t="str">
        <f aca="false">IF(AE263="","",AE263&amp;"_"&amp;AF263&amp;"_"&amp;AG263&amp;IF(AM263="","","_"&amp;AM263)&amp;IF(AN263="","","_"&amp;AN263)&amp;IF(AO263="","","_"&amp;AO263))</f>
        <v/>
      </c>
      <c r="AQ263" s="218" t="str">
        <f aca="false">IF(X263="","",X263)</f>
        <v/>
      </c>
    </row>
    <row r="264" customFormat="false" ht="15" hidden="false" customHeight="true" outlineLevel="0" collapsed="false">
      <c r="B264" s="209" t="n">
        <f aca="false">'Bulk Order Details'!B274</f>
        <v>261</v>
      </c>
      <c r="C264" s="209" t="e">
        <f aca="false">IF('bulk order details'!#ref!="","",'bulk order details'!#ref!&amp;" "&amp;'bulk order details'!#ref!)</f>
        <v>#VALUE!</v>
      </c>
      <c r="D264" s="210" t="str">
        <f aca="false">IF('Bulk Order Details'!J274="","",VLOOKUP(1,Price[],3))</f>
        <v/>
      </c>
      <c r="E264" s="211" t="str">
        <f aca="false">IF('Bulk Order Details'!J274="","",Summary!$D$9)</f>
        <v/>
      </c>
      <c r="F264" s="212" t="str">
        <f aca="false">IF('Bulk Order Details'!F274="","",_xlfn.xlookup('Bulk Order Details'!F274,Size[Display],Size[Price]))</f>
        <v/>
      </c>
      <c r="G264" s="212" t="str">
        <f aca="false">IF('Bulk Order Details'!G274="","",_xlfn.xlookup('Bulk Order Details'!G274,Length[Display],Length[Price]))</f>
        <v/>
      </c>
      <c r="H264" s="212" t="str">
        <f aca="false">IF('Bulk Order Details'!H274="","",_xlfn.xlookup('Bulk Order Details'!H274,Collection[Display],Collection[Price]))</f>
        <v/>
      </c>
      <c r="I264" s="212" t="str">
        <f aca="false">IF('Bulk Order Details'!I274="","",_xlfn.xlookup('Bulk Order Details'!I274,Sleeve[Display],Sleeve[Price]))</f>
        <v/>
      </c>
      <c r="J264" s="212" t="str">
        <f aca="false">IF('Bulk Order Details'!J274="","",_xlfn.xlookup('Bulk Order Details'!J274,Collar[Display],Collar[Price]))</f>
        <v/>
      </c>
      <c r="K264" s="212" t="str">
        <f aca="false">IF('Bulk Order Details'!K274="","",_xlfn.xlookup("Name",Name[Name],Name[Price]))</f>
        <v/>
      </c>
      <c r="L264" s="213" t="str">
        <f aca="false">IFERROR(IF('Bulk Order Details'!O274="","",IF(_xlfn.xlookup('Bulk Order Details'!O274,Logos[Display],Logos[Use])="Flat",_xlfn.xlookup('Bulk Order Details'!O274,Logos[Display],Logos[Flat]),ROUND(_xlfn.xlookup('Bulk Order Details'!O274,Logos[Display],Logos[Pct])*$E264,2))),"")</f>
        <v/>
      </c>
      <c r="M264" s="222" t="str">
        <f aca="false">IFERROR(IF('Bulk Order Details'!P274="","",IF(_xlfn.xlookup('Bulk Order Details'!P274,Chest[Display],Chest[Use])="Flat",_xlfn.xlookup('Bulk Order Details'!P274,Chest[Display],Chest[Flat]),ROUND(_xlfn.xlookup('Bulk Order Details'!P274,Chest[Display],Chest[Pct])*$E264,2))),"")</f>
        <v/>
      </c>
      <c r="N264" s="222" t="str">
        <f aca="false">IFERROR(IF('Bulk Order Details'!Q274="","",IF(_xlfn.xlookup('Bulk Order Details'!Q274,Chest[Display],Chest[Use])="Flat",_xlfn.xlookup('Bulk Order Details'!Q274,Chest[Display],Chest[Flat]),ROUND(_xlfn.xlookup('Bulk Order Details'!Q274,Chest[Display],Chest[Pct])*$E264,2))),"")</f>
        <v/>
      </c>
      <c r="O264" s="222" t="str">
        <f aca="false">IFERROR(IF('Bulk Order Details'!R274="","",IF(_xlfn.xlookup('Bulk Order Details'!R274,LeftSleeve[Display],LeftSleeve[Use])="Flat",_xlfn.xlookup('Bulk Order Details'!R274,LeftSleeve[Display],LeftSleeve[Flat]),ROUND(_xlfn.xlookup('Bulk Order Details'!R274,LeftSleeve[Display],LeftSleeve[Pct])*$E264,2))),"")</f>
        <v/>
      </c>
      <c r="P264" s="222" t="str">
        <f aca="false">IFERROR(IF('Bulk Order Details'!S274="","",IF(_xlfn.xlookup('Bulk Order Details'!S274,RightSleeve[Display],RightSleeve[Use])="Flat",_xlfn.xlookup('Bulk Order Details'!S274,RightSleeve[Display],RightSleeve[Flat]),ROUND(_xlfn.xlookup('Bulk Order Details'!S274,RightSleeve[Display],RightSleeve[Pct])*$E264,2))),"")</f>
        <v/>
      </c>
      <c r="Q264" s="214" t="str">
        <f aca="false">IF('Bulk Order Details'!J274="","",SUM(F264:P264))</f>
        <v/>
      </c>
      <c r="R264" s="213" t="str">
        <f aca="false">IFERROR(E264-D264,"")</f>
        <v/>
      </c>
      <c r="S264" s="215" t="str">
        <f aca="false">IFERROR(MIN(IF(Summary!$D$11="Yes",-J264,0),IF(H264&gt;0,-J264,0)),"")</f>
        <v/>
      </c>
      <c r="T264" s="212" t="str">
        <f aca="false">IFERROR(IF(Summary!$D$10="Yes",-K264,""),"")</f>
        <v/>
      </c>
      <c r="U264" s="213" t="str">
        <f aca="false">IFERROR(IF(Summary!$D$12="Yes",-L264,""),"")</f>
        <v/>
      </c>
      <c r="V264" s="216" t="str">
        <f aca="false">IF('Bulk Order Details'!J274="","",SUM(R264:U264))</f>
        <v/>
      </c>
      <c r="W264" s="217" t="str">
        <f aca="false">IF('Bulk Order Details'!J274="","",D264+Q264)</f>
        <v/>
      </c>
      <c r="X264" s="218" t="str">
        <f aca="false">IF('Bulk Order Details'!J274="","",D264+Q264+V264)</f>
        <v/>
      </c>
      <c r="Y264" s="219" t="str">
        <f aca="false">IFERROR((W264-X264)/W264,"")</f>
        <v/>
      </c>
      <c r="Z264" s="220" t="str">
        <f aca="false">IF('Bulk Order Details'!J274="","",MAX(1,'Bulk Order Details'!D274))</f>
        <v/>
      </c>
      <c r="AA264" s="217" t="str">
        <f aca="false">IF(Pricing_Details[[#This Row],[Quantity]]="","",Pricing_Details[[#This Row],[Retail Price]]*Pricing_Details[[#This Row],[Quantity]])</f>
        <v/>
      </c>
      <c r="AB264" s="217" t="str">
        <f aca="false">IF(Pricing_Details[[#This Row],[Quantity]]="","",Pricing_Details[[#This Row],[Total Discount]]*Pricing_Details[[#This Row],[Quantity]])</f>
        <v/>
      </c>
      <c r="AC264" s="221" t="str">
        <f aca="false">IFERROR(ROUND(Pricing_Details[[#This Row],[Actual Price]]*Pricing_Details[[#This Row],[Quantity]],2),"")</f>
        <v/>
      </c>
      <c r="AE264" s="179" t="str">
        <f aca="false">IF('Bulk Order Details'!J274="","",VLOOKUP('Bulk Order Details'!H274,Collection[],3)&amp;VLOOKUP('Bulk Order Details'!J274,Collar[],4)&amp;VLOOKUP('Bulk Order Details'!I274,Sleeve[],4))</f>
        <v/>
      </c>
      <c r="AF264" s="179" t="str">
        <f aca="false">IF('Bulk Order Details'!J274="","",LOOKUP('Bulk Order Details'!E274,Cut[Display],Cut[Code])&amp;LOOKUP('Bulk Order Details'!F274,#REF!,#REF!)&amp;IF('Bulk Order Details'!G274="","",LOOKUP('Bulk Order Details'!G274,Length[Display],Length[Code])))</f>
        <v/>
      </c>
      <c r="AG264" s="179" t="str">
        <f aca="false">IF('Bulk Order Details'!J274="","",IF('Bulk Order Details'!C274="","",'Bulk Order Details'!C274))</f>
        <v/>
      </c>
      <c r="AH264" s="179" t="str">
        <f aca="false">IF('Bulk Order Details'!O274="","","-"&amp;LOOKUP('Bulk Order Details'!O274,#REF!,#REF!))</f>
        <v/>
      </c>
      <c r="AI264" s="179" t="str">
        <f aca="false">IF('Bulk Order Details'!P274="","","-"&amp;LOOKUP('Bulk Order Details'!P274,#REF!,#REF!))</f>
        <v/>
      </c>
      <c r="AJ264" s="179" t="str">
        <f aca="false">IF('Bulk Order Details'!Q274="","","-"&amp;LOOKUP('Bulk Order Details'!Q274,#REF!,#REF!))</f>
        <v/>
      </c>
      <c r="AK264" s="179" t="str">
        <f aca="false">IF('Bulk Order Details'!R274="","","-"&amp;LOOKUP('Bulk Order Details'!R274,#REF!,#REF!))</f>
        <v/>
      </c>
      <c r="AL264" s="179" t="str">
        <f aca="false">IF('Bulk Order Details'!S274="","","-"&amp;LOOKUP('Bulk Order Details'!S274,#REF!,#REF!))</f>
        <v/>
      </c>
      <c r="AM264" s="179" t="str">
        <f aca="false">IF(_xlfn.CONCAT(AH264:AL264)="","","Lo"&amp;_xlfn.CONCAT(AH264:AL264))</f>
        <v/>
      </c>
      <c r="AN264" s="179" t="str">
        <f aca="false">IF('Bulk Order Details'!K274="","","Na-"&amp;'Bulk Order Details'!K274)</f>
        <v/>
      </c>
      <c r="AO264" s="179" t="str">
        <f aca="false">IF('Bulk Order Details'!N274="","","Fo-"&amp;'Bulk Order Details'!N274)</f>
        <v/>
      </c>
      <c r="AP264" s="179" t="str">
        <f aca="false">IF(AE264="","",AE264&amp;"_"&amp;AF264&amp;"_"&amp;AG264&amp;IF(AM264="","","_"&amp;AM264)&amp;IF(AN264="","","_"&amp;AN264)&amp;IF(AO264="","","_"&amp;AO264))</f>
        <v/>
      </c>
      <c r="AQ264" s="218" t="str">
        <f aca="false">IF(X264="","",X264)</f>
        <v/>
      </c>
    </row>
    <row r="265" customFormat="false" ht="15" hidden="false" customHeight="true" outlineLevel="0" collapsed="false">
      <c r="B265" s="209" t="n">
        <f aca="false">'Bulk Order Details'!B275</f>
        <v>262</v>
      </c>
      <c r="C265" s="209" t="e">
        <f aca="false">IF('bulk order details'!#ref!="","",'bulk order details'!#ref!&amp;" "&amp;'bulk order details'!#ref!)</f>
        <v>#VALUE!</v>
      </c>
      <c r="D265" s="210" t="str">
        <f aca="false">IF('Bulk Order Details'!J275="","",VLOOKUP(1,Price[],3))</f>
        <v/>
      </c>
      <c r="E265" s="211" t="str">
        <f aca="false">IF('Bulk Order Details'!J275="","",Summary!$D$9)</f>
        <v/>
      </c>
      <c r="F265" s="212" t="str">
        <f aca="false">IF('Bulk Order Details'!F275="","",_xlfn.xlookup('Bulk Order Details'!F275,Size[Display],Size[Price]))</f>
        <v/>
      </c>
      <c r="G265" s="212" t="str">
        <f aca="false">IF('Bulk Order Details'!G275="","",_xlfn.xlookup('Bulk Order Details'!G275,Length[Display],Length[Price]))</f>
        <v/>
      </c>
      <c r="H265" s="212" t="str">
        <f aca="false">IF('Bulk Order Details'!H275="","",_xlfn.xlookup('Bulk Order Details'!H275,Collection[Display],Collection[Price]))</f>
        <v/>
      </c>
      <c r="I265" s="212" t="str">
        <f aca="false">IF('Bulk Order Details'!I275="","",_xlfn.xlookup('Bulk Order Details'!I275,Sleeve[Display],Sleeve[Price]))</f>
        <v/>
      </c>
      <c r="J265" s="212" t="str">
        <f aca="false">IF('Bulk Order Details'!J275="","",_xlfn.xlookup('Bulk Order Details'!J275,Collar[Display],Collar[Price]))</f>
        <v/>
      </c>
      <c r="K265" s="212" t="str">
        <f aca="false">IF('Bulk Order Details'!K275="","",_xlfn.xlookup("Name",Name[Name],Name[Price]))</f>
        <v/>
      </c>
      <c r="L265" s="213" t="str">
        <f aca="false">IFERROR(IF('Bulk Order Details'!O275="","",IF(_xlfn.xlookup('Bulk Order Details'!O275,Logos[Display],Logos[Use])="Flat",_xlfn.xlookup('Bulk Order Details'!O275,Logos[Display],Logos[Flat]),ROUND(_xlfn.xlookup('Bulk Order Details'!O275,Logos[Display],Logos[Pct])*$E265,2))),"")</f>
        <v/>
      </c>
      <c r="M265" s="222" t="str">
        <f aca="false">IFERROR(IF('Bulk Order Details'!P275="","",IF(_xlfn.xlookup('Bulk Order Details'!P275,Chest[Display],Chest[Use])="Flat",_xlfn.xlookup('Bulk Order Details'!P275,Chest[Display],Chest[Flat]),ROUND(_xlfn.xlookup('Bulk Order Details'!P275,Chest[Display],Chest[Pct])*$E265,2))),"")</f>
        <v/>
      </c>
      <c r="N265" s="222" t="str">
        <f aca="false">IFERROR(IF('Bulk Order Details'!Q275="","",IF(_xlfn.xlookup('Bulk Order Details'!Q275,Chest[Display],Chest[Use])="Flat",_xlfn.xlookup('Bulk Order Details'!Q275,Chest[Display],Chest[Flat]),ROUND(_xlfn.xlookup('Bulk Order Details'!Q275,Chest[Display],Chest[Pct])*$E265,2))),"")</f>
        <v/>
      </c>
      <c r="O265" s="222" t="str">
        <f aca="false">IFERROR(IF('Bulk Order Details'!R275="","",IF(_xlfn.xlookup('Bulk Order Details'!R275,LeftSleeve[Display],LeftSleeve[Use])="Flat",_xlfn.xlookup('Bulk Order Details'!R275,LeftSleeve[Display],LeftSleeve[Flat]),ROUND(_xlfn.xlookup('Bulk Order Details'!R275,LeftSleeve[Display],LeftSleeve[Pct])*$E265,2))),"")</f>
        <v/>
      </c>
      <c r="P265" s="222" t="str">
        <f aca="false">IFERROR(IF('Bulk Order Details'!S275="","",IF(_xlfn.xlookup('Bulk Order Details'!S275,RightSleeve[Display],RightSleeve[Use])="Flat",_xlfn.xlookup('Bulk Order Details'!S275,RightSleeve[Display],RightSleeve[Flat]),ROUND(_xlfn.xlookup('Bulk Order Details'!S275,RightSleeve[Display],RightSleeve[Pct])*$E265,2))),"")</f>
        <v/>
      </c>
      <c r="Q265" s="214" t="str">
        <f aca="false">IF('Bulk Order Details'!J275="","",SUM(F265:P265))</f>
        <v/>
      </c>
      <c r="R265" s="213" t="str">
        <f aca="false">IFERROR(E265-D265,"")</f>
        <v/>
      </c>
      <c r="S265" s="215" t="str">
        <f aca="false">IFERROR(MIN(IF(Summary!$D$11="Yes",-J265,0),IF(H265&gt;0,-J265,0)),"")</f>
        <v/>
      </c>
      <c r="T265" s="212" t="str">
        <f aca="false">IFERROR(IF(Summary!$D$10="Yes",-K265,""),"")</f>
        <v/>
      </c>
      <c r="U265" s="213" t="str">
        <f aca="false">IFERROR(IF(Summary!$D$12="Yes",-L265,""),"")</f>
        <v/>
      </c>
      <c r="V265" s="216" t="str">
        <f aca="false">IF('Bulk Order Details'!J275="","",SUM(R265:U265))</f>
        <v/>
      </c>
      <c r="W265" s="217" t="str">
        <f aca="false">IF('Bulk Order Details'!J275="","",D265+Q265)</f>
        <v/>
      </c>
      <c r="X265" s="218" t="str">
        <f aca="false">IF('Bulk Order Details'!J275="","",D265+Q265+V265)</f>
        <v/>
      </c>
      <c r="Y265" s="219" t="str">
        <f aca="false">IFERROR((W265-X265)/W265,"")</f>
        <v/>
      </c>
      <c r="Z265" s="220" t="str">
        <f aca="false">IF('Bulk Order Details'!J275="","",MAX(1,'Bulk Order Details'!D275))</f>
        <v/>
      </c>
      <c r="AA265" s="217" t="str">
        <f aca="false">IF(Pricing_Details[[#This Row],[Quantity]]="","",Pricing_Details[[#This Row],[Retail Price]]*Pricing_Details[[#This Row],[Quantity]])</f>
        <v/>
      </c>
      <c r="AB265" s="217" t="str">
        <f aca="false">IF(Pricing_Details[[#This Row],[Quantity]]="","",Pricing_Details[[#This Row],[Total Discount]]*Pricing_Details[[#This Row],[Quantity]])</f>
        <v/>
      </c>
      <c r="AC265" s="221" t="str">
        <f aca="false">IFERROR(ROUND(Pricing_Details[[#This Row],[Actual Price]]*Pricing_Details[[#This Row],[Quantity]],2),"")</f>
        <v/>
      </c>
      <c r="AE265" s="179" t="str">
        <f aca="false">IF('Bulk Order Details'!J275="","",VLOOKUP('Bulk Order Details'!H275,Collection[],3)&amp;VLOOKUP('Bulk Order Details'!J275,Collar[],4)&amp;VLOOKUP('Bulk Order Details'!I275,Sleeve[],4))</f>
        <v/>
      </c>
      <c r="AF265" s="179" t="str">
        <f aca="false">IF('Bulk Order Details'!J275="","",LOOKUP('Bulk Order Details'!E275,Cut[Display],Cut[Code])&amp;LOOKUP('Bulk Order Details'!F275,#REF!,#REF!)&amp;IF('Bulk Order Details'!G275="","",LOOKUP('Bulk Order Details'!G275,Length[Display],Length[Code])))</f>
        <v/>
      </c>
      <c r="AG265" s="179" t="str">
        <f aca="false">IF('Bulk Order Details'!J275="","",IF('Bulk Order Details'!C275="","",'Bulk Order Details'!C275))</f>
        <v/>
      </c>
      <c r="AH265" s="179" t="str">
        <f aca="false">IF('Bulk Order Details'!O275="","","-"&amp;LOOKUP('Bulk Order Details'!O275,#REF!,#REF!))</f>
        <v/>
      </c>
      <c r="AI265" s="179" t="str">
        <f aca="false">IF('Bulk Order Details'!P275="","","-"&amp;LOOKUP('Bulk Order Details'!P275,#REF!,#REF!))</f>
        <v/>
      </c>
      <c r="AJ265" s="179" t="str">
        <f aca="false">IF('Bulk Order Details'!Q275="","","-"&amp;LOOKUP('Bulk Order Details'!Q275,#REF!,#REF!))</f>
        <v/>
      </c>
      <c r="AK265" s="179" t="str">
        <f aca="false">IF('Bulk Order Details'!R275="","","-"&amp;LOOKUP('Bulk Order Details'!R275,#REF!,#REF!))</f>
        <v/>
      </c>
      <c r="AL265" s="179" t="str">
        <f aca="false">IF('Bulk Order Details'!S275="","","-"&amp;LOOKUP('Bulk Order Details'!S275,#REF!,#REF!))</f>
        <v/>
      </c>
      <c r="AM265" s="179" t="str">
        <f aca="false">IF(_xlfn.CONCAT(AH265:AL265)="","","Lo"&amp;_xlfn.CONCAT(AH265:AL265))</f>
        <v/>
      </c>
      <c r="AN265" s="179" t="str">
        <f aca="false">IF('Bulk Order Details'!K275="","","Na-"&amp;'Bulk Order Details'!K275)</f>
        <v/>
      </c>
      <c r="AO265" s="179" t="str">
        <f aca="false">IF('Bulk Order Details'!N275="","","Fo-"&amp;'Bulk Order Details'!N275)</f>
        <v/>
      </c>
      <c r="AP265" s="179" t="str">
        <f aca="false">IF(AE265="","",AE265&amp;"_"&amp;AF265&amp;"_"&amp;AG265&amp;IF(AM265="","","_"&amp;AM265)&amp;IF(AN265="","","_"&amp;AN265)&amp;IF(AO265="","","_"&amp;AO265))</f>
        <v/>
      </c>
      <c r="AQ265" s="218" t="str">
        <f aca="false">IF(X265="","",X265)</f>
        <v/>
      </c>
    </row>
    <row r="266" customFormat="false" ht="15" hidden="false" customHeight="true" outlineLevel="0" collapsed="false">
      <c r="B266" s="209" t="n">
        <f aca="false">'Bulk Order Details'!B276</f>
        <v>263</v>
      </c>
      <c r="C266" s="209" t="e">
        <f aca="false">IF('bulk order details'!#ref!="","",'bulk order details'!#ref!&amp;" "&amp;'bulk order details'!#ref!)</f>
        <v>#VALUE!</v>
      </c>
      <c r="D266" s="210" t="str">
        <f aca="false">IF('Bulk Order Details'!J276="","",VLOOKUP(1,Price[],3))</f>
        <v/>
      </c>
      <c r="E266" s="211" t="str">
        <f aca="false">IF('Bulk Order Details'!J276="","",Summary!$D$9)</f>
        <v/>
      </c>
      <c r="F266" s="212" t="str">
        <f aca="false">IF('Bulk Order Details'!F276="","",_xlfn.xlookup('Bulk Order Details'!F276,Size[Display],Size[Price]))</f>
        <v/>
      </c>
      <c r="G266" s="212" t="str">
        <f aca="false">IF('Bulk Order Details'!G276="","",_xlfn.xlookup('Bulk Order Details'!G276,Length[Display],Length[Price]))</f>
        <v/>
      </c>
      <c r="H266" s="212" t="str">
        <f aca="false">IF('Bulk Order Details'!H276="","",_xlfn.xlookup('Bulk Order Details'!H276,Collection[Display],Collection[Price]))</f>
        <v/>
      </c>
      <c r="I266" s="212" t="str">
        <f aca="false">IF('Bulk Order Details'!I276="","",_xlfn.xlookup('Bulk Order Details'!I276,Sleeve[Display],Sleeve[Price]))</f>
        <v/>
      </c>
      <c r="J266" s="212" t="str">
        <f aca="false">IF('Bulk Order Details'!J276="","",_xlfn.xlookup('Bulk Order Details'!J276,Collar[Display],Collar[Price]))</f>
        <v/>
      </c>
      <c r="K266" s="212" t="str">
        <f aca="false">IF('Bulk Order Details'!K276="","",_xlfn.xlookup("Name",Name[Name],Name[Price]))</f>
        <v/>
      </c>
      <c r="L266" s="213" t="str">
        <f aca="false">IFERROR(IF('Bulk Order Details'!O276="","",IF(_xlfn.xlookup('Bulk Order Details'!O276,Logos[Display],Logos[Use])="Flat",_xlfn.xlookup('Bulk Order Details'!O276,Logos[Display],Logos[Flat]),ROUND(_xlfn.xlookup('Bulk Order Details'!O276,Logos[Display],Logos[Pct])*$E266,2))),"")</f>
        <v/>
      </c>
      <c r="M266" s="222" t="str">
        <f aca="false">IFERROR(IF('Bulk Order Details'!P276="","",IF(_xlfn.xlookup('Bulk Order Details'!P276,Chest[Display],Chest[Use])="Flat",_xlfn.xlookup('Bulk Order Details'!P276,Chest[Display],Chest[Flat]),ROUND(_xlfn.xlookup('Bulk Order Details'!P276,Chest[Display],Chest[Pct])*$E266,2))),"")</f>
        <v/>
      </c>
      <c r="N266" s="222" t="str">
        <f aca="false">IFERROR(IF('Bulk Order Details'!Q276="","",IF(_xlfn.xlookup('Bulk Order Details'!Q276,Chest[Display],Chest[Use])="Flat",_xlfn.xlookup('Bulk Order Details'!Q276,Chest[Display],Chest[Flat]),ROUND(_xlfn.xlookup('Bulk Order Details'!Q276,Chest[Display],Chest[Pct])*$E266,2))),"")</f>
        <v/>
      </c>
      <c r="O266" s="222" t="str">
        <f aca="false">IFERROR(IF('Bulk Order Details'!R276="","",IF(_xlfn.xlookup('Bulk Order Details'!R276,LeftSleeve[Display],LeftSleeve[Use])="Flat",_xlfn.xlookup('Bulk Order Details'!R276,LeftSleeve[Display],LeftSleeve[Flat]),ROUND(_xlfn.xlookup('Bulk Order Details'!R276,LeftSleeve[Display],LeftSleeve[Pct])*$E266,2))),"")</f>
        <v/>
      </c>
      <c r="P266" s="222" t="str">
        <f aca="false">IFERROR(IF('Bulk Order Details'!S276="","",IF(_xlfn.xlookup('Bulk Order Details'!S276,RightSleeve[Display],RightSleeve[Use])="Flat",_xlfn.xlookup('Bulk Order Details'!S276,RightSleeve[Display],RightSleeve[Flat]),ROUND(_xlfn.xlookup('Bulk Order Details'!S276,RightSleeve[Display],RightSleeve[Pct])*$E266,2))),"")</f>
        <v/>
      </c>
      <c r="Q266" s="214" t="str">
        <f aca="false">IF('Bulk Order Details'!J276="","",SUM(F266:P266))</f>
        <v/>
      </c>
      <c r="R266" s="213" t="str">
        <f aca="false">IFERROR(E266-D266,"")</f>
        <v/>
      </c>
      <c r="S266" s="215" t="str">
        <f aca="false">IFERROR(MIN(IF(Summary!$D$11="Yes",-J266,0),IF(H266&gt;0,-J266,0)),"")</f>
        <v/>
      </c>
      <c r="T266" s="212" t="str">
        <f aca="false">IFERROR(IF(Summary!$D$10="Yes",-K266,""),"")</f>
        <v/>
      </c>
      <c r="U266" s="213" t="str">
        <f aca="false">IFERROR(IF(Summary!$D$12="Yes",-L266,""),"")</f>
        <v/>
      </c>
      <c r="V266" s="216" t="str">
        <f aca="false">IF('Bulk Order Details'!J276="","",SUM(R266:U266))</f>
        <v/>
      </c>
      <c r="W266" s="217" t="str">
        <f aca="false">IF('Bulk Order Details'!J276="","",D266+Q266)</f>
        <v/>
      </c>
      <c r="X266" s="218" t="str">
        <f aca="false">IF('Bulk Order Details'!J276="","",D266+Q266+V266)</f>
        <v/>
      </c>
      <c r="Y266" s="219" t="str">
        <f aca="false">IFERROR((W266-X266)/W266,"")</f>
        <v/>
      </c>
      <c r="Z266" s="220" t="str">
        <f aca="false">IF('Bulk Order Details'!J276="","",MAX(1,'Bulk Order Details'!D276))</f>
        <v/>
      </c>
      <c r="AA266" s="217" t="str">
        <f aca="false">IF(Pricing_Details[[#This Row],[Quantity]]="","",Pricing_Details[[#This Row],[Retail Price]]*Pricing_Details[[#This Row],[Quantity]])</f>
        <v/>
      </c>
      <c r="AB266" s="217" t="str">
        <f aca="false">IF(Pricing_Details[[#This Row],[Quantity]]="","",Pricing_Details[[#This Row],[Total Discount]]*Pricing_Details[[#This Row],[Quantity]])</f>
        <v/>
      </c>
      <c r="AC266" s="221" t="str">
        <f aca="false">IFERROR(ROUND(Pricing_Details[[#This Row],[Actual Price]]*Pricing_Details[[#This Row],[Quantity]],2),"")</f>
        <v/>
      </c>
      <c r="AE266" s="179" t="str">
        <f aca="false">IF('Bulk Order Details'!J276="","",VLOOKUP('Bulk Order Details'!H276,Collection[],3)&amp;VLOOKUP('Bulk Order Details'!J276,Collar[],4)&amp;VLOOKUP('Bulk Order Details'!I276,Sleeve[],4))</f>
        <v/>
      </c>
      <c r="AF266" s="179" t="str">
        <f aca="false">IF('Bulk Order Details'!J276="","",LOOKUP('Bulk Order Details'!E276,Cut[Display],Cut[Code])&amp;LOOKUP('Bulk Order Details'!F276,#REF!,#REF!)&amp;IF('Bulk Order Details'!G276="","",LOOKUP('Bulk Order Details'!G276,Length[Display],Length[Code])))</f>
        <v/>
      </c>
      <c r="AG266" s="179" t="str">
        <f aca="false">IF('Bulk Order Details'!J276="","",IF('Bulk Order Details'!C276="","",'Bulk Order Details'!C276))</f>
        <v/>
      </c>
      <c r="AH266" s="179" t="str">
        <f aca="false">IF('Bulk Order Details'!O276="","","-"&amp;LOOKUP('Bulk Order Details'!O276,#REF!,#REF!))</f>
        <v/>
      </c>
      <c r="AI266" s="179" t="str">
        <f aca="false">IF('Bulk Order Details'!P276="","","-"&amp;LOOKUP('Bulk Order Details'!P276,#REF!,#REF!))</f>
        <v/>
      </c>
      <c r="AJ266" s="179" t="str">
        <f aca="false">IF('Bulk Order Details'!Q276="","","-"&amp;LOOKUP('Bulk Order Details'!Q276,#REF!,#REF!))</f>
        <v/>
      </c>
      <c r="AK266" s="179" t="str">
        <f aca="false">IF('Bulk Order Details'!R276="","","-"&amp;LOOKUP('Bulk Order Details'!R276,#REF!,#REF!))</f>
        <v/>
      </c>
      <c r="AL266" s="179" t="str">
        <f aca="false">IF('Bulk Order Details'!S276="","","-"&amp;LOOKUP('Bulk Order Details'!S276,#REF!,#REF!))</f>
        <v/>
      </c>
      <c r="AM266" s="179" t="str">
        <f aca="false">IF(_xlfn.CONCAT(AH266:AL266)="","","Lo"&amp;_xlfn.CONCAT(AH266:AL266))</f>
        <v/>
      </c>
      <c r="AN266" s="179" t="str">
        <f aca="false">IF('Bulk Order Details'!K276="","","Na-"&amp;'Bulk Order Details'!K276)</f>
        <v/>
      </c>
      <c r="AO266" s="179" t="str">
        <f aca="false">IF('Bulk Order Details'!N276="","","Fo-"&amp;'Bulk Order Details'!N276)</f>
        <v/>
      </c>
      <c r="AP266" s="179" t="str">
        <f aca="false">IF(AE266="","",AE266&amp;"_"&amp;AF266&amp;"_"&amp;AG266&amp;IF(AM266="","","_"&amp;AM266)&amp;IF(AN266="","","_"&amp;AN266)&amp;IF(AO266="","","_"&amp;AO266))</f>
        <v/>
      </c>
      <c r="AQ266" s="218" t="str">
        <f aca="false">IF(X266="","",X266)</f>
        <v/>
      </c>
    </row>
    <row r="267" customFormat="false" ht="15" hidden="false" customHeight="true" outlineLevel="0" collapsed="false">
      <c r="B267" s="209" t="n">
        <f aca="false">'Bulk Order Details'!B277</f>
        <v>264</v>
      </c>
      <c r="C267" s="209" t="e">
        <f aca="false">IF('bulk order details'!#ref!="","",'bulk order details'!#ref!&amp;" "&amp;'bulk order details'!#ref!)</f>
        <v>#VALUE!</v>
      </c>
      <c r="D267" s="210" t="str">
        <f aca="false">IF('Bulk Order Details'!J277="","",VLOOKUP(1,Price[],3))</f>
        <v/>
      </c>
      <c r="E267" s="211" t="str">
        <f aca="false">IF('Bulk Order Details'!J277="","",Summary!$D$9)</f>
        <v/>
      </c>
      <c r="F267" s="212" t="str">
        <f aca="false">IF('Bulk Order Details'!F277="","",_xlfn.xlookup('Bulk Order Details'!F277,Size[Display],Size[Price]))</f>
        <v/>
      </c>
      <c r="G267" s="212" t="str">
        <f aca="false">IF('Bulk Order Details'!G277="","",_xlfn.xlookup('Bulk Order Details'!G277,Length[Display],Length[Price]))</f>
        <v/>
      </c>
      <c r="H267" s="212" t="str">
        <f aca="false">IF('Bulk Order Details'!H277="","",_xlfn.xlookup('Bulk Order Details'!H277,Collection[Display],Collection[Price]))</f>
        <v/>
      </c>
      <c r="I267" s="212" t="str">
        <f aca="false">IF('Bulk Order Details'!I277="","",_xlfn.xlookup('Bulk Order Details'!I277,Sleeve[Display],Sleeve[Price]))</f>
        <v/>
      </c>
      <c r="J267" s="212" t="str">
        <f aca="false">IF('Bulk Order Details'!J277="","",_xlfn.xlookup('Bulk Order Details'!J277,Collar[Display],Collar[Price]))</f>
        <v/>
      </c>
      <c r="K267" s="212" t="str">
        <f aca="false">IF('Bulk Order Details'!K277="","",_xlfn.xlookup("Name",Name[Name],Name[Price]))</f>
        <v/>
      </c>
      <c r="L267" s="213" t="str">
        <f aca="false">IFERROR(IF('Bulk Order Details'!O277="","",IF(_xlfn.xlookup('Bulk Order Details'!O277,Logos[Display],Logos[Use])="Flat",_xlfn.xlookup('Bulk Order Details'!O277,Logos[Display],Logos[Flat]),ROUND(_xlfn.xlookup('Bulk Order Details'!O277,Logos[Display],Logos[Pct])*$E267,2))),"")</f>
        <v/>
      </c>
      <c r="M267" s="222" t="str">
        <f aca="false">IFERROR(IF('Bulk Order Details'!P277="","",IF(_xlfn.xlookup('Bulk Order Details'!P277,Chest[Display],Chest[Use])="Flat",_xlfn.xlookup('Bulk Order Details'!P277,Chest[Display],Chest[Flat]),ROUND(_xlfn.xlookup('Bulk Order Details'!P277,Chest[Display],Chest[Pct])*$E267,2))),"")</f>
        <v/>
      </c>
      <c r="N267" s="222" t="str">
        <f aca="false">IFERROR(IF('Bulk Order Details'!Q277="","",IF(_xlfn.xlookup('Bulk Order Details'!Q277,Chest[Display],Chest[Use])="Flat",_xlfn.xlookup('Bulk Order Details'!Q277,Chest[Display],Chest[Flat]),ROUND(_xlfn.xlookup('Bulk Order Details'!Q277,Chest[Display],Chest[Pct])*$E267,2))),"")</f>
        <v/>
      </c>
      <c r="O267" s="222" t="str">
        <f aca="false">IFERROR(IF('Bulk Order Details'!R277="","",IF(_xlfn.xlookup('Bulk Order Details'!R277,LeftSleeve[Display],LeftSleeve[Use])="Flat",_xlfn.xlookup('Bulk Order Details'!R277,LeftSleeve[Display],LeftSleeve[Flat]),ROUND(_xlfn.xlookup('Bulk Order Details'!R277,LeftSleeve[Display],LeftSleeve[Pct])*$E267,2))),"")</f>
        <v/>
      </c>
      <c r="P267" s="222" t="str">
        <f aca="false">IFERROR(IF('Bulk Order Details'!S277="","",IF(_xlfn.xlookup('Bulk Order Details'!S277,RightSleeve[Display],RightSleeve[Use])="Flat",_xlfn.xlookup('Bulk Order Details'!S277,RightSleeve[Display],RightSleeve[Flat]),ROUND(_xlfn.xlookup('Bulk Order Details'!S277,RightSleeve[Display],RightSleeve[Pct])*$E267,2))),"")</f>
        <v/>
      </c>
      <c r="Q267" s="214" t="str">
        <f aca="false">IF('Bulk Order Details'!J277="","",SUM(F267:P267))</f>
        <v/>
      </c>
      <c r="R267" s="213" t="str">
        <f aca="false">IFERROR(E267-D267,"")</f>
        <v/>
      </c>
      <c r="S267" s="215" t="str">
        <f aca="false">IFERROR(MIN(IF(Summary!$D$11="Yes",-J267,0),IF(H267&gt;0,-J267,0)),"")</f>
        <v/>
      </c>
      <c r="T267" s="212" t="str">
        <f aca="false">IFERROR(IF(Summary!$D$10="Yes",-K267,""),"")</f>
        <v/>
      </c>
      <c r="U267" s="213" t="str">
        <f aca="false">IFERROR(IF(Summary!$D$12="Yes",-L267,""),"")</f>
        <v/>
      </c>
      <c r="V267" s="216" t="str">
        <f aca="false">IF('Bulk Order Details'!J277="","",SUM(R267:U267))</f>
        <v/>
      </c>
      <c r="W267" s="217" t="str">
        <f aca="false">IF('Bulk Order Details'!J277="","",D267+Q267)</f>
        <v/>
      </c>
      <c r="X267" s="218" t="str">
        <f aca="false">IF('Bulk Order Details'!J277="","",D267+Q267+V267)</f>
        <v/>
      </c>
      <c r="Y267" s="219" t="str">
        <f aca="false">IFERROR((W267-X267)/W267,"")</f>
        <v/>
      </c>
      <c r="Z267" s="220" t="str">
        <f aca="false">IF('Bulk Order Details'!J277="","",MAX(1,'Bulk Order Details'!D277))</f>
        <v/>
      </c>
      <c r="AA267" s="217" t="str">
        <f aca="false">IF(Pricing_Details[[#This Row],[Quantity]]="","",Pricing_Details[[#This Row],[Retail Price]]*Pricing_Details[[#This Row],[Quantity]])</f>
        <v/>
      </c>
      <c r="AB267" s="217" t="str">
        <f aca="false">IF(Pricing_Details[[#This Row],[Quantity]]="","",Pricing_Details[[#This Row],[Total Discount]]*Pricing_Details[[#This Row],[Quantity]])</f>
        <v/>
      </c>
      <c r="AC267" s="221" t="str">
        <f aca="false">IFERROR(ROUND(Pricing_Details[[#This Row],[Actual Price]]*Pricing_Details[[#This Row],[Quantity]],2),"")</f>
        <v/>
      </c>
      <c r="AE267" s="179" t="str">
        <f aca="false">IF('Bulk Order Details'!J277="","",VLOOKUP('Bulk Order Details'!H277,Collection[],3)&amp;VLOOKUP('Bulk Order Details'!J277,Collar[],4)&amp;VLOOKUP('Bulk Order Details'!I277,Sleeve[],4))</f>
        <v/>
      </c>
      <c r="AF267" s="179" t="str">
        <f aca="false">IF('Bulk Order Details'!J277="","",LOOKUP('Bulk Order Details'!E277,Cut[Display],Cut[Code])&amp;LOOKUP('Bulk Order Details'!F277,#REF!,#REF!)&amp;IF('Bulk Order Details'!G277="","",LOOKUP('Bulk Order Details'!G277,Length[Display],Length[Code])))</f>
        <v/>
      </c>
      <c r="AG267" s="179" t="str">
        <f aca="false">IF('Bulk Order Details'!J277="","",IF('Bulk Order Details'!C277="","",'Bulk Order Details'!C277))</f>
        <v/>
      </c>
      <c r="AH267" s="179" t="str">
        <f aca="false">IF('Bulk Order Details'!O277="","","-"&amp;LOOKUP('Bulk Order Details'!O277,#REF!,#REF!))</f>
        <v/>
      </c>
      <c r="AI267" s="179" t="str">
        <f aca="false">IF('Bulk Order Details'!P277="","","-"&amp;LOOKUP('Bulk Order Details'!P277,#REF!,#REF!))</f>
        <v/>
      </c>
      <c r="AJ267" s="179" t="str">
        <f aca="false">IF('Bulk Order Details'!Q277="","","-"&amp;LOOKUP('Bulk Order Details'!Q277,#REF!,#REF!))</f>
        <v/>
      </c>
      <c r="AK267" s="179" t="str">
        <f aca="false">IF('Bulk Order Details'!R277="","","-"&amp;LOOKUP('Bulk Order Details'!R277,#REF!,#REF!))</f>
        <v/>
      </c>
      <c r="AL267" s="179" t="str">
        <f aca="false">IF('Bulk Order Details'!S277="","","-"&amp;LOOKUP('Bulk Order Details'!S277,#REF!,#REF!))</f>
        <v/>
      </c>
      <c r="AM267" s="179" t="str">
        <f aca="false">IF(_xlfn.CONCAT(AH267:AL267)="","","Lo"&amp;_xlfn.CONCAT(AH267:AL267))</f>
        <v/>
      </c>
      <c r="AN267" s="179" t="str">
        <f aca="false">IF('Bulk Order Details'!K277="","","Na-"&amp;'Bulk Order Details'!K277)</f>
        <v/>
      </c>
      <c r="AO267" s="179" t="str">
        <f aca="false">IF('Bulk Order Details'!N277="","","Fo-"&amp;'Bulk Order Details'!N277)</f>
        <v/>
      </c>
      <c r="AP267" s="179" t="str">
        <f aca="false">IF(AE267="","",AE267&amp;"_"&amp;AF267&amp;"_"&amp;AG267&amp;IF(AM267="","","_"&amp;AM267)&amp;IF(AN267="","","_"&amp;AN267)&amp;IF(AO267="","","_"&amp;AO267))</f>
        <v/>
      </c>
      <c r="AQ267" s="218" t="str">
        <f aca="false">IF(X267="","",X267)</f>
        <v/>
      </c>
    </row>
    <row r="268" customFormat="false" ht="15" hidden="false" customHeight="true" outlineLevel="0" collapsed="false">
      <c r="B268" s="209" t="n">
        <f aca="false">'Bulk Order Details'!B278</f>
        <v>265</v>
      </c>
      <c r="C268" s="209" t="e">
        <f aca="false">IF('bulk order details'!#ref!="","",'bulk order details'!#ref!&amp;" "&amp;'bulk order details'!#ref!)</f>
        <v>#VALUE!</v>
      </c>
      <c r="D268" s="210" t="str">
        <f aca="false">IF('Bulk Order Details'!J278="","",VLOOKUP(1,Price[],3))</f>
        <v/>
      </c>
      <c r="E268" s="211" t="str">
        <f aca="false">IF('Bulk Order Details'!J278="","",Summary!$D$9)</f>
        <v/>
      </c>
      <c r="F268" s="212" t="str">
        <f aca="false">IF('Bulk Order Details'!F278="","",_xlfn.xlookup('Bulk Order Details'!F278,Size[Display],Size[Price]))</f>
        <v/>
      </c>
      <c r="G268" s="212" t="str">
        <f aca="false">IF('Bulk Order Details'!G278="","",_xlfn.xlookup('Bulk Order Details'!G278,Length[Display],Length[Price]))</f>
        <v/>
      </c>
      <c r="H268" s="212" t="str">
        <f aca="false">IF('Bulk Order Details'!H278="","",_xlfn.xlookup('Bulk Order Details'!H278,Collection[Display],Collection[Price]))</f>
        <v/>
      </c>
      <c r="I268" s="212" t="str">
        <f aca="false">IF('Bulk Order Details'!I278="","",_xlfn.xlookup('Bulk Order Details'!I278,Sleeve[Display],Sleeve[Price]))</f>
        <v/>
      </c>
      <c r="J268" s="212" t="str">
        <f aca="false">IF('Bulk Order Details'!J278="","",_xlfn.xlookup('Bulk Order Details'!J278,Collar[Display],Collar[Price]))</f>
        <v/>
      </c>
      <c r="K268" s="212" t="str">
        <f aca="false">IF('Bulk Order Details'!K278="","",_xlfn.xlookup("Name",Name[Name],Name[Price]))</f>
        <v/>
      </c>
      <c r="L268" s="213" t="str">
        <f aca="false">IFERROR(IF('Bulk Order Details'!O278="","",IF(_xlfn.xlookup('Bulk Order Details'!O278,Logos[Display],Logos[Use])="Flat",_xlfn.xlookup('Bulk Order Details'!O278,Logos[Display],Logos[Flat]),ROUND(_xlfn.xlookup('Bulk Order Details'!O278,Logos[Display],Logos[Pct])*$E268,2))),"")</f>
        <v/>
      </c>
      <c r="M268" s="222" t="str">
        <f aca="false">IFERROR(IF('Bulk Order Details'!P278="","",IF(_xlfn.xlookup('Bulk Order Details'!P278,Chest[Display],Chest[Use])="Flat",_xlfn.xlookup('Bulk Order Details'!P278,Chest[Display],Chest[Flat]),ROUND(_xlfn.xlookup('Bulk Order Details'!P278,Chest[Display],Chest[Pct])*$E268,2))),"")</f>
        <v/>
      </c>
      <c r="N268" s="222" t="str">
        <f aca="false">IFERROR(IF('Bulk Order Details'!Q278="","",IF(_xlfn.xlookup('Bulk Order Details'!Q278,Chest[Display],Chest[Use])="Flat",_xlfn.xlookup('Bulk Order Details'!Q278,Chest[Display],Chest[Flat]),ROUND(_xlfn.xlookup('Bulk Order Details'!Q278,Chest[Display],Chest[Pct])*$E268,2))),"")</f>
        <v/>
      </c>
      <c r="O268" s="222" t="str">
        <f aca="false">IFERROR(IF('Bulk Order Details'!R278="","",IF(_xlfn.xlookup('Bulk Order Details'!R278,LeftSleeve[Display],LeftSleeve[Use])="Flat",_xlfn.xlookup('Bulk Order Details'!R278,LeftSleeve[Display],LeftSleeve[Flat]),ROUND(_xlfn.xlookup('Bulk Order Details'!R278,LeftSleeve[Display],LeftSleeve[Pct])*$E268,2))),"")</f>
        <v/>
      </c>
      <c r="P268" s="222" t="str">
        <f aca="false">IFERROR(IF('Bulk Order Details'!S278="","",IF(_xlfn.xlookup('Bulk Order Details'!S278,RightSleeve[Display],RightSleeve[Use])="Flat",_xlfn.xlookup('Bulk Order Details'!S278,RightSleeve[Display],RightSleeve[Flat]),ROUND(_xlfn.xlookup('Bulk Order Details'!S278,RightSleeve[Display],RightSleeve[Pct])*$E268,2))),"")</f>
        <v/>
      </c>
      <c r="Q268" s="214" t="str">
        <f aca="false">IF('Bulk Order Details'!J278="","",SUM(F268:P268))</f>
        <v/>
      </c>
      <c r="R268" s="213" t="str">
        <f aca="false">IFERROR(E268-D268,"")</f>
        <v/>
      </c>
      <c r="S268" s="215" t="str">
        <f aca="false">IFERROR(MIN(IF(Summary!$D$11="Yes",-J268,0),IF(H268&gt;0,-J268,0)),"")</f>
        <v/>
      </c>
      <c r="T268" s="212" t="str">
        <f aca="false">IFERROR(IF(Summary!$D$10="Yes",-K268,""),"")</f>
        <v/>
      </c>
      <c r="U268" s="213" t="str">
        <f aca="false">IFERROR(IF(Summary!$D$12="Yes",-L268,""),"")</f>
        <v/>
      </c>
      <c r="V268" s="216" t="str">
        <f aca="false">IF('Bulk Order Details'!J278="","",SUM(R268:U268))</f>
        <v/>
      </c>
      <c r="W268" s="217" t="str">
        <f aca="false">IF('Bulk Order Details'!J278="","",D268+Q268)</f>
        <v/>
      </c>
      <c r="X268" s="218" t="str">
        <f aca="false">IF('Bulk Order Details'!J278="","",D268+Q268+V268)</f>
        <v/>
      </c>
      <c r="Y268" s="219" t="str">
        <f aca="false">IFERROR((W268-X268)/W268,"")</f>
        <v/>
      </c>
      <c r="Z268" s="220" t="str">
        <f aca="false">IF('Bulk Order Details'!J278="","",MAX(1,'Bulk Order Details'!D278))</f>
        <v/>
      </c>
      <c r="AA268" s="217" t="str">
        <f aca="false">IF(Pricing_Details[[#This Row],[Quantity]]="","",Pricing_Details[[#This Row],[Retail Price]]*Pricing_Details[[#This Row],[Quantity]])</f>
        <v/>
      </c>
      <c r="AB268" s="217" t="str">
        <f aca="false">IF(Pricing_Details[[#This Row],[Quantity]]="","",Pricing_Details[[#This Row],[Total Discount]]*Pricing_Details[[#This Row],[Quantity]])</f>
        <v/>
      </c>
      <c r="AC268" s="221" t="str">
        <f aca="false">IFERROR(ROUND(Pricing_Details[[#This Row],[Actual Price]]*Pricing_Details[[#This Row],[Quantity]],2),"")</f>
        <v/>
      </c>
      <c r="AE268" s="179" t="str">
        <f aca="false">IF('Bulk Order Details'!J278="","",VLOOKUP('Bulk Order Details'!H278,Collection[],3)&amp;VLOOKUP('Bulk Order Details'!J278,Collar[],4)&amp;VLOOKUP('Bulk Order Details'!I278,Sleeve[],4))</f>
        <v/>
      </c>
      <c r="AF268" s="179" t="str">
        <f aca="false">IF('Bulk Order Details'!J278="","",LOOKUP('Bulk Order Details'!E278,Cut[Display],Cut[Code])&amp;LOOKUP('Bulk Order Details'!F278,#REF!,#REF!)&amp;IF('Bulk Order Details'!G278="","",LOOKUP('Bulk Order Details'!G278,Length[Display],Length[Code])))</f>
        <v/>
      </c>
      <c r="AG268" s="179" t="str">
        <f aca="false">IF('Bulk Order Details'!J278="","",IF('Bulk Order Details'!C278="","",'Bulk Order Details'!C278))</f>
        <v/>
      </c>
      <c r="AH268" s="179" t="str">
        <f aca="false">IF('Bulk Order Details'!O278="","","-"&amp;LOOKUP('Bulk Order Details'!O278,#REF!,#REF!))</f>
        <v/>
      </c>
      <c r="AI268" s="179" t="str">
        <f aca="false">IF('Bulk Order Details'!P278="","","-"&amp;LOOKUP('Bulk Order Details'!P278,#REF!,#REF!))</f>
        <v/>
      </c>
      <c r="AJ268" s="179" t="str">
        <f aca="false">IF('Bulk Order Details'!Q278="","","-"&amp;LOOKUP('Bulk Order Details'!Q278,#REF!,#REF!))</f>
        <v/>
      </c>
      <c r="AK268" s="179" t="str">
        <f aca="false">IF('Bulk Order Details'!R278="","","-"&amp;LOOKUP('Bulk Order Details'!R278,#REF!,#REF!))</f>
        <v/>
      </c>
      <c r="AL268" s="179" t="str">
        <f aca="false">IF('Bulk Order Details'!S278="","","-"&amp;LOOKUP('Bulk Order Details'!S278,#REF!,#REF!))</f>
        <v/>
      </c>
      <c r="AM268" s="179" t="str">
        <f aca="false">IF(_xlfn.CONCAT(AH268:AL268)="","","Lo"&amp;_xlfn.CONCAT(AH268:AL268))</f>
        <v/>
      </c>
      <c r="AN268" s="179" t="str">
        <f aca="false">IF('Bulk Order Details'!K278="","","Na-"&amp;'Bulk Order Details'!K278)</f>
        <v/>
      </c>
      <c r="AO268" s="179" t="str">
        <f aca="false">IF('Bulk Order Details'!N278="","","Fo-"&amp;'Bulk Order Details'!N278)</f>
        <v/>
      </c>
      <c r="AP268" s="179" t="str">
        <f aca="false">IF(AE268="","",AE268&amp;"_"&amp;AF268&amp;"_"&amp;AG268&amp;IF(AM268="","","_"&amp;AM268)&amp;IF(AN268="","","_"&amp;AN268)&amp;IF(AO268="","","_"&amp;AO268))</f>
        <v/>
      </c>
      <c r="AQ268" s="218" t="str">
        <f aca="false">IF(X268="","",X268)</f>
        <v/>
      </c>
    </row>
    <row r="269" customFormat="false" ht="15" hidden="false" customHeight="true" outlineLevel="0" collapsed="false">
      <c r="B269" s="209" t="n">
        <f aca="false">'Bulk Order Details'!B279</f>
        <v>266</v>
      </c>
      <c r="C269" s="209" t="e">
        <f aca="false">IF('bulk order details'!#ref!="","",'bulk order details'!#ref!&amp;" "&amp;'bulk order details'!#ref!)</f>
        <v>#VALUE!</v>
      </c>
      <c r="D269" s="210" t="str">
        <f aca="false">IF('Bulk Order Details'!J279="","",VLOOKUP(1,Price[],3))</f>
        <v/>
      </c>
      <c r="E269" s="211" t="str">
        <f aca="false">IF('Bulk Order Details'!J279="","",Summary!$D$9)</f>
        <v/>
      </c>
      <c r="F269" s="212" t="str">
        <f aca="false">IF('Bulk Order Details'!F279="","",_xlfn.xlookup('Bulk Order Details'!F279,Size[Display],Size[Price]))</f>
        <v/>
      </c>
      <c r="G269" s="212" t="str">
        <f aca="false">IF('Bulk Order Details'!G279="","",_xlfn.xlookup('Bulk Order Details'!G279,Length[Display],Length[Price]))</f>
        <v/>
      </c>
      <c r="H269" s="212" t="str">
        <f aca="false">IF('Bulk Order Details'!H279="","",_xlfn.xlookup('Bulk Order Details'!H279,Collection[Display],Collection[Price]))</f>
        <v/>
      </c>
      <c r="I269" s="212" t="str">
        <f aca="false">IF('Bulk Order Details'!I279="","",_xlfn.xlookup('Bulk Order Details'!I279,Sleeve[Display],Sleeve[Price]))</f>
        <v/>
      </c>
      <c r="J269" s="212" t="str">
        <f aca="false">IF('Bulk Order Details'!J279="","",_xlfn.xlookup('Bulk Order Details'!J279,Collar[Display],Collar[Price]))</f>
        <v/>
      </c>
      <c r="K269" s="212" t="str">
        <f aca="false">IF('Bulk Order Details'!K279="","",_xlfn.xlookup("Name",Name[Name],Name[Price]))</f>
        <v/>
      </c>
      <c r="L269" s="213" t="str">
        <f aca="false">IFERROR(IF('Bulk Order Details'!O279="","",IF(_xlfn.xlookup('Bulk Order Details'!O279,Logos[Display],Logos[Use])="Flat",_xlfn.xlookup('Bulk Order Details'!O279,Logos[Display],Logos[Flat]),ROUND(_xlfn.xlookup('Bulk Order Details'!O279,Logos[Display],Logos[Pct])*$E269,2))),"")</f>
        <v/>
      </c>
      <c r="M269" s="222" t="str">
        <f aca="false">IFERROR(IF('Bulk Order Details'!P279="","",IF(_xlfn.xlookup('Bulk Order Details'!P279,Chest[Display],Chest[Use])="Flat",_xlfn.xlookup('Bulk Order Details'!P279,Chest[Display],Chest[Flat]),ROUND(_xlfn.xlookup('Bulk Order Details'!P279,Chest[Display],Chest[Pct])*$E269,2))),"")</f>
        <v/>
      </c>
      <c r="N269" s="222" t="str">
        <f aca="false">IFERROR(IF('Bulk Order Details'!Q279="","",IF(_xlfn.xlookup('Bulk Order Details'!Q279,Chest[Display],Chest[Use])="Flat",_xlfn.xlookup('Bulk Order Details'!Q279,Chest[Display],Chest[Flat]),ROUND(_xlfn.xlookup('Bulk Order Details'!Q279,Chest[Display],Chest[Pct])*$E269,2))),"")</f>
        <v/>
      </c>
      <c r="O269" s="222" t="str">
        <f aca="false">IFERROR(IF('Bulk Order Details'!R279="","",IF(_xlfn.xlookup('Bulk Order Details'!R279,LeftSleeve[Display],LeftSleeve[Use])="Flat",_xlfn.xlookup('Bulk Order Details'!R279,LeftSleeve[Display],LeftSleeve[Flat]),ROUND(_xlfn.xlookup('Bulk Order Details'!R279,LeftSleeve[Display],LeftSleeve[Pct])*$E269,2))),"")</f>
        <v/>
      </c>
      <c r="P269" s="222" t="str">
        <f aca="false">IFERROR(IF('Bulk Order Details'!S279="","",IF(_xlfn.xlookup('Bulk Order Details'!S279,RightSleeve[Display],RightSleeve[Use])="Flat",_xlfn.xlookup('Bulk Order Details'!S279,RightSleeve[Display],RightSleeve[Flat]),ROUND(_xlfn.xlookup('Bulk Order Details'!S279,RightSleeve[Display],RightSleeve[Pct])*$E269,2))),"")</f>
        <v/>
      </c>
      <c r="Q269" s="214" t="str">
        <f aca="false">IF('Bulk Order Details'!J279="","",SUM(F269:P269))</f>
        <v/>
      </c>
      <c r="R269" s="213" t="str">
        <f aca="false">IFERROR(E269-D269,"")</f>
        <v/>
      </c>
      <c r="S269" s="215" t="str">
        <f aca="false">IFERROR(MIN(IF(Summary!$D$11="Yes",-J269,0),IF(H269&gt;0,-J269,0)),"")</f>
        <v/>
      </c>
      <c r="T269" s="212" t="str">
        <f aca="false">IFERROR(IF(Summary!$D$10="Yes",-K269,""),"")</f>
        <v/>
      </c>
      <c r="U269" s="213" t="str">
        <f aca="false">IFERROR(IF(Summary!$D$12="Yes",-L269,""),"")</f>
        <v/>
      </c>
      <c r="V269" s="216" t="str">
        <f aca="false">IF('Bulk Order Details'!J279="","",SUM(R269:U269))</f>
        <v/>
      </c>
      <c r="W269" s="217" t="str">
        <f aca="false">IF('Bulk Order Details'!J279="","",D269+Q269)</f>
        <v/>
      </c>
      <c r="X269" s="218" t="str">
        <f aca="false">IF('Bulk Order Details'!J279="","",D269+Q269+V269)</f>
        <v/>
      </c>
      <c r="Y269" s="219" t="str">
        <f aca="false">IFERROR((W269-X269)/W269,"")</f>
        <v/>
      </c>
      <c r="Z269" s="220" t="str">
        <f aca="false">IF('Bulk Order Details'!J279="","",MAX(1,'Bulk Order Details'!D279))</f>
        <v/>
      </c>
      <c r="AA269" s="217" t="str">
        <f aca="false">IF(Pricing_Details[[#This Row],[Quantity]]="","",Pricing_Details[[#This Row],[Retail Price]]*Pricing_Details[[#This Row],[Quantity]])</f>
        <v/>
      </c>
      <c r="AB269" s="217" t="str">
        <f aca="false">IF(Pricing_Details[[#This Row],[Quantity]]="","",Pricing_Details[[#This Row],[Total Discount]]*Pricing_Details[[#This Row],[Quantity]])</f>
        <v/>
      </c>
      <c r="AC269" s="221" t="str">
        <f aca="false">IFERROR(ROUND(Pricing_Details[[#This Row],[Actual Price]]*Pricing_Details[[#This Row],[Quantity]],2),"")</f>
        <v/>
      </c>
      <c r="AE269" s="179" t="str">
        <f aca="false">IF('Bulk Order Details'!J279="","",VLOOKUP('Bulk Order Details'!H279,Collection[],3)&amp;VLOOKUP('Bulk Order Details'!J279,Collar[],4)&amp;VLOOKUP('Bulk Order Details'!I279,Sleeve[],4))</f>
        <v/>
      </c>
      <c r="AF269" s="179" t="str">
        <f aca="false">IF('Bulk Order Details'!J279="","",LOOKUP('Bulk Order Details'!E279,Cut[Display],Cut[Code])&amp;LOOKUP('Bulk Order Details'!F279,#REF!,#REF!)&amp;IF('Bulk Order Details'!G279="","",LOOKUP('Bulk Order Details'!G279,Length[Display],Length[Code])))</f>
        <v/>
      </c>
      <c r="AG269" s="179" t="str">
        <f aca="false">IF('Bulk Order Details'!J279="","",IF('Bulk Order Details'!C279="","",'Bulk Order Details'!C279))</f>
        <v/>
      </c>
      <c r="AH269" s="179" t="str">
        <f aca="false">IF('Bulk Order Details'!O279="","","-"&amp;LOOKUP('Bulk Order Details'!O279,#REF!,#REF!))</f>
        <v/>
      </c>
      <c r="AI269" s="179" t="str">
        <f aca="false">IF('Bulk Order Details'!P279="","","-"&amp;LOOKUP('Bulk Order Details'!P279,#REF!,#REF!))</f>
        <v/>
      </c>
      <c r="AJ269" s="179" t="str">
        <f aca="false">IF('Bulk Order Details'!Q279="","","-"&amp;LOOKUP('Bulk Order Details'!Q279,#REF!,#REF!))</f>
        <v/>
      </c>
      <c r="AK269" s="179" t="str">
        <f aca="false">IF('Bulk Order Details'!R279="","","-"&amp;LOOKUP('Bulk Order Details'!R279,#REF!,#REF!))</f>
        <v/>
      </c>
      <c r="AL269" s="179" t="str">
        <f aca="false">IF('Bulk Order Details'!S279="","","-"&amp;LOOKUP('Bulk Order Details'!S279,#REF!,#REF!))</f>
        <v/>
      </c>
      <c r="AM269" s="179" t="str">
        <f aca="false">IF(_xlfn.CONCAT(AH269:AL269)="","","Lo"&amp;_xlfn.CONCAT(AH269:AL269))</f>
        <v/>
      </c>
      <c r="AN269" s="179" t="str">
        <f aca="false">IF('Bulk Order Details'!K279="","","Na-"&amp;'Bulk Order Details'!K279)</f>
        <v/>
      </c>
      <c r="AO269" s="179" t="str">
        <f aca="false">IF('Bulk Order Details'!N279="","","Fo-"&amp;'Bulk Order Details'!N279)</f>
        <v/>
      </c>
      <c r="AP269" s="179" t="str">
        <f aca="false">IF(AE269="","",AE269&amp;"_"&amp;AF269&amp;"_"&amp;AG269&amp;IF(AM269="","","_"&amp;AM269)&amp;IF(AN269="","","_"&amp;AN269)&amp;IF(AO269="","","_"&amp;AO269))</f>
        <v/>
      </c>
      <c r="AQ269" s="218" t="str">
        <f aca="false">IF(X269="","",X269)</f>
        <v/>
      </c>
    </row>
    <row r="270" customFormat="false" ht="15" hidden="false" customHeight="true" outlineLevel="0" collapsed="false">
      <c r="B270" s="209" t="n">
        <f aca="false">'Bulk Order Details'!B280</f>
        <v>267</v>
      </c>
      <c r="C270" s="209" t="e">
        <f aca="false">IF('bulk order details'!#ref!="","",'bulk order details'!#ref!&amp;" "&amp;'bulk order details'!#ref!)</f>
        <v>#VALUE!</v>
      </c>
      <c r="D270" s="210" t="str">
        <f aca="false">IF('Bulk Order Details'!J280="","",VLOOKUP(1,Price[],3))</f>
        <v/>
      </c>
      <c r="E270" s="211" t="str">
        <f aca="false">IF('Bulk Order Details'!J280="","",Summary!$D$9)</f>
        <v/>
      </c>
      <c r="F270" s="212" t="str">
        <f aca="false">IF('Bulk Order Details'!F280="","",_xlfn.xlookup('Bulk Order Details'!F280,Size[Display],Size[Price]))</f>
        <v/>
      </c>
      <c r="G270" s="212" t="str">
        <f aca="false">IF('Bulk Order Details'!G280="","",_xlfn.xlookup('Bulk Order Details'!G280,Length[Display],Length[Price]))</f>
        <v/>
      </c>
      <c r="H270" s="212" t="str">
        <f aca="false">IF('Bulk Order Details'!H280="","",_xlfn.xlookup('Bulk Order Details'!H280,Collection[Display],Collection[Price]))</f>
        <v/>
      </c>
      <c r="I270" s="212" t="str">
        <f aca="false">IF('Bulk Order Details'!I280="","",_xlfn.xlookup('Bulk Order Details'!I280,Sleeve[Display],Sleeve[Price]))</f>
        <v/>
      </c>
      <c r="J270" s="212" t="str">
        <f aca="false">IF('Bulk Order Details'!J280="","",_xlfn.xlookup('Bulk Order Details'!J280,Collar[Display],Collar[Price]))</f>
        <v/>
      </c>
      <c r="K270" s="212" t="str">
        <f aca="false">IF('Bulk Order Details'!K280="","",_xlfn.xlookup("Name",Name[Name],Name[Price]))</f>
        <v/>
      </c>
      <c r="L270" s="213" t="str">
        <f aca="false">IFERROR(IF('Bulk Order Details'!O280="","",IF(_xlfn.xlookup('Bulk Order Details'!O280,Logos[Display],Logos[Use])="Flat",_xlfn.xlookup('Bulk Order Details'!O280,Logos[Display],Logos[Flat]),ROUND(_xlfn.xlookup('Bulk Order Details'!O280,Logos[Display],Logos[Pct])*$E270,2))),"")</f>
        <v/>
      </c>
      <c r="M270" s="222" t="str">
        <f aca="false">IFERROR(IF('Bulk Order Details'!P280="","",IF(_xlfn.xlookup('Bulk Order Details'!P280,Chest[Display],Chest[Use])="Flat",_xlfn.xlookup('Bulk Order Details'!P280,Chest[Display],Chest[Flat]),ROUND(_xlfn.xlookup('Bulk Order Details'!P280,Chest[Display],Chest[Pct])*$E270,2))),"")</f>
        <v/>
      </c>
      <c r="N270" s="222" t="str">
        <f aca="false">IFERROR(IF('Bulk Order Details'!Q280="","",IF(_xlfn.xlookup('Bulk Order Details'!Q280,Chest[Display],Chest[Use])="Flat",_xlfn.xlookup('Bulk Order Details'!Q280,Chest[Display],Chest[Flat]),ROUND(_xlfn.xlookup('Bulk Order Details'!Q280,Chest[Display],Chest[Pct])*$E270,2))),"")</f>
        <v/>
      </c>
      <c r="O270" s="222" t="str">
        <f aca="false">IFERROR(IF('Bulk Order Details'!R280="","",IF(_xlfn.xlookup('Bulk Order Details'!R280,LeftSleeve[Display],LeftSleeve[Use])="Flat",_xlfn.xlookup('Bulk Order Details'!R280,LeftSleeve[Display],LeftSleeve[Flat]),ROUND(_xlfn.xlookup('Bulk Order Details'!R280,LeftSleeve[Display],LeftSleeve[Pct])*$E270,2))),"")</f>
        <v/>
      </c>
      <c r="P270" s="222" t="str">
        <f aca="false">IFERROR(IF('Bulk Order Details'!S280="","",IF(_xlfn.xlookup('Bulk Order Details'!S280,RightSleeve[Display],RightSleeve[Use])="Flat",_xlfn.xlookup('Bulk Order Details'!S280,RightSleeve[Display],RightSleeve[Flat]),ROUND(_xlfn.xlookup('Bulk Order Details'!S280,RightSleeve[Display],RightSleeve[Pct])*$E270,2))),"")</f>
        <v/>
      </c>
      <c r="Q270" s="214" t="str">
        <f aca="false">IF('Bulk Order Details'!J280="","",SUM(F270:P270))</f>
        <v/>
      </c>
      <c r="R270" s="213" t="str">
        <f aca="false">IFERROR(E270-D270,"")</f>
        <v/>
      </c>
      <c r="S270" s="215" t="str">
        <f aca="false">IFERROR(MIN(IF(Summary!$D$11="Yes",-J270,0),IF(H270&gt;0,-J270,0)),"")</f>
        <v/>
      </c>
      <c r="T270" s="212" t="str">
        <f aca="false">IFERROR(IF(Summary!$D$10="Yes",-K270,""),"")</f>
        <v/>
      </c>
      <c r="U270" s="213" t="str">
        <f aca="false">IFERROR(IF(Summary!$D$12="Yes",-L270,""),"")</f>
        <v/>
      </c>
      <c r="V270" s="216" t="str">
        <f aca="false">IF('Bulk Order Details'!J280="","",SUM(R270:U270))</f>
        <v/>
      </c>
      <c r="W270" s="217" t="str">
        <f aca="false">IF('Bulk Order Details'!J280="","",D270+Q270)</f>
        <v/>
      </c>
      <c r="X270" s="218" t="str">
        <f aca="false">IF('Bulk Order Details'!J280="","",D270+Q270+V270)</f>
        <v/>
      </c>
      <c r="Y270" s="219" t="str">
        <f aca="false">IFERROR((W270-X270)/W270,"")</f>
        <v/>
      </c>
      <c r="Z270" s="220" t="str">
        <f aca="false">IF('Bulk Order Details'!J280="","",MAX(1,'Bulk Order Details'!D280))</f>
        <v/>
      </c>
      <c r="AA270" s="217" t="str">
        <f aca="false">IF(Pricing_Details[[#This Row],[Quantity]]="","",Pricing_Details[[#This Row],[Retail Price]]*Pricing_Details[[#This Row],[Quantity]])</f>
        <v/>
      </c>
      <c r="AB270" s="217" t="str">
        <f aca="false">IF(Pricing_Details[[#This Row],[Quantity]]="","",Pricing_Details[[#This Row],[Total Discount]]*Pricing_Details[[#This Row],[Quantity]])</f>
        <v/>
      </c>
      <c r="AC270" s="221" t="str">
        <f aca="false">IFERROR(ROUND(Pricing_Details[[#This Row],[Actual Price]]*Pricing_Details[[#This Row],[Quantity]],2),"")</f>
        <v/>
      </c>
      <c r="AE270" s="179" t="str">
        <f aca="false">IF('Bulk Order Details'!J280="","",VLOOKUP('Bulk Order Details'!H280,Collection[],3)&amp;VLOOKUP('Bulk Order Details'!J280,Collar[],4)&amp;VLOOKUP('Bulk Order Details'!I280,Sleeve[],4))</f>
        <v/>
      </c>
      <c r="AF270" s="179" t="str">
        <f aca="false">IF('Bulk Order Details'!J280="","",LOOKUP('Bulk Order Details'!E280,Cut[Display],Cut[Code])&amp;LOOKUP('Bulk Order Details'!F280,#REF!,#REF!)&amp;IF('Bulk Order Details'!G280="","",LOOKUP('Bulk Order Details'!G280,Length[Display],Length[Code])))</f>
        <v/>
      </c>
      <c r="AG270" s="179" t="str">
        <f aca="false">IF('Bulk Order Details'!J280="","",IF('Bulk Order Details'!C280="","",'Bulk Order Details'!C280))</f>
        <v/>
      </c>
      <c r="AH270" s="179" t="str">
        <f aca="false">IF('Bulk Order Details'!O280="","","-"&amp;LOOKUP('Bulk Order Details'!O280,#REF!,#REF!))</f>
        <v/>
      </c>
      <c r="AI270" s="179" t="str">
        <f aca="false">IF('Bulk Order Details'!P280="","","-"&amp;LOOKUP('Bulk Order Details'!P280,#REF!,#REF!))</f>
        <v/>
      </c>
      <c r="AJ270" s="179" t="str">
        <f aca="false">IF('Bulk Order Details'!Q280="","","-"&amp;LOOKUP('Bulk Order Details'!Q280,#REF!,#REF!))</f>
        <v/>
      </c>
      <c r="AK270" s="179" t="str">
        <f aca="false">IF('Bulk Order Details'!R280="","","-"&amp;LOOKUP('Bulk Order Details'!R280,#REF!,#REF!))</f>
        <v/>
      </c>
      <c r="AL270" s="179" t="str">
        <f aca="false">IF('Bulk Order Details'!S280="","","-"&amp;LOOKUP('Bulk Order Details'!S280,#REF!,#REF!))</f>
        <v/>
      </c>
      <c r="AM270" s="179" t="str">
        <f aca="false">IF(_xlfn.CONCAT(AH270:AL270)="","","Lo"&amp;_xlfn.CONCAT(AH270:AL270))</f>
        <v/>
      </c>
      <c r="AN270" s="179" t="str">
        <f aca="false">IF('Bulk Order Details'!K280="","","Na-"&amp;'Bulk Order Details'!K280)</f>
        <v/>
      </c>
      <c r="AO270" s="179" t="str">
        <f aca="false">IF('Bulk Order Details'!N280="","","Fo-"&amp;'Bulk Order Details'!N280)</f>
        <v/>
      </c>
      <c r="AP270" s="179" t="str">
        <f aca="false">IF(AE270="","",AE270&amp;"_"&amp;AF270&amp;"_"&amp;AG270&amp;IF(AM270="","","_"&amp;AM270)&amp;IF(AN270="","","_"&amp;AN270)&amp;IF(AO270="","","_"&amp;AO270))</f>
        <v/>
      </c>
      <c r="AQ270" s="218" t="str">
        <f aca="false">IF(X270="","",X270)</f>
        <v/>
      </c>
    </row>
    <row r="271" customFormat="false" ht="15" hidden="false" customHeight="true" outlineLevel="0" collapsed="false">
      <c r="B271" s="209" t="n">
        <f aca="false">'Bulk Order Details'!B281</f>
        <v>268</v>
      </c>
      <c r="C271" s="209" t="e">
        <f aca="false">IF('bulk order details'!#ref!="","",'bulk order details'!#ref!&amp;" "&amp;'bulk order details'!#ref!)</f>
        <v>#VALUE!</v>
      </c>
      <c r="D271" s="210" t="str">
        <f aca="false">IF('Bulk Order Details'!J281="","",VLOOKUP(1,Price[],3))</f>
        <v/>
      </c>
      <c r="E271" s="211" t="str">
        <f aca="false">IF('Bulk Order Details'!J281="","",Summary!$D$9)</f>
        <v/>
      </c>
      <c r="F271" s="212" t="str">
        <f aca="false">IF('Bulk Order Details'!F281="","",_xlfn.xlookup('Bulk Order Details'!F281,Size[Display],Size[Price]))</f>
        <v/>
      </c>
      <c r="G271" s="212" t="str">
        <f aca="false">IF('Bulk Order Details'!G281="","",_xlfn.xlookup('Bulk Order Details'!G281,Length[Display],Length[Price]))</f>
        <v/>
      </c>
      <c r="H271" s="212" t="str">
        <f aca="false">IF('Bulk Order Details'!H281="","",_xlfn.xlookup('Bulk Order Details'!H281,Collection[Display],Collection[Price]))</f>
        <v/>
      </c>
      <c r="I271" s="212" t="str">
        <f aca="false">IF('Bulk Order Details'!I281="","",_xlfn.xlookup('Bulk Order Details'!I281,Sleeve[Display],Sleeve[Price]))</f>
        <v/>
      </c>
      <c r="J271" s="212" t="str">
        <f aca="false">IF('Bulk Order Details'!J281="","",_xlfn.xlookup('Bulk Order Details'!J281,Collar[Display],Collar[Price]))</f>
        <v/>
      </c>
      <c r="K271" s="212" t="str">
        <f aca="false">IF('Bulk Order Details'!K281="","",_xlfn.xlookup("Name",Name[Name],Name[Price]))</f>
        <v/>
      </c>
      <c r="L271" s="213" t="str">
        <f aca="false">IFERROR(IF('Bulk Order Details'!O281="","",IF(_xlfn.xlookup('Bulk Order Details'!O281,Logos[Display],Logos[Use])="Flat",_xlfn.xlookup('Bulk Order Details'!O281,Logos[Display],Logos[Flat]),ROUND(_xlfn.xlookup('Bulk Order Details'!O281,Logos[Display],Logos[Pct])*$E271,2))),"")</f>
        <v/>
      </c>
      <c r="M271" s="222" t="str">
        <f aca="false">IFERROR(IF('Bulk Order Details'!P281="","",IF(_xlfn.xlookup('Bulk Order Details'!P281,Chest[Display],Chest[Use])="Flat",_xlfn.xlookup('Bulk Order Details'!P281,Chest[Display],Chest[Flat]),ROUND(_xlfn.xlookup('Bulk Order Details'!P281,Chest[Display],Chest[Pct])*$E271,2))),"")</f>
        <v/>
      </c>
      <c r="N271" s="222" t="str">
        <f aca="false">IFERROR(IF('Bulk Order Details'!Q281="","",IF(_xlfn.xlookup('Bulk Order Details'!Q281,Chest[Display],Chest[Use])="Flat",_xlfn.xlookup('Bulk Order Details'!Q281,Chest[Display],Chest[Flat]),ROUND(_xlfn.xlookup('Bulk Order Details'!Q281,Chest[Display],Chest[Pct])*$E271,2))),"")</f>
        <v/>
      </c>
      <c r="O271" s="222" t="str">
        <f aca="false">IFERROR(IF('Bulk Order Details'!R281="","",IF(_xlfn.xlookup('Bulk Order Details'!R281,LeftSleeve[Display],LeftSleeve[Use])="Flat",_xlfn.xlookup('Bulk Order Details'!R281,LeftSleeve[Display],LeftSleeve[Flat]),ROUND(_xlfn.xlookup('Bulk Order Details'!R281,LeftSleeve[Display],LeftSleeve[Pct])*$E271,2))),"")</f>
        <v/>
      </c>
      <c r="P271" s="222" t="str">
        <f aca="false">IFERROR(IF('Bulk Order Details'!S281="","",IF(_xlfn.xlookup('Bulk Order Details'!S281,RightSleeve[Display],RightSleeve[Use])="Flat",_xlfn.xlookup('Bulk Order Details'!S281,RightSleeve[Display],RightSleeve[Flat]),ROUND(_xlfn.xlookup('Bulk Order Details'!S281,RightSleeve[Display],RightSleeve[Pct])*$E271,2))),"")</f>
        <v/>
      </c>
      <c r="Q271" s="214" t="str">
        <f aca="false">IF('Bulk Order Details'!J281="","",SUM(F271:P271))</f>
        <v/>
      </c>
      <c r="R271" s="213" t="str">
        <f aca="false">IFERROR(E271-D271,"")</f>
        <v/>
      </c>
      <c r="S271" s="215" t="str">
        <f aca="false">IFERROR(MIN(IF(Summary!$D$11="Yes",-J271,0),IF(H271&gt;0,-J271,0)),"")</f>
        <v/>
      </c>
      <c r="T271" s="212" t="str">
        <f aca="false">IFERROR(IF(Summary!$D$10="Yes",-K271,""),"")</f>
        <v/>
      </c>
      <c r="U271" s="213" t="str">
        <f aca="false">IFERROR(IF(Summary!$D$12="Yes",-L271,""),"")</f>
        <v/>
      </c>
      <c r="V271" s="216" t="str">
        <f aca="false">IF('Bulk Order Details'!J281="","",SUM(R271:U271))</f>
        <v/>
      </c>
      <c r="W271" s="217" t="str">
        <f aca="false">IF('Bulk Order Details'!J281="","",D271+Q271)</f>
        <v/>
      </c>
      <c r="X271" s="218" t="str">
        <f aca="false">IF('Bulk Order Details'!J281="","",D271+Q271+V271)</f>
        <v/>
      </c>
      <c r="Y271" s="219" t="str">
        <f aca="false">IFERROR((W271-X271)/W271,"")</f>
        <v/>
      </c>
      <c r="Z271" s="220" t="str">
        <f aca="false">IF('Bulk Order Details'!J281="","",MAX(1,'Bulk Order Details'!D281))</f>
        <v/>
      </c>
      <c r="AA271" s="217" t="str">
        <f aca="false">IF(Pricing_Details[[#This Row],[Quantity]]="","",Pricing_Details[[#This Row],[Retail Price]]*Pricing_Details[[#This Row],[Quantity]])</f>
        <v/>
      </c>
      <c r="AB271" s="217" t="str">
        <f aca="false">IF(Pricing_Details[[#This Row],[Quantity]]="","",Pricing_Details[[#This Row],[Total Discount]]*Pricing_Details[[#This Row],[Quantity]])</f>
        <v/>
      </c>
      <c r="AC271" s="221" t="str">
        <f aca="false">IFERROR(ROUND(Pricing_Details[[#This Row],[Actual Price]]*Pricing_Details[[#This Row],[Quantity]],2),"")</f>
        <v/>
      </c>
      <c r="AE271" s="179" t="str">
        <f aca="false">IF('Bulk Order Details'!J281="","",VLOOKUP('Bulk Order Details'!H281,Collection[],3)&amp;VLOOKUP('Bulk Order Details'!J281,Collar[],4)&amp;VLOOKUP('Bulk Order Details'!I281,Sleeve[],4))</f>
        <v/>
      </c>
      <c r="AF271" s="179" t="str">
        <f aca="false">IF('Bulk Order Details'!J281="","",LOOKUP('Bulk Order Details'!E281,Cut[Display],Cut[Code])&amp;LOOKUP('Bulk Order Details'!F281,#REF!,#REF!)&amp;IF('Bulk Order Details'!G281="","",LOOKUP('Bulk Order Details'!G281,Length[Display],Length[Code])))</f>
        <v/>
      </c>
      <c r="AG271" s="179" t="str">
        <f aca="false">IF('Bulk Order Details'!J281="","",IF('Bulk Order Details'!C281="","",'Bulk Order Details'!C281))</f>
        <v/>
      </c>
      <c r="AH271" s="179" t="str">
        <f aca="false">IF('Bulk Order Details'!O281="","","-"&amp;LOOKUP('Bulk Order Details'!O281,#REF!,#REF!))</f>
        <v/>
      </c>
      <c r="AI271" s="179" t="str">
        <f aca="false">IF('Bulk Order Details'!P281="","","-"&amp;LOOKUP('Bulk Order Details'!P281,#REF!,#REF!))</f>
        <v/>
      </c>
      <c r="AJ271" s="179" t="str">
        <f aca="false">IF('Bulk Order Details'!Q281="","","-"&amp;LOOKUP('Bulk Order Details'!Q281,#REF!,#REF!))</f>
        <v/>
      </c>
      <c r="AK271" s="179" t="str">
        <f aca="false">IF('Bulk Order Details'!R281="","","-"&amp;LOOKUP('Bulk Order Details'!R281,#REF!,#REF!))</f>
        <v/>
      </c>
      <c r="AL271" s="179" t="str">
        <f aca="false">IF('Bulk Order Details'!S281="","","-"&amp;LOOKUP('Bulk Order Details'!S281,#REF!,#REF!))</f>
        <v/>
      </c>
      <c r="AM271" s="179" t="str">
        <f aca="false">IF(_xlfn.CONCAT(AH271:AL271)="","","Lo"&amp;_xlfn.CONCAT(AH271:AL271))</f>
        <v/>
      </c>
      <c r="AN271" s="179" t="str">
        <f aca="false">IF('Bulk Order Details'!K281="","","Na-"&amp;'Bulk Order Details'!K281)</f>
        <v/>
      </c>
      <c r="AO271" s="179" t="str">
        <f aca="false">IF('Bulk Order Details'!N281="","","Fo-"&amp;'Bulk Order Details'!N281)</f>
        <v/>
      </c>
      <c r="AP271" s="179" t="str">
        <f aca="false">IF(AE271="","",AE271&amp;"_"&amp;AF271&amp;"_"&amp;AG271&amp;IF(AM271="","","_"&amp;AM271)&amp;IF(AN271="","","_"&amp;AN271)&amp;IF(AO271="","","_"&amp;AO271))</f>
        <v/>
      </c>
      <c r="AQ271" s="218" t="str">
        <f aca="false">IF(X271="","",X271)</f>
        <v/>
      </c>
    </row>
    <row r="272" customFormat="false" ht="15" hidden="false" customHeight="true" outlineLevel="0" collapsed="false">
      <c r="B272" s="209" t="n">
        <f aca="false">'Bulk Order Details'!B282</f>
        <v>269</v>
      </c>
      <c r="C272" s="209" t="e">
        <f aca="false">IF('bulk order details'!#ref!="","",'bulk order details'!#ref!&amp;" "&amp;'bulk order details'!#ref!)</f>
        <v>#VALUE!</v>
      </c>
      <c r="D272" s="210" t="str">
        <f aca="false">IF('Bulk Order Details'!J282="","",VLOOKUP(1,Price[],3))</f>
        <v/>
      </c>
      <c r="E272" s="211" t="str">
        <f aca="false">IF('Bulk Order Details'!J282="","",Summary!$D$9)</f>
        <v/>
      </c>
      <c r="F272" s="212" t="str">
        <f aca="false">IF('Bulk Order Details'!F282="","",_xlfn.xlookup('Bulk Order Details'!F282,Size[Display],Size[Price]))</f>
        <v/>
      </c>
      <c r="G272" s="212" t="str">
        <f aca="false">IF('Bulk Order Details'!G282="","",_xlfn.xlookup('Bulk Order Details'!G282,Length[Display],Length[Price]))</f>
        <v/>
      </c>
      <c r="H272" s="212" t="str">
        <f aca="false">IF('Bulk Order Details'!H282="","",_xlfn.xlookup('Bulk Order Details'!H282,Collection[Display],Collection[Price]))</f>
        <v/>
      </c>
      <c r="I272" s="212" t="str">
        <f aca="false">IF('Bulk Order Details'!I282="","",_xlfn.xlookup('Bulk Order Details'!I282,Sleeve[Display],Sleeve[Price]))</f>
        <v/>
      </c>
      <c r="J272" s="212" t="str">
        <f aca="false">IF('Bulk Order Details'!J282="","",_xlfn.xlookup('Bulk Order Details'!J282,Collar[Display],Collar[Price]))</f>
        <v/>
      </c>
      <c r="K272" s="212" t="str">
        <f aca="false">IF('Bulk Order Details'!K282="","",_xlfn.xlookup("Name",Name[Name],Name[Price]))</f>
        <v/>
      </c>
      <c r="L272" s="213" t="str">
        <f aca="false">IFERROR(IF('Bulk Order Details'!O282="","",IF(_xlfn.xlookup('Bulk Order Details'!O282,Logos[Display],Logos[Use])="Flat",_xlfn.xlookup('Bulk Order Details'!O282,Logos[Display],Logos[Flat]),ROUND(_xlfn.xlookup('Bulk Order Details'!O282,Logos[Display],Logos[Pct])*$E272,2))),"")</f>
        <v/>
      </c>
      <c r="M272" s="222" t="str">
        <f aca="false">IFERROR(IF('Bulk Order Details'!P282="","",IF(_xlfn.xlookup('Bulk Order Details'!P282,Chest[Display],Chest[Use])="Flat",_xlfn.xlookup('Bulk Order Details'!P282,Chest[Display],Chest[Flat]),ROUND(_xlfn.xlookup('Bulk Order Details'!P282,Chest[Display],Chest[Pct])*$E272,2))),"")</f>
        <v/>
      </c>
      <c r="N272" s="222" t="str">
        <f aca="false">IFERROR(IF('Bulk Order Details'!Q282="","",IF(_xlfn.xlookup('Bulk Order Details'!Q282,Chest[Display],Chest[Use])="Flat",_xlfn.xlookup('Bulk Order Details'!Q282,Chest[Display],Chest[Flat]),ROUND(_xlfn.xlookup('Bulk Order Details'!Q282,Chest[Display],Chest[Pct])*$E272,2))),"")</f>
        <v/>
      </c>
      <c r="O272" s="222" t="str">
        <f aca="false">IFERROR(IF('Bulk Order Details'!R282="","",IF(_xlfn.xlookup('Bulk Order Details'!R282,LeftSleeve[Display],LeftSleeve[Use])="Flat",_xlfn.xlookup('Bulk Order Details'!R282,LeftSleeve[Display],LeftSleeve[Flat]),ROUND(_xlfn.xlookup('Bulk Order Details'!R282,LeftSleeve[Display],LeftSleeve[Pct])*$E272,2))),"")</f>
        <v/>
      </c>
      <c r="P272" s="222" t="str">
        <f aca="false">IFERROR(IF('Bulk Order Details'!S282="","",IF(_xlfn.xlookup('Bulk Order Details'!S282,RightSleeve[Display],RightSleeve[Use])="Flat",_xlfn.xlookup('Bulk Order Details'!S282,RightSleeve[Display],RightSleeve[Flat]),ROUND(_xlfn.xlookup('Bulk Order Details'!S282,RightSleeve[Display],RightSleeve[Pct])*$E272,2))),"")</f>
        <v/>
      </c>
      <c r="Q272" s="214" t="str">
        <f aca="false">IF('Bulk Order Details'!J282="","",SUM(F272:P272))</f>
        <v/>
      </c>
      <c r="R272" s="213" t="str">
        <f aca="false">IFERROR(E272-D272,"")</f>
        <v/>
      </c>
      <c r="S272" s="215" t="str">
        <f aca="false">IFERROR(MIN(IF(Summary!$D$11="Yes",-J272,0),IF(H272&gt;0,-J272,0)),"")</f>
        <v/>
      </c>
      <c r="T272" s="212" t="str">
        <f aca="false">IFERROR(IF(Summary!$D$10="Yes",-K272,""),"")</f>
        <v/>
      </c>
      <c r="U272" s="213" t="str">
        <f aca="false">IFERROR(IF(Summary!$D$12="Yes",-L272,""),"")</f>
        <v/>
      </c>
      <c r="V272" s="216" t="str">
        <f aca="false">IF('Bulk Order Details'!J282="","",SUM(R272:U272))</f>
        <v/>
      </c>
      <c r="W272" s="217" t="str">
        <f aca="false">IF('Bulk Order Details'!J282="","",D272+Q272)</f>
        <v/>
      </c>
      <c r="X272" s="218" t="str">
        <f aca="false">IF('Bulk Order Details'!J282="","",D272+Q272+V272)</f>
        <v/>
      </c>
      <c r="Y272" s="219" t="str">
        <f aca="false">IFERROR((W272-X272)/W272,"")</f>
        <v/>
      </c>
      <c r="Z272" s="220" t="str">
        <f aca="false">IF('Bulk Order Details'!J282="","",MAX(1,'Bulk Order Details'!D282))</f>
        <v/>
      </c>
      <c r="AA272" s="217" t="str">
        <f aca="false">IF(Pricing_Details[[#This Row],[Quantity]]="","",Pricing_Details[[#This Row],[Retail Price]]*Pricing_Details[[#This Row],[Quantity]])</f>
        <v/>
      </c>
      <c r="AB272" s="217" t="str">
        <f aca="false">IF(Pricing_Details[[#This Row],[Quantity]]="","",Pricing_Details[[#This Row],[Total Discount]]*Pricing_Details[[#This Row],[Quantity]])</f>
        <v/>
      </c>
      <c r="AC272" s="221" t="str">
        <f aca="false">IFERROR(ROUND(Pricing_Details[[#This Row],[Actual Price]]*Pricing_Details[[#This Row],[Quantity]],2),"")</f>
        <v/>
      </c>
      <c r="AE272" s="179" t="str">
        <f aca="false">IF('Bulk Order Details'!J282="","",VLOOKUP('Bulk Order Details'!H282,Collection[],3)&amp;VLOOKUP('Bulk Order Details'!J282,Collar[],4)&amp;VLOOKUP('Bulk Order Details'!I282,Sleeve[],4))</f>
        <v/>
      </c>
      <c r="AF272" s="179" t="str">
        <f aca="false">IF('Bulk Order Details'!J282="","",LOOKUP('Bulk Order Details'!E282,Cut[Display],Cut[Code])&amp;LOOKUP('Bulk Order Details'!F282,#REF!,#REF!)&amp;IF('Bulk Order Details'!G282="","",LOOKUP('Bulk Order Details'!G282,Length[Display],Length[Code])))</f>
        <v/>
      </c>
      <c r="AG272" s="179" t="str">
        <f aca="false">IF('Bulk Order Details'!J282="","",IF('Bulk Order Details'!C282="","",'Bulk Order Details'!C282))</f>
        <v/>
      </c>
      <c r="AH272" s="179" t="str">
        <f aca="false">IF('Bulk Order Details'!O282="","","-"&amp;LOOKUP('Bulk Order Details'!O282,#REF!,#REF!))</f>
        <v/>
      </c>
      <c r="AI272" s="179" t="str">
        <f aca="false">IF('Bulk Order Details'!P282="","","-"&amp;LOOKUP('Bulk Order Details'!P282,#REF!,#REF!))</f>
        <v/>
      </c>
      <c r="AJ272" s="179" t="str">
        <f aca="false">IF('Bulk Order Details'!Q282="","","-"&amp;LOOKUP('Bulk Order Details'!Q282,#REF!,#REF!))</f>
        <v/>
      </c>
      <c r="AK272" s="179" t="str">
        <f aca="false">IF('Bulk Order Details'!R282="","","-"&amp;LOOKUP('Bulk Order Details'!R282,#REF!,#REF!))</f>
        <v/>
      </c>
      <c r="AL272" s="179" t="str">
        <f aca="false">IF('Bulk Order Details'!S282="","","-"&amp;LOOKUP('Bulk Order Details'!S282,#REF!,#REF!))</f>
        <v/>
      </c>
      <c r="AM272" s="179" t="str">
        <f aca="false">IF(_xlfn.CONCAT(AH272:AL272)="","","Lo"&amp;_xlfn.CONCAT(AH272:AL272))</f>
        <v/>
      </c>
      <c r="AN272" s="179" t="str">
        <f aca="false">IF('Bulk Order Details'!K282="","","Na-"&amp;'Bulk Order Details'!K282)</f>
        <v/>
      </c>
      <c r="AO272" s="179" t="str">
        <f aca="false">IF('Bulk Order Details'!N282="","","Fo-"&amp;'Bulk Order Details'!N282)</f>
        <v/>
      </c>
      <c r="AP272" s="179" t="str">
        <f aca="false">IF(AE272="","",AE272&amp;"_"&amp;AF272&amp;"_"&amp;AG272&amp;IF(AM272="","","_"&amp;AM272)&amp;IF(AN272="","","_"&amp;AN272)&amp;IF(AO272="","","_"&amp;AO272))</f>
        <v/>
      </c>
      <c r="AQ272" s="218" t="str">
        <f aca="false">IF(X272="","",X272)</f>
        <v/>
      </c>
    </row>
    <row r="273" customFormat="false" ht="15" hidden="false" customHeight="true" outlineLevel="0" collapsed="false">
      <c r="B273" s="209" t="n">
        <f aca="false">'Bulk Order Details'!B283</f>
        <v>270</v>
      </c>
      <c r="C273" s="209" t="e">
        <f aca="false">IF('bulk order details'!#ref!="","",'bulk order details'!#ref!&amp;" "&amp;'bulk order details'!#ref!)</f>
        <v>#VALUE!</v>
      </c>
      <c r="D273" s="210" t="str">
        <f aca="false">IF('Bulk Order Details'!J283="","",VLOOKUP(1,Price[],3))</f>
        <v/>
      </c>
      <c r="E273" s="211" t="str">
        <f aca="false">IF('Bulk Order Details'!J283="","",Summary!$D$9)</f>
        <v/>
      </c>
      <c r="F273" s="212" t="str">
        <f aca="false">IF('Bulk Order Details'!F283="","",_xlfn.xlookup('Bulk Order Details'!F283,Size[Display],Size[Price]))</f>
        <v/>
      </c>
      <c r="G273" s="212" t="str">
        <f aca="false">IF('Bulk Order Details'!G283="","",_xlfn.xlookup('Bulk Order Details'!G283,Length[Display],Length[Price]))</f>
        <v/>
      </c>
      <c r="H273" s="212" t="str">
        <f aca="false">IF('Bulk Order Details'!H283="","",_xlfn.xlookup('Bulk Order Details'!H283,Collection[Display],Collection[Price]))</f>
        <v/>
      </c>
      <c r="I273" s="212" t="str">
        <f aca="false">IF('Bulk Order Details'!I283="","",_xlfn.xlookup('Bulk Order Details'!I283,Sleeve[Display],Sleeve[Price]))</f>
        <v/>
      </c>
      <c r="J273" s="212" t="str">
        <f aca="false">IF('Bulk Order Details'!J283="","",_xlfn.xlookup('Bulk Order Details'!J283,Collar[Display],Collar[Price]))</f>
        <v/>
      </c>
      <c r="K273" s="212" t="str">
        <f aca="false">IF('Bulk Order Details'!K283="","",_xlfn.xlookup("Name",Name[Name],Name[Price]))</f>
        <v/>
      </c>
      <c r="L273" s="213" t="str">
        <f aca="false">IFERROR(IF('Bulk Order Details'!O283="","",IF(_xlfn.xlookup('Bulk Order Details'!O283,Logos[Display],Logos[Use])="Flat",_xlfn.xlookup('Bulk Order Details'!O283,Logos[Display],Logos[Flat]),ROUND(_xlfn.xlookup('Bulk Order Details'!O283,Logos[Display],Logos[Pct])*$E273,2))),"")</f>
        <v/>
      </c>
      <c r="M273" s="222" t="str">
        <f aca="false">IFERROR(IF('Bulk Order Details'!P283="","",IF(_xlfn.xlookup('Bulk Order Details'!P283,Chest[Display],Chest[Use])="Flat",_xlfn.xlookup('Bulk Order Details'!P283,Chest[Display],Chest[Flat]),ROUND(_xlfn.xlookup('Bulk Order Details'!P283,Chest[Display],Chest[Pct])*$E273,2))),"")</f>
        <v/>
      </c>
      <c r="N273" s="222" t="str">
        <f aca="false">IFERROR(IF('Bulk Order Details'!Q283="","",IF(_xlfn.xlookup('Bulk Order Details'!Q283,Chest[Display],Chest[Use])="Flat",_xlfn.xlookup('Bulk Order Details'!Q283,Chest[Display],Chest[Flat]),ROUND(_xlfn.xlookup('Bulk Order Details'!Q283,Chest[Display],Chest[Pct])*$E273,2))),"")</f>
        <v/>
      </c>
      <c r="O273" s="222" t="str">
        <f aca="false">IFERROR(IF('Bulk Order Details'!R283="","",IF(_xlfn.xlookup('Bulk Order Details'!R283,LeftSleeve[Display],LeftSleeve[Use])="Flat",_xlfn.xlookup('Bulk Order Details'!R283,LeftSleeve[Display],LeftSleeve[Flat]),ROUND(_xlfn.xlookup('Bulk Order Details'!R283,LeftSleeve[Display],LeftSleeve[Pct])*$E273,2))),"")</f>
        <v/>
      </c>
      <c r="P273" s="222" t="str">
        <f aca="false">IFERROR(IF('Bulk Order Details'!S283="","",IF(_xlfn.xlookup('Bulk Order Details'!S283,RightSleeve[Display],RightSleeve[Use])="Flat",_xlfn.xlookup('Bulk Order Details'!S283,RightSleeve[Display],RightSleeve[Flat]),ROUND(_xlfn.xlookup('Bulk Order Details'!S283,RightSleeve[Display],RightSleeve[Pct])*$E273,2))),"")</f>
        <v/>
      </c>
      <c r="Q273" s="214" t="str">
        <f aca="false">IF('Bulk Order Details'!J283="","",SUM(F273:P273))</f>
        <v/>
      </c>
      <c r="R273" s="213" t="str">
        <f aca="false">IFERROR(E273-D273,"")</f>
        <v/>
      </c>
      <c r="S273" s="215" t="str">
        <f aca="false">IFERROR(MIN(IF(Summary!$D$11="Yes",-J273,0),IF(H273&gt;0,-J273,0)),"")</f>
        <v/>
      </c>
      <c r="T273" s="212" t="str">
        <f aca="false">IFERROR(IF(Summary!$D$10="Yes",-K273,""),"")</f>
        <v/>
      </c>
      <c r="U273" s="213" t="str">
        <f aca="false">IFERROR(IF(Summary!$D$12="Yes",-L273,""),"")</f>
        <v/>
      </c>
      <c r="V273" s="216" t="str">
        <f aca="false">IF('Bulk Order Details'!J283="","",SUM(R273:U273))</f>
        <v/>
      </c>
      <c r="W273" s="217" t="str">
        <f aca="false">IF('Bulk Order Details'!J283="","",D273+Q273)</f>
        <v/>
      </c>
      <c r="X273" s="218" t="str">
        <f aca="false">IF('Bulk Order Details'!J283="","",D273+Q273+V273)</f>
        <v/>
      </c>
      <c r="Y273" s="219" t="str">
        <f aca="false">IFERROR((W273-X273)/W273,"")</f>
        <v/>
      </c>
      <c r="Z273" s="220" t="str">
        <f aca="false">IF('Bulk Order Details'!J283="","",MAX(1,'Bulk Order Details'!D283))</f>
        <v/>
      </c>
      <c r="AA273" s="217" t="str">
        <f aca="false">IF(Pricing_Details[[#This Row],[Quantity]]="","",Pricing_Details[[#This Row],[Retail Price]]*Pricing_Details[[#This Row],[Quantity]])</f>
        <v/>
      </c>
      <c r="AB273" s="217" t="str">
        <f aca="false">IF(Pricing_Details[[#This Row],[Quantity]]="","",Pricing_Details[[#This Row],[Total Discount]]*Pricing_Details[[#This Row],[Quantity]])</f>
        <v/>
      </c>
      <c r="AC273" s="221" t="str">
        <f aca="false">IFERROR(ROUND(Pricing_Details[[#This Row],[Actual Price]]*Pricing_Details[[#This Row],[Quantity]],2),"")</f>
        <v/>
      </c>
      <c r="AE273" s="179" t="str">
        <f aca="false">IF('Bulk Order Details'!J283="","",VLOOKUP('Bulk Order Details'!H283,Collection[],3)&amp;VLOOKUP('Bulk Order Details'!J283,Collar[],4)&amp;VLOOKUP('Bulk Order Details'!I283,Sleeve[],4))</f>
        <v/>
      </c>
      <c r="AF273" s="179" t="str">
        <f aca="false">IF('Bulk Order Details'!J283="","",LOOKUP('Bulk Order Details'!E283,Cut[Display],Cut[Code])&amp;LOOKUP('Bulk Order Details'!F283,#REF!,#REF!)&amp;IF('Bulk Order Details'!G283="","",LOOKUP('Bulk Order Details'!G283,Length[Display],Length[Code])))</f>
        <v/>
      </c>
      <c r="AG273" s="179" t="str">
        <f aca="false">IF('Bulk Order Details'!J283="","",IF('Bulk Order Details'!C283="","",'Bulk Order Details'!C283))</f>
        <v/>
      </c>
      <c r="AH273" s="179" t="str">
        <f aca="false">IF('Bulk Order Details'!O283="","","-"&amp;LOOKUP('Bulk Order Details'!O283,#REF!,#REF!))</f>
        <v/>
      </c>
      <c r="AI273" s="179" t="str">
        <f aca="false">IF('Bulk Order Details'!P283="","","-"&amp;LOOKUP('Bulk Order Details'!P283,#REF!,#REF!))</f>
        <v/>
      </c>
      <c r="AJ273" s="179" t="str">
        <f aca="false">IF('Bulk Order Details'!Q283="","","-"&amp;LOOKUP('Bulk Order Details'!Q283,#REF!,#REF!))</f>
        <v/>
      </c>
      <c r="AK273" s="179" t="str">
        <f aca="false">IF('Bulk Order Details'!R283="","","-"&amp;LOOKUP('Bulk Order Details'!R283,#REF!,#REF!))</f>
        <v/>
      </c>
      <c r="AL273" s="179" t="str">
        <f aca="false">IF('Bulk Order Details'!S283="","","-"&amp;LOOKUP('Bulk Order Details'!S283,#REF!,#REF!))</f>
        <v/>
      </c>
      <c r="AM273" s="179" t="str">
        <f aca="false">IF(_xlfn.CONCAT(AH273:AL273)="","","Lo"&amp;_xlfn.CONCAT(AH273:AL273))</f>
        <v/>
      </c>
      <c r="AN273" s="179" t="str">
        <f aca="false">IF('Bulk Order Details'!K283="","","Na-"&amp;'Bulk Order Details'!K283)</f>
        <v/>
      </c>
      <c r="AO273" s="179" t="str">
        <f aca="false">IF('Bulk Order Details'!N283="","","Fo-"&amp;'Bulk Order Details'!N283)</f>
        <v/>
      </c>
      <c r="AP273" s="179" t="str">
        <f aca="false">IF(AE273="","",AE273&amp;"_"&amp;AF273&amp;"_"&amp;AG273&amp;IF(AM273="","","_"&amp;AM273)&amp;IF(AN273="","","_"&amp;AN273)&amp;IF(AO273="","","_"&amp;AO273))</f>
        <v/>
      </c>
      <c r="AQ273" s="218" t="str">
        <f aca="false">IF(X273="","",X273)</f>
        <v/>
      </c>
    </row>
    <row r="274" customFormat="false" ht="15" hidden="false" customHeight="true" outlineLevel="0" collapsed="false">
      <c r="B274" s="209" t="n">
        <f aca="false">'Bulk Order Details'!B284</f>
        <v>271</v>
      </c>
      <c r="C274" s="209" t="e">
        <f aca="false">IF('bulk order details'!#ref!="","",'bulk order details'!#ref!&amp;" "&amp;'bulk order details'!#ref!)</f>
        <v>#VALUE!</v>
      </c>
      <c r="D274" s="210" t="str">
        <f aca="false">IF('Bulk Order Details'!J284="","",VLOOKUP(1,Price[],3))</f>
        <v/>
      </c>
      <c r="E274" s="211" t="str">
        <f aca="false">IF('Bulk Order Details'!J284="","",Summary!$D$9)</f>
        <v/>
      </c>
      <c r="F274" s="212" t="str">
        <f aca="false">IF('Bulk Order Details'!F284="","",_xlfn.xlookup('Bulk Order Details'!F284,Size[Display],Size[Price]))</f>
        <v/>
      </c>
      <c r="G274" s="212" t="str">
        <f aca="false">IF('Bulk Order Details'!G284="","",_xlfn.xlookup('Bulk Order Details'!G284,Length[Display],Length[Price]))</f>
        <v/>
      </c>
      <c r="H274" s="212" t="str">
        <f aca="false">IF('Bulk Order Details'!H284="","",_xlfn.xlookup('Bulk Order Details'!H284,Collection[Display],Collection[Price]))</f>
        <v/>
      </c>
      <c r="I274" s="212" t="str">
        <f aca="false">IF('Bulk Order Details'!I284="","",_xlfn.xlookup('Bulk Order Details'!I284,Sleeve[Display],Sleeve[Price]))</f>
        <v/>
      </c>
      <c r="J274" s="212" t="str">
        <f aca="false">IF('Bulk Order Details'!J284="","",_xlfn.xlookup('Bulk Order Details'!J284,Collar[Display],Collar[Price]))</f>
        <v/>
      </c>
      <c r="K274" s="212" t="str">
        <f aca="false">IF('Bulk Order Details'!K284="","",_xlfn.xlookup("Name",Name[Name],Name[Price]))</f>
        <v/>
      </c>
      <c r="L274" s="213" t="str">
        <f aca="false">IFERROR(IF('Bulk Order Details'!O284="","",IF(_xlfn.xlookup('Bulk Order Details'!O284,Logos[Display],Logos[Use])="Flat",_xlfn.xlookup('Bulk Order Details'!O284,Logos[Display],Logos[Flat]),ROUND(_xlfn.xlookup('Bulk Order Details'!O284,Logos[Display],Logos[Pct])*$E274,2))),"")</f>
        <v/>
      </c>
      <c r="M274" s="222" t="str">
        <f aca="false">IFERROR(IF('Bulk Order Details'!P284="","",IF(_xlfn.xlookup('Bulk Order Details'!P284,Chest[Display],Chest[Use])="Flat",_xlfn.xlookup('Bulk Order Details'!P284,Chest[Display],Chest[Flat]),ROUND(_xlfn.xlookup('Bulk Order Details'!P284,Chest[Display],Chest[Pct])*$E274,2))),"")</f>
        <v/>
      </c>
      <c r="N274" s="222" t="str">
        <f aca="false">IFERROR(IF('Bulk Order Details'!Q284="","",IF(_xlfn.xlookup('Bulk Order Details'!Q284,Chest[Display],Chest[Use])="Flat",_xlfn.xlookup('Bulk Order Details'!Q284,Chest[Display],Chest[Flat]),ROUND(_xlfn.xlookup('Bulk Order Details'!Q284,Chest[Display],Chest[Pct])*$E274,2))),"")</f>
        <v/>
      </c>
      <c r="O274" s="222" t="str">
        <f aca="false">IFERROR(IF('Bulk Order Details'!R284="","",IF(_xlfn.xlookup('Bulk Order Details'!R284,LeftSleeve[Display],LeftSleeve[Use])="Flat",_xlfn.xlookup('Bulk Order Details'!R284,LeftSleeve[Display],LeftSleeve[Flat]),ROUND(_xlfn.xlookup('Bulk Order Details'!R284,LeftSleeve[Display],LeftSleeve[Pct])*$E274,2))),"")</f>
        <v/>
      </c>
      <c r="P274" s="222" t="str">
        <f aca="false">IFERROR(IF('Bulk Order Details'!S284="","",IF(_xlfn.xlookup('Bulk Order Details'!S284,RightSleeve[Display],RightSleeve[Use])="Flat",_xlfn.xlookup('Bulk Order Details'!S284,RightSleeve[Display],RightSleeve[Flat]),ROUND(_xlfn.xlookup('Bulk Order Details'!S284,RightSleeve[Display],RightSleeve[Pct])*$E274,2))),"")</f>
        <v/>
      </c>
      <c r="Q274" s="214" t="str">
        <f aca="false">IF('Bulk Order Details'!J284="","",SUM(F274:P274))</f>
        <v/>
      </c>
      <c r="R274" s="213" t="str">
        <f aca="false">IFERROR(E274-D274,"")</f>
        <v/>
      </c>
      <c r="S274" s="215" t="str">
        <f aca="false">IFERROR(MIN(IF(Summary!$D$11="Yes",-J274,0),IF(H274&gt;0,-J274,0)),"")</f>
        <v/>
      </c>
      <c r="T274" s="212" t="str">
        <f aca="false">IFERROR(IF(Summary!$D$10="Yes",-K274,""),"")</f>
        <v/>
      </c>
      <c r="U274" s="213" t="str">
        <f aca="false">IFERROR(IF(Summary!$D$12="Yes",-L274,""),"")</f>
        <v/>
      </c>
      <c r="V274" s="216" t="str">
        <f aca="false">IF('Bulk Order Details'!J284="","",SUM(R274:U274))</f>
        <v/>
      </c>
      <c r="W274" s="217" t="str">
        <f aca="false">IF('Bulk Order Details'!J284="","",D274+Q274)</f>
        <v/>
      </c>
      <c r="X274" s="218" t="str">
        <f aca="false">IF('Bulk Order Details'!J284="","",D274+Q274+V274)</f>
        <v/>
      </c>
      <c r="Y274" s="219" t="str">
        <f aca="false">IFERROR((W274-X274)/W274,"")</f>
        <v/>
      </c>
      <c r="Z274" s="220" t="str">
        <f aca="false">IF('Bulk Order Details'!J284="","",MAX(1,'Bulk Order Details'!D284))</f>
        <v/>
      </c>
      <c r="AA274" s="217" t="str">
        <f aca="false">IF(Pricing_Details[[#This Row],[Quantity]]="","",Pricing_Details[[#This Row],[Retail Price]]*Pricing_Details[[#This Row],[Quantity]])</f>
        <v/>
      </c>
      <c r="AB274" s="217" t="str">
        <f aca="false">IF(Pricing_Details[[#This Row],[Quantity]]="","",Pricing_Details[[#This Row],[Total Discount]]*Pricing_Details[[#This Row],[Quantity]])</f>
        <v/>
      </c>
      <c r="AC274" s="221" t="str">
        <f aca="false">IFERROR(ROUND(Pricing_Details[[#This Row],[Actual Price]]*Pricing_Details[[#This Row],[Quantity]],2),"")</f>
        <v/>
      </c>
      <c r="AE274" s="179" t="str">
        <f aca="false">IF('Bulk Order Details'!J284="","",VLOOKUP('Bulk Order Details'!H284,Collection[],3)&amp;VLOOKUP('Bulk Order Details'!J284,Collar[],4)&amp;VLOOKUP('Bulk Order Details'!I284,Sleeve[],4))</f>
        <v/>
      </c>
      <c r="AF274" s="179" t="str">
        <f aca="false">IF('Bulk Order Details'!J284="","",LOOKUP('Bulk Order Details'!E284,Cut[Display],Cut[Code])&amp;LOOKUP('Bulk Order Details'!F284,#REF!,#REF!)&amp;IF('Bulk Order Details'!G284="","",LOOKUP('Bulk Order Details'!G284,Length[Display],Length[Code])))</f>
        <v/>
      </c>
      <c r="AG274" s="179" t="str">
        <f aca="false">IF('Bulk Order Details'!J284="","",IF('Bulk Order Details'!C284="","",'Bulk Order Details'!C284))</f>
        <v/>
      </c>
      <c r="AH274" s="179" t="str">
        <f aca="false">IF('Bulk Order Details'!O284="","","-"&amp;LOOKUP('Bulk Order Details'!O284,#REF!,#REF!))</f>
        <v/>
      </c>
      <c r="AI274" s="179" t="str">
        <f aca="false">IF('Bulk Order Details'!P284="","","-"&amp;LOOKUP('Bulk Order Details'!P284,#REF!,#REF!))</f>
        <v/>
      </c>
      <c r="AJ274" s="179" t="str">
        <f aca="false">IF('Bulk Order Details'!Q284="","","-"&amp;LOOKUP('Bulk Order Details'!Q284,#REF!,#REF!))</f>
        <v/>
      </c>
      <c r="AK274" s="179" t="str">
        <f aca="false">IF('Bulk Order Details'!R284="","","-"&amp;LOOKUP('Bulk Order Details'!R284,#REF!,#REF!))</f>
        <v/>
      </c>
      <c r="AL274" s="179" t="str">
        <f aca="false">IF('Bulk Order Details'!S284="","","-"&amp;LOOKUP('Bulk Order Details'!S284,#REF!,#REF!))</f>
        <v/>
      </c>
      <c r="AM274" s="179" t="str">
        <f aca="false">IF(_xlfn.CONCAT(AH274:AL274)="","","Lo"&amp;_xlfn.CONCAT(AH274:AL274))</f>
        <v/>
      </c>
      <c r="AN274" s="179" t="str">
        <f aca="false">IF('Bulk Order Details'!K284="","","Na-"&amp;'Bulk Order Details'!K284)</f>
        <v/>
      </c>
      <c r="AO274" s="179" t="str">
        <f aca="false">IF('Bulk Order Details'!N284="","","Fo-"&amp;'Bulk Order Details'!N284)</f>
        <v/>
      </c>
      <c r="AP274" s="179" t="str">
        <f aca="false">IF(AE274="","",AE274&amp;"_"&amp;AF274&amp;"_"&amp;AG274&amp;IF(AM274="","","_"&amp;AM274)&amp;IF(AN274="","","_"&amp;AN274)&amp;IF(AO274="","","_"&amp;AO274))</f>
        <v/>
      </c>
      <c r="AQ274" s="218" t="str">
        <f aca="false">IF(X274="","",X274)</f>
        <v/>
      </c>
    </row>
    <row r="275" customFormat="false" ht="15" hidden="false" customHeight="true" outlineLevel="0" collapsed="false">
      <c r="B275" s="209" t="n">
        <f aca="false">'Bulk Order Details'!B285</f>
        <v>272</v>
      </c>
      <c r="C275" s="209" t="e">
        <f aca="false">IF('bulk order details'!#ref!="","",'bulk order details'!#ref!&amp;" "&amp;'bulk order details'!#ref!)</f>
        <v>#VALUE!</v>
      </c>
      <c r="D275" s="210" t="str">
        <f aca="false">IF('Bulk Order Details'!J285="","",VLOOKUP(1,Price[],3))</f>
        <v/>
      </c>
      <c r="E275" s="211" t="str">
        <f aca="false">IF('Bulk Order Details'!J285="","",Summary!$D$9)</f>
        <v/>
      </c>
      <c r="F275" s="212" t="str">
        <f aca="false">IF('Bulk Order Details'!F285="","",_xlfn.xlookup('Bulk Order Details'!F285,Size[Display],Size[Price]))</f>
        <v/>
      </c>
      <c r="G275" s="212" t="str">
        <f aca="false">IF('Bulk Order Details'!G285="","",_xlfn.xlookup('Bulk Order Details'!G285,Length[Display],Length[Price]))</f>
        <v/>
      </c>
      <c r="H275" s="212" t="str">
        <f aca="false">IF('Bulk Order Details'!H285="","",_xlfn.xlookup('Bulk Order Details'!H285,Collection[Display],Collection[Price]))</f>
        <v/>
      </c>
      <c r="I275" s="212" t="str">
        <f aca="false">IF('Bulk Order Details'!I285="","",_xlfn.xlookup('Bulk Order Details'!I285,Sleeve[Display],Sleeve[Price]))</f>
        <v/>
      </c>
      <c r="J275" s="212" t="str">
        <f aca="false">IF('Bulk Order Details'!J285="","",_xlfn.xlookup('Bulk Order Details'!J285,Collar[Display],Collar[Price]))</f>
        <v/>
      </c>
      <c r="K275" s="212" t="str">
        <f aca="false">IF('Bulk Order Details'!K285="","",_xlfn.xlookup("Name",Name[Name],Name[Price]))</f>
        <v/>
      </c>
      <c r="L275" s="213" t="str">
        <f aca="false">IFERROR(IF('Bulk Order Details'!O285="","",IF(_xlfn.xlookup('Bulk Order Details'!O285,Logos[Display],Logos[Use])="Flat",_xlfn.xlookup('Bulk Order Details'!O285,Logos[Display],Logos[Flat]),ROUND(_xlfn.xlookup('Bulk Order Details'!O285,Logos[Display],Logos[Pct])*$E275,2))),"")</f>
        <v/>
      </c>
      <c r="M275" s="222" t="str">
        <f aca="false">IFERROR(IF('Bulk Order Details'!P285="","",IF(_xlfn.xlookup('Bulk Order Details'!P285,Chest[Display],Chest[Use])="Flat",_xlfn.xlookup('Bulk Order Details'!P285,Chest[Display],Chest[Flat]),ROUND(_xlfn.xlookup('Bulk Order Details'!P285,Chest[Display],Chest[Pct])*$E275,2))),"")</f>
        <v/>
      </c>
      <c r="N275" s="222" t="str">
        <f aca="false">IFERROR(IF('Bulk Order Details'!Q285="","",IF(_xlfn.xlookup('Bulk Order Details'!Q285,Chest[Display],Chest[Use])="Flat",_xlfn.xlookup('Bulk Order Details'!Q285,Chest[Display],Chest[Flat]),ROUND(_xlfn.xlookup('Bulk Order Details'!Q285,Chest[Display],Chest[Pct])*$E275,2))),"")</f>
        <v/>
      </c>
      <c r="O275" s="222" t="str">
        <f aca="false">IFERROR(IF('Bulk Order Details'!R285="","",IF(_xlfn.xlookup('Bulk Order Details'!R285,LeftSleeve[Display],LeftSleeve[Use])="Flat",_xlfn.xlookup('Bulk Order Details'!R285,LeftSleeve[Display],LeftSleeve[Flat]),ROUND(_xlfn.xlookup('Bulk Order Details'!R285,LeftSleeve[Display],LeftSleeve[Pct])*$E275,2))),"")</f>
        <v/>
      </c>
      <c r="P275" s="222" t="str">
        <f aca="false">IFERROR(IF('Bulk Order Details'!S285="","",IF(_xlfn.xlookup('Bulk Order Details'!S285,RightSleeve[Display],RightSleeve[Use])="Flat",_xlfn.xlookup('Bulk Order Details'!S285,RightSleeve[Display],RightSleeve[Flat]),ROUND(_xlfn.xlookup('Bulk Order Details'!S285,RightSleeve[Display],RightSleeve[Pct])*$E275,2))),"")</f>
        <v/>
      </c>
      <c r="Q275" s="214" t="str">
        <f aca="false">IF('Bulk Order Details'!J285="","",SUM(F275:P275))</f>
        <v/>
      </c>
      <c r="R275" s="213" t="str">
        <f aca="false">IFERROR(E275-D275,"")</f>
        <v/>
      </c>
      <c r="S275" s="215" t="str">
        <f aca="false">IFERROR(MIN(IF(Summary!$D$11="Yes",-J275,0),IF(H275&gt;0,-J275,0)),"")</f>
        <v/>
      </c>
      <c r="T275" s="212" t="str">
        <f aca="false">IFERROR(IF(Summary!$D$10="Yes",-K275,""),"")</f>
        <v/>
      </c>
      <c r="U275" s="213" t="str">
        <f aca="false">IFERROR(IF(Summary!$D$12="Yes",-L275,""),"")</f>
        <v/>
      </c>
      <c r="V275" s="216" t="str">
        <f aca="false">IF('Bulk Order Details'!J285="","",SUM(R275:U275))</f>
        <v/>
      </c>
      <c r="W275" s="217" t="str">
        <f aca="false">IF('Bulk Order Details'!J285="","",D275+Q275)</f>
        <v/>
      </c>
      <c r="X275" s="218" t="str">
        <f aca="false">IF('Bulk Order Details'!J285="","",D275+Q275+V275)</f>
        <v/>
      </c>
      <c r="Y275" s="219" t="str">
        <f aca="false">IFERROR((W275-X275)/W275,"")</f>
        <v/>
      </c>
      <c r="Z275" s="220" t="str">
        <f aca="false">IF('Bulk Order Details'!J285="","",MAX(1,'Bulk Order Details'!D285))</f>
        <v/>
      </c>
      <c r="AA275" s="217" t="str">
        <f aca="false">IF(Pricing_Details[[#This Row],[Quantity]]="","",Pricing_Details[[#This Row],[Retail Price]]*Pricing_Details[[#This Row],[Quantity]])</f>
        <v/>
      </c>
      <c r="AB275" s="217" t="str">
        <f aca="false">IF(Pricing_Details[[#This Row],[Quantity]]="","",Pricing_Details[[#This Row],[Total Discount]]*Pricing_Details[[#This Row],[Quantity]])</f>
        <v/>
      </c>
      <c r="AC275" s="221" t="str">
        <f aca="false">IFERROR(ROUND(Pricing_Details[[#This Row],[Actual Price]]*Pricing_Details[[#This Row],[Quantity]],2),"")</f>
        <v/>
      </c>
      <c r="AE275" s="179" t="str">
        <f aca="false">IF('Bulk Order Details'!J285="","",VLOOKUP('Bulk Order Details'!H285,Collection[],3)&amp;VLOOKUP('Bulk Order Details'!J285,Collar[],4)&amp;VLOOKUP('Bulk Order Details'!I285,Sleeve[],4))</f>
        <v/>
      </c>
      <c r="AF275" s="179" t="str">
        <f aca="false">IF('Bulk Order Details'!J285="","",LOOKUP('Bulk Order Details'!E285,Cut[Display],Cut[Code])&amp;LOOKUP('Bulk Order Details'!F285,#REF!,#REF!)&amp;IF('Bulk Order Details'!G285="","",LOOKUP('Bulk Order Details'!G285,Length[Display],Length[Code])))</f>
        <v/>
      </c>
      <c r="AG275" s="179" t="str">
        <f aca="false">IF('Bulk Order Details'!J285="","",IF('Bulk Order Details'!C285="","",'Bulk Order Details'!C285))</f>
        <v/>
      </c>
      <c r="AH275" s="179" t="str">
        <f aca="false">IF('Bulk Order Details'!O285="","","-"&amp;LOOKUP('Bulk Order Details'!O285,#REF!,#REF!))</f>
        <v/>
      </c>
      <c r="AI275" s="179" t="str">
        <f aca="false">IF('Bulk Order Details'!P285="","","-"&amp;LOOKUP('Bulk Order Details'!P285,#REF!,#REF!))</f>
        <v/>
      </c>
      <c r="AJ275" s="179" t="str">
        <f aca="false">IF('Bulk Order Details'!Q285="","","-"&amp;LOOKUP('Bulk Order Details'!Q285,#REF!,#REF!))</f>
        <v/>
      </c>
      <c r="AK275" s="179" t="str">
        <f aca="false">IF('Bulk Order Details'!R285="","","-"&amp;LOOKUP('Bulk Order Details'!R285,#REF!,#REF!))</f>
        <v/>
      </c>
      <c r="AL275" s="179" t="str">
        <f aca="false">IF('Bulk Order Details'!S285="","","-"&amp;LOOKUP('Bulk Order Details'!S285,#REF!,#REF!))</f>
        <v/>
      </c>
      <c r="AM275" s="179" t="str">
        <f aca="false">IF(_xlfn.CONCAT(AH275:AL275)="","","Lo"&amp;_xlfn.CONCAT(AH275:AL275))</f>
        <v/>
      </c>
      <c r="AN275" s="179" t="str">
        <f aca="false">IF('Bulk Order Details'!K285="","","Na-"&amp;'Bulk Order Details'!K285)</f>
        <v/>
      </c>
      <c r="AO275" s="179" t="str">
        <f aca="false">IF('Bulk Order Details'!N285="","","Fo-"&amp;'Bulk Order Details'!N285)</f>
        <v/>
      </c>
      <c r="AP275" s="179" t="str">
        <f aca="false">IF(AE275="","",AE275&amp;"_"&amp;AF275&amp;"_"&amp;AG275&amp;IF(AM275="","","_"&amp;AM275)&amp;IF(AN275="","","_"&amp;AN275)&amp;IF(AO275="","","_"&amp;AO275))</f>
        <v/>
      </c>
      <c r="AQ275" s="218" t="str">
        <f aca="false">IF(X275="","",X275)</f>
        <v/>
      </c>
    </row>
    <row r="276" customFormat="false" ht="15" hidden="false" customHeight="true" outlineLevel="0" collapsed="false">
      <c r="B276" s="209" t="n">
        <f aca="false">'Bulk Order Details'!B286</f>
        <v>273</v>
      </c>
      <c r="C276" s="209" t="e">
        <f aca="false">IF('bulk order details'!#ref!="","",'bulk order details'!#ref!&amp;" "&amp;'bulk order details'!#ref!)</f>
        <v>#VALUE!</v>
      </c>
      <c r="D276" s="210" t="str">
        <f aca="false">IF('Bulk Order Details'!J286="","",VLOOKUP(1,Price[],3))</f>
        <v/>
      </c>
      <c r="E276" s="211" t="str">
        <f aca="false">IF('Bulk Order Details'!J286="","",Summary!$D$9)</f>
        <v/>
      </c>
      <c r="F276" s="212" t="str">
        <f aca="false">IF('Bulk Order Details'!F286="","",_xlfn.xlookup('Bulk Order Details'!F286,Size[Display],Size[Price]))</f>
        <v/>
      </c>
      <c r="G276" s="212" t="str">
        <f aca="false">IF('Bulk Order Details'!G286="","",_xlfn.xlookup('Bulk Order Details'!G286,Length[Display],Length[Price]))</f>
        <v/>
      </c>
      <c r="H276" s="212" t="str">
        <f aca="false">IF('Bulk Order Details'!H286="","",_xlfn.xlookup('Bulk Order Details'!H286,Collection[Display],Collection[Price]))</f>
        <v/>
      </c>
      <c r="I276" s="212" t="str">
        <f aca="false">IF('Bulk Order Details'!I286="","",_xlfn.xlookup('Bulk Order Details'!I286,Sleeve[Display],Sleeve[Price]))</f>
        <v/>
      </c>
      <c r="J276" s="212" t="str">
        <f aca="false">IF('Bulk Order Details'!J286="","",_xlfn.xlookup('Bulk Order Details'!J286,Collar[Display],Collar[Price]))</f>
        <v/>
      </c>
      <c r="K276" s="212" t="str">
        <f aca="false">IF('Bulk Order Details'!K286="","",_xlfn.xlookup("Name",Name[Name],Name[Price]))</f>
        <v/>
      </c>
      <c r="L276" s="213" t="str">
        <f aca="false">IFERROR(IF('Bulk Order Details'!O286="","",IF(_xlfn.xlookup('Bulk Order Details'!O286,Logos[Display],Logos[Use])="Flat",_xlfn.xlookup('Bulk Order Details'!O286,Logos[Display],Logos[Flat]),ROUND(_xlfn.xlookup('Bulk Order Details'!O286,Logos[Display],Logos[Pct])*$E276,2))),"")</f>
        <v/>
      </c>
      <c r="M276" s="222" t="str">
        <f aca="false">IFERROR(IF('Bulk Order Details'!P286="","",IF(_xlfn.xlookup('Bulk Order Details'!P286,Chest[Display],Chest[Use])="Flat",_xlfn.xlookup('Bulk Order Details'!P286,Chest[Display],Chest[Flat]),ROUND(_xlfn.xlookup('Bulk Order Details'!P286,Chest[Display],Chest[Pct])*$E276,2))),"")</f>
        <v/>
      </c>
      <c r="N276" s="222" t="str">
        <f aca="false">IFERROR(IF('Bulk Order Details'!Q286="","",IF(_xlfn.xlookup('Bulk Order Details'!Q286,Chest[Display],Chest[Use])="Flat",_xlfn.xlookup('Bulk Order Details'!Q286,Chest[Display],Chest[Flat]),ROUND(_xlfn.xlookup('Bulk Order Details'!Q286,Chest[Display],Chest[Pct])*$E276,2))),"")</f>
        <v/>
      </c>
      <c r="O276" s="222" t="str">
        <f aca="false">IFERROR(IF('Bulk Order Details'!R286="","",IF(_xlfn.xlookup('Bulk Order Details'!R286,LeftSleeve[Display],LeftSleeve[Use])="Flat",_xlfn.xlookup('Bulk Order Details'!R286,LeftSleeve[Display],LeftSleeve[Flat]),ROUND(_xlfn.xlookup('Bulk Order Details'!R286,LeftSleeve[Display],LeftSleeve[Pct])*$E276,2))),"")</f>
        <v/>
      </c>
      <c r="P276" s="222" t="str">
        <f aca="false">IFERROR(IF('Bulk Order Details'!S286="","",IF(_xlfn.xlookup('Bulk Order Details'!S286,RightSleeve[Display],RightSleeve[Use])="Flat",_xlfn.xlookup('Bulk Order Details'!S286,RightSleeve[Display],RightSleeve[Flat]),ROUND(_xlfn.xlookup('Bulk Order Details'!S286,RightSleeve[Display],RightSleeve[Pct])*$E276,2))),"")</f>
        <v/>
      </c>
      <c r="Q276" s="214" t="str">
        <f aca="false">IF('Bulk Order Details'!J286="","",SUM(F276:P276))</f>
        <v/>
      </c>
      <c r="R276" s="213" t="str">
        <f aca="false">IFERROR(E276-D276,"")</f>
        <v/>
      </c>
      <c r="S276" s="215" t="str">
        <f aca="false">IFERROR(MIN(IF(Summary!$D$11="Yes",-J276,0),IF(H276&gt;0,-J276,0)),"")</f>
        <v/>
      </c>
      <c r="T276" s="212" t="str">
        <f aca="false">IFERROR(IF(Summary!$D$10="Yes",-K276,""),"")</f>
        <v/>
      </c>
      <c r="U276" s="213" t="str">
        <f aca="false">IFERROR(IF(Summary!$D$12="Yes",-L276,""),"")</f>
        <v/>
      </c>
      <c r="V276" s="216" t="str">
        <f aca="false">IF('Bulk Order Details'!J286="","",SUM(R276:U276))</f>
        <v/>
      </c>
      <c r="W276" s="217" t="str">
        <f aca="false">IF('Bulk Order Details'!J286="","",D276+Q276)</f>
        <v/>
      </c>
      <c r="X276" s="218" t="str">
        <f aca="false">IF('Bulk Order Details'!J286="","",D276+Q276+V276)</f>
        <v/>
      </c>
      <c r="Y276" s="219" t="str">
        <f aca="false">IFERROR((W276-X276)/W276,"")</f>
        <v/>
      </c>
      <c r="Z276" s="220" t="str">
        <f aca="false">IF('Bulk Order Details'!J286="","",MAX(1,'Bulk Order Details'!D286))</f>
        <v/>
      </c>
      <c r="AA276" s="217" t="str">
        <f aca="false">IF(Pricing_Details[[#This Row],[Quantity]]="","",Pricing_Details[[#This Row],[Retail Price]]*Pricing_Details[[#This Row],[Quantity]])</f>
        <v/>
      </c>
      <c r="AB276" s="217" t="str">
        <f aca="false">IF(Pricing_Details[[#This Row],[Quantity]]="","",Pricing_Details[[#This Row],[Total Discount]]*Pricing_Details[[#This Row],[Quantity]])</f>
        <v/>
      </c>
      <c r="AC276" s="221" t="str">
        <f aca="false">IFERROR(ROUND(Pricing_Details[[#This Row],[Actual Price]]*Pricing_Details[[#This Row],[Quantity]],2),"")</f>
        <v/>
      </c>
      <c r="AE276" s="179" t="str">
        <f aca="false">IF('Bulk Order Details'!J286="","",VLOOKUP('Bulk Order Details'!H286,Collection[],3)&amp;VLOOKUP('Bulk Order Details'!J286,Collar[],4)&amp;VLOOKUP('Bulk Order Details'!I286,Sleeve[],4))</f>
        <v/>
      </c>
      <c r="AF276" s="179" t="str">
        <f aca="false">IF('Bulk Order Details'!J286="","",LOOKUP('Bulk Order Details'!E286,Cut[Display],Cut[Code])&amp;LOOKUP('Bulk Order Details'!F286,#REF!,#REF!)&amp;IF('Bulk Order Details'!G286="","",LOOKUP('Bulk Order Details'!G286,Length[Display],Length[Code])))</f>
        <v/>
      </c>
      <c r="AG276" s="179" t="str">
        <f aca="false">IF('Bulk Order Details'!J286="","",IF('Bulk Order Details'!C286="","",'Bulk Order Details'!C286))</f>
        <v/>
      </c>
      <c r="AH276" s="179" t="str">
        <f aca="false">IF('Bulk Order Details'!O286="","","-"&amp;LOOKUP('Bulk Order Details'!O286,#REF!,#REF!))</f>
        <v/>
      </c>
      <c r="AI276" s="179" t="str">
        <f aca="false">IF('Bulk Order Details'!P286="","","-"&amp;LOOKUP('Bulk Order Details'!P286,#REF!,#REF!))</f>
        <v/>
      </c>
      <c r="AJ276" s="179" t="str">
        <f aca="false">IF('Bulk Order Details'!Q286="","","-"&amp;LOOKUP('Bulk Order Details'!Q286,#REF!,#REF!))</f>
        <v/>
      </c>
      <c r="AK276" s="179" t="str">
        <f aca="false">IF('Bulk Order Details'!R286="","","-"&amp;LOOKUP('Bulk Order Details'!R286,#REF!,#REF!))</f>
        <v/>
      </c>
      <c r="AL276" s="179" t="str">
        <f aca="false">IF('Bulk Order Details'!S286="","","-"&amp;LOOKUP('Bulk Order Details'!S286,#REF!,#REF!))</f>
        <v/>
      </c>
      <c r="AM276" s="179" t="str">
        <f aca="false">IF(_xlfn.CONCAT(AH276:AL276)="","","Lo"&amp;_xlfn.CONCAT(AH276:AL276))</f>
        <v/>
      </c>
      <c r="AN276" s="179" t="str">
        <f aca="false">IF('Bulk Order Details'!K286="","","Na-"&amp;'Bulk Order Details'!K286)</f>
        <v/>
      </c>
      <c r="AO276" s="179" t="str">
        <f aca="false">IF('Bulk Order Details'!N286="","","Fo-"&amp;'Bulk Order Details'!N286)</f>
        <v/>
      </c>
      <c r="AP276" s="179" t="str">
        <f aca="false">IF(AE276="","",AE276&amp;"_"&amp;AF276&amp;"_"&amp;AG276&amp;IF(AM276="","","_"&amp;AM276)&amp;IF(AN276="","","_"&amp;AN276)&amp;IF(AO276="","","_"&amp;AO276))</f>
        <v/>
      </c>
      <c r="AQ276" s="218" t="str">
        <f aca="false">IF(X276="","",X276)</f>
        <v/>
      </c>
    </row>
    <row r="277" customFormat="false" ht="15" hidden="false" customHeight="true" outlineLevel="0" collapsed="false">
      <c r="B277" s="209" t="n">
        <f aca="false">'Bulk Order Details'!B287</f>
        <v>274</v>
      </c>
      <c r="C277" s="209" t="e">
        <f aca="false">IF('bulk order details'!#ref!="","",'bulk order details'!#ref!&amp;" "&amp;'bulk order details'!#ref!)</f>
        <v>#VALUE!</v>
      </c>
      <c r="D277" s="210" t="str">
        <f aca="false">IF('Bulk Order Details'!J287="","",VLOOKUP(1,Price[],3))</f>
        <v/>
      </c>
      <c r="E277" s="211" t="str">
        <f aca="false">IF('Bulk Order Details'!J287="","",Summary!$D$9)</f>
        <v/>
      </c>
      <c r="F277" s="212" t="str">
        <f aca="false">IF('Bulk Order Details'!F287="","",_xlfn.xlookup('Bulk Order Details'!F287,Size[Display],Size[Price]))</f>
        <v/>
      </c>
      <c r="G277" s="212" t="str">
        <f aca="false">IF('Bulk Order Details'!G287="","",_xlfn.xlookup('Bulk Order Details'!G287,Length[Display],Length[Price]))</f>
        <v/>
      </c>
      <c r="H277" s="212" t="str">
        <f aca="false">IF('Bulk Order Details'!H287="","",_xlfn.xlookup('Bulk Order Details'!H287,Collection[Display],Collection[Price]))</f>
        <v/>
      </c>
      <c r="I277" s="212" t="str">
        <f aca="false">IF('Bulk Order Details'!I287="","",_xlfn.xlookup('Bulk Order Details'!I287,Sleeve[Display],Sleeve[Price]))</f>
        <v/>
      </c>
      <c r="J277" s="212" t="str">
        <f aca="false">IF('Bulk Order Details'!J287="","",_xlfn.xlookup('Bulk Order Details'!J287,Collar[Display],Collar[Price]))</f>
        <v/>
      </c>
      <c r="K277" s="212" t="str">
        <f aca="false">IF('Bulk Order Details'!K287="","",_xlfn.xlookup("Name",Name[Name],Name[Price]))</f>
        <v/>
      </c>
      <c r="L277" s="213" t="str">
        <f aca="false">IFERROR(IF('Bulk Order Details'!O287="","",IF(_xlfn.xlookup('Bulk Order Details'!O287,Logos[Display],Logos[Use])="Flat",_xlfn.xlookup('Bulk Order Details'!O287,Logos[Display],Logos[Flat]),ROUND(_xlfn.xlookup('Bulk Order Details'!O287,Logos[Display],Logos[Pct])*$E277,2))),"")</f>
        <v/>
      </c>
      <c r="M277" s="222" t="str">
        <f aca="false">IFERROR(IF('Bulk Order Details'!P287="","",IF(_xlfn.xlookup('Bulk Order Details'!P287,Chest[Display],Chest[Use])="Flat",_xlfn.xlookup('Bulk Order Details'!P287,Chest[Display],Chest[Flat]),ROUND(_xlfn.xlookup('Bulk Order Details'!P287,Chest[Display],Chest[Pct])*$E277,2))),"")</f>
        <v/>
      </c>
      <c r="N277" s="222" t="str">
        <f aca="false">IFERROR(IF('Bulk Order Details'!Q287="","",IF(_xlfn.xlookup('Bulk Order Details'!Q287,Chest[Display],Chest[Use])="Flat",_xlfn.xlookup('Bulk Order Details'!Q287,Chest[Display],Chest[Flat]),ROUND(_xlfn.xlookup('Bulk Order Details'!Q287,Chest[Display],Chest[Pct])*$E277,2))),"")</f>
        <v/>
      </c>
      <c r="O277" s="222" t="str">
        <f aca="false">IFERROR(IF('Bulk Order Details'!R287="","",IF(_xlfn.xlookup('Bulk Order Details'!R287,LeftSleeve[Display],LeftSleeve[Use])="Flat",_xlfn.xlookup('Bulk Order Details'!R287,LeftSleeve[Display],LeftSleeve[Flat]),ROUND(_xlfn.xlookup('Bulk Order Details'!R287,LeftSleeve[Display],LeftSleeve[Pct])*$E277,2))),"")</f>
        <v/>
      </c>
      <c r="P277" s="222" t="str">
        <f aca="false">IFERROR(IF('Bulk Order Details'!S287="","",IF(_xlfn.xlookup('Bulk Order Details'!S287,RightSleeve[Display],RightSleeve[Use])="Flat",_xlfn.xlookup('Bulk Order Details'!S287,RightSleeve[Display],RightSleeve[Flat]),ROUND(_xlfn.xlookup('Bulk Order Details'!S287,RightSleeve[Display],RightSleeve[Pct])*$E277,2))),"")</f>
        <v/>
      </c>
      <c r="Q277" s="214" t="str">
        <f aca="false">IF('Bulk Order Details'!J287="","",SUM(F277:P277))</f>
        <v/>
      </c>
      <c r="R277" s="213" t="str">
        <f aca="false">IFERROR(E277-D277,"")</f>
        <v/>
      </c>
      <c r="S277" s="215" t="str">
        <f aca="false">IFERROR(MIN(IF(Summary!$D$11="Yes",-J277,0),IF(H277&gt;0,-J277,0)),"")</f>
        <v/>
      </c>
      <c r="T277" s="212" t="str">
        <f aca="false">IFERROR(IF(Summary!$D$10="Yes",-K277,""),"")</f>
        <v/>
      </c>
      <c r="U277" s="213" t="str">
        <f aca="false">IFERROR(IF(Summary!$D$12="Yes",-L277,""),"")</f>
        <v/>
      </c>
      <c r="V277" s="216" t="str">
        <f aca="false">IF('Bulk Order Details'!J287="","",SUM(R277:U277))</f>
        <v/>
      </c>
      <c r="W277" s="217" t="str">
        <f aca="false">IF('Bulk Order Details'!J287="","",D277+Q277)</f>
        <v/>
      </c>
      <c r="X277" s="218" t="str">
        <f aca="false">IF('Bulk Order Details'!J287="","",D277+Q277+V277)</f>
        <v/>
      </c>
      <c r="Y277" s="219" t="str">
        <f aca="false">IFERROR((W277-X277)/W277,"")</f>
        <v/>
      </c>
      <c r="Z277" s="220" t="str">
        <f aca="false">IF('Bulk Order Details'!J287="","",MAX(1,'Bulk Order Details'!D287))</f>
        <v/>
      </c>
      <c r="AA277" s="217" t="str">
        <f aca="false">IF(Pricing_Details[[#This Row],[Quantity]]="","",Pricing_Details[[#This Row],[Retail Price]]*Pricing_Details[[#This Row],[Quantity]])</f>
        <v/>
      </c>
      <c r="AB277" s="217" t="str">
        <f aca="false">IF(Pricing_Details[[#This Row],[Quantity]]="","",Pricing_Details[[#This Row],[Total Discount]]*Pricing_Details[[#This Row],[Quantity]])</f>
        <v/>
      </c>
      <c r="AC277" s="221" t="str">
        <f aca="false">IFERROR(ROUND(Pricing_Details[[#This Row],[Actual Price]]*Pricing_Details[[#This Row],[Quantity]],2),"")</f>
        <v/>
      </c>
      <c r="AE277" s="179" t="str">
        <f aca="false">IF('Bulk Order Details'!J287="","",VLOOKUP('Bulk Order Details'!H287,Collection[],3)&amp;VLOOKUP('Bulk Order Details'!J287,Collar[],4)&amp;VLOOKUP('Bulk Order Details'!I287,Sleeve[],4))</f>
        <v/>
      </c>
      <c r="AF277" s="179" t="str">
        <f aca="false">IF('Bulk Order Details'!J287="","",LOOKUP('Bulk Order Details'!E287,Cut[Display],Cut[Code])&amp;LOOKUP('Bulk Order Details'!F287,#REF!,#REF!)&amp;IF('Bulk Order Details'!G287="","",LOOKUP('Bulk Order Details'!G287,Length[Display],Length[Code])))</f>
        <v/>
      </c>
      <c r="AG277" s="179" t="str">
        <f aca="false">IF('Bulk Order Details'!J287="","",IF('Bulk Order Details'!C287="","",'Bulk Order Details'!C287))</f>
        <v/>
      </c>
      <c r="AH277" s="179" t="str">
        <f aca="false">IF('Bulk Order Details'!O287="","","-"&amp;LOOKUP('Bulk Order Details'!O287,#REF!,#REF!))</f>
        <v/>
      </c>
      <c r="AI277" s="179" t="str">
        <f aca="false">IF('Bulk Order Details'!P287="","","-"&amp;LOOKUP('Bulk Order Details'!P287,#REF!,#REF!))</f>
        <v/>
      </c>
      <c r="AJ277" s="179" t="str">
        <f aca="false">IF('Bulk Order Details'!Q287="","","-"&amp;LOOKUP('Bulk Order Details'!Q287,#REF!,#REF!))</f>
        <v/>
      </c>
      <c r="AK277" s="179" t="str">
        <f aca="false">IF('Bulk Order Details'!R287="","","-"&amp;LOOKUP('Bulk Order Details'!R287,#REF!,#REF!))</f>
        <v/>
      </c>
      <c r="AL277" s="179" t="str">
        <f aca="false">IF('Bulk Order Details'!S287="","","-"&amp;LOOKUP('Bulk Order Details'!S287,#REF!,#REF!))</f>
        <v/>
      </c>
      <c r="AM277" s="179" t="str">
        <f aca="false">IF(_xlfn.CONCAT(AH277:AL277)="","","Lo"&amp;_xlfn.CONCAT(AH277:AL277))</f>
        <v/>
      </c>
      <c r="AN277" s="179" t="str">
        <f aca="false">IF('Bulk Order Details'!K287="","","Na-"&amp;'Bulk Order Details'!K287)</f>
        <v/>
      </c>
      <c r="AO277" s="179" t="str">
        <f aca="false">IF('Bulk Order Details'!N287="","","Fo-"&amp;'Bulk Order Details'!N287)</f>
        <v/>
      </c>
      <c r="AP277" s="179" t="str">
        <f aca="false">IF(AE277="","",AE277&amp;"_"&amp;AF277&amp;"_"&amp;AG277&amp;IF(AM277="","","_"&amp;AM277)&amp;IF(AN277="","","_"&amp;AN277)&amp;IF(AO277="","","_"&amp;AO277))</f>
        <v/>
      </c>
      <c r="AQ277" s="218" t="str">
        <f aca="false">IF(X277="","",X277)</f>
        <v/>
      </c>
    </row>
    <row r="278" customFormat="false" ht="15" hidden="false" customHeight="true" outlineLevel="0" collapsed="false">
      <c r="B278" s="209" t="n">
        <f aca="false">'Bulk Order Details'!B288</f>
        <v>275</v>
      </c>
      <c r="C278" s="209" t="e">
        <f aca="false">IF('bulk order details'!#ref!="","",'bulk order details'!#ref!&amp;" "&amp;'bulk order details'!#ref!)</f>
        <v>#VALUE!</v>
      </c>
      <c r="D278" s="210" t="str">
        <f aca="false">IF('Bulk Order Details'!J288="","",VLOOKUP(1,Price[],3))</f>
        <v/>
      </c>
      <c r="E278" s="211" t="str">
        <f aca="false">IF('Bulk Order Details'!J288="","",Summary!$D$9)</f>
        <v/>
      </c>
      <c r="F278" s="212" t="str">
        <f aca="false">IF('Bulk Order Details'!F288="","",_xlfn.xlookup('Bulk Order Details'!F288,Size[Display],Size[Price]))</f>
        <v/>
      </c>
      <c r="G278" s="212" t="str">
        <f aca="false">IF('Bulk Order Details'!G288="","",_xlfn.xlookup('Bulk Order Details'!G288,Length[Display],Length[Price]))</f>
        <v/>
      </c>
      <c r="H278" s="212" t="str">
        <f aca="false">IF('Bulk Order Details'!H288="","",_xlfn.xlookup('Bulk Order Details'!H288,Collection[Display],Collection[Price]))</f>
        <v/>
      </c>
      <c r="I278" s="212" t="str">
        <f aca="false">IF('Bulk Order Details'!I288="","",_xlfn.xlookup('Bulk Order Details'!I288,Sleeve[Display],Sleeve[Price]))</f>
        <v/>
      </c>
      <c r="J278" s="212" t="str">
        <f aca="false">IF('Bulk Order Details'!J288="","",_xlfn.xlookup('Bulk Order Details'!J288,Collar[Display],Collar[Price]))</f>
        <v/>
      </c>
      <c r="K278" s="212" t="str">
        <f aca="false">IF('Bulk Order Details'!K288="","",_xlfn.xlookup("Name",Name[Name],Name[Price]))</f>
        <v/>
      </c>
      <c r="L278" s="213" t="str">
        <f aca="false">IFERROR(IF('Bulk Order Details'!O288="","",IF(_xlfn.xlookup('Bulk Order Details'!O288,Logos[Display],Logos[Use])="Flat",_xlfn.xlookup('Bulk Order Details'!O288,Logos[Display],Logos[Flat]),ROUND(_xlfn.xlookup('Bulk Order Details'!O288,Logos[Display],Logos[Pct])*$E278,2))),"")</f>
        <v/>
      </c>
      <c r="M278" s="222" t="str">
        <f aca="false">IFERROR(IF('Bulk Order Details'!P288="","",IF(_xlfn.xlookup('Bulk Order Details'!P288,Chest[Display],Chest[Use])="Flat",_xlfn.xlookup('Bulk Order Details'!P288,Chest[Display],Chest[Flat]),ROUND(_xlfn.xlookup('Bulk Order Details'!P288,Chest[Display],Chest[Pct])*$E278,2))),"")</f>
        <v/>
      </c>
      <c r="N278" s="222" t="str">
        <f aca="false">IFERROR(IF('Bulk Order Details'!Q288="","",IF(_xlfn.xlookup('Bulk Order Details'!Q288,Chest[Display],Chest[Use])="Flat",_xlfn.xlookup('Bulk Order Details'!Q288,Chest[Display],Chest[Flat]),ROUND(_xlfn.xlookup('Bulk Order Details'!Q288,Chest[Display],Chest[Pct])*$E278,2))),"")</f>
        <v/>
      </c>
      <c r="O278" s="222" t="str">
        <f aca="false">IFERROR(IF('Bulk Order Details'!R288="","",IF(_xlfn.xlookup('Bulk Order Details'!R288,LeftSleeve[Display],LeftSleeve[Use])="Flat",_xlfn.xlookup('Bulk Order Details'!R288,LeftSleeve[Display],LeftSleeve[Flat]),ROUND(_xlfn.xlookup('Bulk Order Details'!R288,LeftSleeve[Display],LeftSleeve[Pct])*$E278,2))),"")</f>
        <v/>
      </c>
      <c r="P278" s="222" t="str">
        <f aca="false">IFERROR(IF('Bulk Order Details'!S288="","",IF(_xlfn.xlookup('Bulk Order Details'!S288,RightSleeve[Display],RightSleeve[Use])="Flat",_xlfn.xlookup('Bulk Order Details'!S288,RightSleeve[Display],RightSleeve[Flat]),ROUND(_xlfn.xlookup('Bulk Order Details'!S288,RightSleeve[Display],RightSleeve[Pct])*$E278,2))),"")</f>
        <v/>
      </c>
      <c r="Q278" s="214" t="str">
        <f aca="false">IF('Bulk Order Details'!J288="","",SUM(F278:P278))</f>
        <v/>
      </c>
      <c r="R278" s="213" t="str">
        <f aca="false">IFERROR(E278-D278,"")</f>
        <v/>
      </c>
      <c r="S278" s="215" t="str">
        <f aca="false">IFERROR(MIN(IF(Summary!$D$11="Yes",-J278,0),IF(H278&gt;0,-J278,0)),"")</f>
        <v/>
      </c>
      <c r="T278" s="212" t="str">
        <f aca="false">IFERROR(IF(Summary!$D$10="Yes",-K278,""),"")</f>
        <v/>
      </c>
      <c r="U278" s="213" t="str">
        <f aca="false">IFERROR(IF(Summary!$D$12="Yes",-L278,""),"")</f>
        <v/>
      </c>
      <c r="V278" s="216" t="str">
        <f aca="false">IF('Bulk Order Details'!J288="","",SUM(R278:U278))</f>
        <v/>
      </c>
      <c r="W278" s="217" t="str">
        <f aca="false">IF('Bulk Order Details'!J288="","",D278+Q278)</f>
        <v/>
      </c>
      <c r="X278" s="218" t="str">
        <f aca="false">IF('Bulk Order Details'!J288="","",D278+Q278+V278)</f>
        <v/>
      </c>
      <c r="Y278" s="219" t="str">
        <f aca="false">IFERROR((W278-X278)/W278,"")</f>
        <v/>
      </c>
      <c r="Z278" s="220" t="str">
        <f aca="false">IF('Bulk Order Details'!J288="","",MAX(1,'Bulk Order Details'!D288))</f>
        <v/>
      </c>
      <c r="AA278" s="217" t="str">
        <f aca="false">IF(Pricing_Details[[#This Row],[Quantity]]="","",Pricing_Details[[#This Row],[Retail Price]]*Pricing_Details[[#This Row],[Quantity]])</f>
        <v/>
      </c>
      <c r="AB278" s="217" t="str">
        <f aca="false">IF(Pricing_Details[[#This Row],[Quantity]]="","",Pricing_Details[[#This Row],[Total Discount]]*Pricing_Details[[#This Row],[Quantity]])</f>
        <v/>
      </c>
      <c r="AC278" s="221" t="str">
        <f aca="false">IFERROR(ROUND(Pricing_Details[[#This Row],[Actual Price]]*Pricing_Details[[#This Row],[Quantity]],2),"")</f>
        <v/>
      </c>
      <c r="AE278" s="179" t="str">
        <f aca="false">IF('Bulk Order Details'!J288="","",VLOOKUP('Bulk Order Details'!H288,Collection[],3)&amp;VLOOKUP('Bulk Order Details'!J288,Collar[],4)&amp;VLOOKUP('Bulk Order Details'!I288,Sleeve[],4))</f>
        <v/>
      </c>
      <c r="AF278" s="179" t="str">
        <f aca="false">IF('Bulk Order Details'!J288="","",LOOKUP('Bulk Order Details'!E288,Cut[Display],Cut[Code])&amp;LOOKUP('Bulk Order Details'!F288,#REF!,#REF!)&amp;IF('Bulk Order Details'!G288="","",LOOKUP('Bulk Order Details'!G288,Length[Display],Length[Code])))</f>
        <v/>
      </c>
      <c r="AG278" s="179" t="str">
        <f aca="false">IF('Bulk Order Details'!J288="","",IF('Bulk Order Details'!C288="","",'Bulk Order Details'!C288))</f>
        <v/>
      </c>
      <c r="AH278" s="179" t="str">
        <f aca="false">IF('Bulk Order Details'!O288="","","-"&amp;LOOKUP('Bulk Order Details'!O288,#REF!,#REF!))</f>
        <v/>
      </c>
      <c r="AI278" s="179" t="str">
        <f aca="false">IF('Bulk Order Details'!P288="","","-"&amp;LOOKUP('Bulk Order Details'!P288,#REF!,#REF!))</f>
        <v/>
      </c>
      <c r="AJ278" s="179" t="str">
        <f aca="false">IF('Bulk Order Details'!Q288="","","-"&amp;LOOKUP('Bulk Order Details'!Q288,#REF!,#REF!))</f>
        <v/>
      </c>
      <c r="AK278" s="179" t="str">
        <f aca="false">IF('Bulk Order Details'!R288="","","-"&amp;LOOKUP('Bulk Order Details'!R288,#REF!,#REF!))</f>
        <v/>
      </c>
      <c r="AL278" s="179" t="str">
        <f aca="false">IF('Bulk Order Details'!S288="","","-"&amp;LOOKUP('Bulk Order Details'!S288,#REF!,#REF!))</f>
        <v/>
      </c>
      <c r="AM278" s="179" t="str">
        <f aca="false">IF(_xlfn.CONCAT(AH278:AL278)="","","Lo"&amp;_xlfn.CONCAT(AH278:AL278))</f>
        <v/>
      </c>
      <c r="AN278" s="179" t="str">
        <f aca="false">IF('Bulk Order Details'!K288="","","Na-"&amp;'Bulk Order Details'!K288)</f>
        <v/>
      </c>
      <c r="AO278" s="179" t="str">
        <f aca="false">IF('Bulk Order Details'!N288="","","Fo-"&amp;'Bulk Order Details'!N288)</f>
        <v/>
      </c>
      <c r="AP278" s="179" t="str">
        <f aca="false">IF(AE278="","",AE278&amp;"_"&amp;AF278&amp;"_"&amp;AG278&amp;IF(AM278="","","_"&amp;AM278)&amp;IF(AN278="","","_"&amp;AN278)&amp;IF(AO278="","","_"&amp;AO278))</f>
        <v/>
      </c>
      <c r="AQ278" s="218" t="str">
        <f aca="false">IF(X278="","",X278)</f>
        <v/>
      </c>
    </row>
    <row r="279" customFormat="false" ht="15" hidden="false" customHeight="true" outlineLevel="0" collapsed="false">
      <c r="B279" s="209" t="n">
        <f aca="false">'Bulk Order Details'!B289</f>
        <v>276</v>
      </c>
      <c r="C279" s="209" t="e">
        <f aca="false">IF('bulk order details'!#ref!="","",'bulk order details'!#ref!&amp;" "&amp;'bulk order details'!#ref!)</f>
        <v>#VALUE!</v>
      </c>
      <c r="D279" s="210" t="str">
        <f aca="false">IF('Bulk Order Details'!J289="","",VLOOKUP(1,Price[],3))</f>
        <v/>
      </c>
      <c r="E279" s="211" t="str">
        <f aca="false">IF('Bulk Order Details'!J289="","",Summary!$D$9)</f>
        <v/>
      </c>
      <c r="F279" s="212" t="str">
        <f aca="false">IF('Bulk Order Details'!F289="","",_xlfn.xlookup('Bulk Order Details'!F289,Size[Display],Size[Price]))</f>
        <v/>
      </c>
      <c r="G279" s="212" t="str">
        <f aca="false">IF('Bulk Order Details'!G289="","",_xlfn.xlookup('Bulk Order Details'!G289,Length[Display],Length[Price]))</f>
        <v/>
      </c>
      <c r="H279" s="212" t="str">
        <f aca="false">IF('Bulk Order Details'!H289="","",_xlfn.xlookup('Bulk Order Details'!H289,Collection[Display],Collection[Price]))</f>
        <v/>
      </c>
      <c r="I279" s="212" t="str">
        <f aca="false">IF('Bulk Order Details'!I289="","",_xlfn.xlookup('Bulk Order Details'!I289,Sleeve[Display],Sleeve[Price]))</f>
        <v/>
      </c>
      <c r="J279" s="212" t="str">
        <f aca="false">IF('Bulk Order Details'!J289="","",_xlfn.xlookup('Bulk Order Details'!J289,Collar[Display],Collar[Price]))</f>
        <v/>
      </c>
      <c r="K279" s="212" t="str">
        <f aca="false">IF('Bulk Order Details'!K289="","",_xlfn.xlookup("Name",Name[Name],Name[Price]))</f>
        <v/>
      </c>
      <c r="L279" s="213" t="str">
        <f aca="false">IFERROR(IF('Bulk Order Details'!O289="","",IF(_xlfn.xlookup('Bulk Order Details'!O289,Logos[Display],Logos[Use])="Flat",_xlfn.xlookup('Bulk Order Details'!O289,Logos[Display],Logos[Flat]),ROUND(_xlfn.xlookup('Bulk Order Details'!O289,Logos[Display],Logos[Pct])*$E279,2))),"")</f>
        <v/>
      </c>
      <c r="M279" s="222" t="str">
        <f aca="false">IFERROR(IF('Bulk Order Details'!P289="","",IF(_xlfn.xlookup('Bulk Order Details'!P289,Chest[Display],Chest[Use])="Flat",_xlfn.xlookup('Bulk Order Details'!P289,Chest[Display],Chest[Flat]),ROUND(_xlfn.xlookup('Bulk Order Details'!P289,Chest[Display],Chest[Pct])*$E279,2))),"")</f>
        <v/>
      </c>
      <c r="N279" s="222" t="str">
        <f aca="false">IFERROR(IF('Bulk Order Details'!Q289="","",IF(_xlfn.xlookup('Bulk Order Details'!Q289,Chest[Display],Chest[Use])="Flat",_xlfn.xlookup('Bulk Order Details'!Q289,Chest[Display],Chest[Flat]),ROUND(_xlfn.xlookup('Bulk Order Details'!Q289,Chest[Display],Chest[Pct])*$E279,2))),"")</f>
        <v/>
      </c>
      <c r="O279" s="222" t="str">
        <f aca="false">IFERROR(IF('Bulk Order Details'!R289="","",IF(_xlfn.xlookup('Bulk Order Details'!R289,LeftSleeve[Display],LeftSleeve[Use])="Flat",_xlfn.xlookup('Bulk Order Details'!R289,LeftSleeve[Display],LeftSleeve[Flat]),ROUND(_xlfn.xlookup('Bulk Order Details'!R289,LeftSleeve[Display],LeftSleeve[Pct])*$E279,2))),"")</f>
        <v/>
      </c>
      <c r="P279" s="222" t="str">
        <f aca="false">IFERROR(IF('Bulk Order Details'!S289="","",IF(_xlfn.xlookup('Bulk Order Details'!S289,RightSleeve[Display],RightSleeve[Use])="Flat",_xlfn.xlookup('Bulk Order Details'!S289,RightSleeve[Display],RightSleeve[Flat]),ROUND(_xlfn.xlookup('Bulk Order Details'!S289,RightSleeve[Display],RightSleeve[Pct])*$E279,2))),"")</f>
        <v/>
      </c>
      <c r="Q279" s="214" t="str">
        <f aca="false">IF('Bulk Order Details'!J289="","",SUM(F279:P279))</f>
        <v/>
      </c>
      <c r="R279" s="213" t="str">
        <f aca="false">IFERROR(E279-D279,"")</f>
        <v/>
      </c>
      <c r="S279" s="215" t="str">
        <f aca="false">IFERROR(MIN(IF(Summary!$D$11="Yes",-J279,0),IF(H279&gt;0,-J279,0)),"")</f>
        <v/>
      </c>
      <c r="T279" s="212" t="str">
        <f aca="false">IFERROR(IF(Summary!$D$10="Yes",-K279,""),"")</f>
        <v/>
      </c>
      <c r="U279" s="213" t="str">
        <f aca="false">IFERROR(IF(Summary!$D$12="Yes",-L279,""),"")</f>
        <v/>
      </c>
      <c r="V279" s="216" t="str">
        <f aca="false">IF('Bulk Order Details'!J289="","",SUM(R279:U279))</f>
        <v/>
      </c>
      <c r="W279" s="217" t="str">
        <f aca="false">IF('Bulk Order Details'!J289="","",D279+Q279)</f>
        <v/>
      </c>
      <c r="X279" s="218" t="str">
        <f aca="false">IF('Bulk Order Details'!J289="","",D279+Q279+V279)</f>
        <v/>
      </c>
      <c r="Y279" s="219" t="str">
        <f aca="false">IFERROR((W279-X279)/W279,"")</f>
        <v/>
      </c>
      <c r="Z279" s="220" t="str">
        <f aca="false">IF('Bulk Order Details'!J289="","",MAX(1,'Bulk Order Details'!D289))</f>
        <v/>
      </c>
      <c r="AA279" s="217" t="str">
        <f aca="false">IF(Pricing_Details[[#This Row],[Quantity]]="","",Pricing_Details[[#This Row],[Retail Price]]*Pricing_Details[[#This Row],[Quantity]])</f>
        <v/>
      </c>
      <c r="AB279" s="217" t="str">
        <f aca="false">IF(Pricing_Details[[#This Row],[Quantity]]="","",Pricing_Details[[#This Row],[Total Discount]]*Pricing_Details[[#This Row],[Quantity]])</f>
        <v/>
      </c>
      <c r="AC279" s="221" t="str">
        <f aca="false">IFERROR(ROUND(Pricing_Details[[#This Row],[Actual Price]]*Pricing_Details[[#This Row],[Quantity]],2),"")</f>
        <v/>
      </c>
      <c r="AE279" s="179" t="str">
        <f aca="false">IF('Bulk Order Details'!J289="","",VLOOKUP('Bulk Order Details'!H289,Collection[],3)&amp;VLOOKUP('Bulk Order Details'!J289,Collar[],4)&amp;VLOOKUP('Bulk Order Details'!I289,Sleeve[],4))</f>
        <v/>
      </c>
      <c r="AF279" s="179" t="str">
        <f aca="false">IF('Bulk Order Details'!J289="","",LOOKUP('Bulk Order Details'!E289,Cut[Display],Cut[Code])&amp;LOOKUP('Bulk Order Details'!F289,#REF!,#REF!)&amp;IF('Bulk Order Details'!G289="","",LOOKUP('Bulk Order Details'!G289,Length[Display],Length[Code])))</f>
        <v/>
      </c>
      <c r="AG279" s="179" t="str">
        <f aca="false">IF('Bulk Order Details'!J289="","",IF('Bulk Order Details'!C289="","",'Bulk Order Details'!C289))</f>
        <v/>
      </c>
      <c r="AH279" s="179" t="str">
        <f aca="false">IF('Bulk Order Details'!O289="","","-"&amp;LOOKUP('Bulk Order Details'!O289,#REF!,#REF!))</f>
        <v/>
      </c>
      <c r="AI279" s="179" t="str">
        <f aca="false">IF('Bulk Order Details'!P289="","","-"&amp;LOOKUP('Bulk Order Details'!P289,#REF!,#REF!))</f>
        <v/>
      </c>
      <c r="AJ279" s="179" t="str">
        <f aca="false">IF('Bulk Order Details'!Q289="","","-"&amp;LOOKUP('Bulk Order Details'!Q289,#REF!,#REF!))</f>
        <v/>
      </c>
      <c r="AK279" s="179" t="str">
        <f aca="false">IF('Bulk Order Details'!R289="","","-"&amp;LOOKUP('Bulk Order Details'!R289,#REF!,#REF!))</f>
        <v/>
      </c>
      <c r="AL279" s="179" t="str">
        <f aca="false">IF('Bulk Order Details'!S289="","","-"&amp;LOOKUP('Bulk Order Details'!S289,#REF!,#REF!))</f>
        <v/>
      </c>
      <c r="AM279" s="179" t="str">
        <f aca="false">IF(_xlfn.CONCAT(AH279:AL279)="","","Lo"&amp;_xlfn.CONCAT(AH279:AL279))</f>
        <v/>
      </c>
      <c r="AN279" s="179" t="str">
        <f aca="false">IF('Bulk Order Details'!K289="","","Na-"&amp;'Bulk Order Details'!K289)</f>
        <v/>
      </c>
      <c r="AO279" s="179" t="str">
        <f aca="false">IF('Bulk Order Details'!N289="","","Fo-"&amp;'Bulk Order Details'!N289)</f>
        <v/>
      </c>
      <c r="AP279" s="179" t="str">
        <f aca="false">IF(AE279="","",AE279&amp;"_"&amp;AF279&amp;"_"&amp;AG279&amp;IF(AM279="","","_"&amp;AM279)&amp;IF(AN279="","","_"&amp;AN279)&amp;IF(AO279="","","_"&amp;AO279))</f>
        <v/>
      </c>
      <c r="AQ279" s="218" t="str">
        <f aca="false">IF(X279="","",X279)</f>
        <v/>
      </c>
    </row>
    <row r="280" customFormat="false" ht="15" hidden="false" customHeight="true" outlineLevel="0" collapsed="false">
      <c r="B280" s="209" t="n">
        <f aca="false">'Bulk Order Details'!B290</f>
        <v>277</v>
      </c>
      <c r="C280" s="209" t="e">
        <f aca="false">IF('bulk order details'!#ref!="","",'bulk order details'!#ref!&amp;" "&amp;'bulk order details'!#ref!)</f>
        <v>#VALUE!</v>
      </c>
      <c r="D280" s="210" t="str">
        <f aca="false">IF('Bulk Order Details'!J290="","",VLOOKUP(1,Price[],3))</f>
        <v/>
      </c>
      <c r="E280" s="211" t="str">
        <f aca="false">IF('Bulk Order Details'!J290="","",Summary!$D$9)</f>
        <v/>
      </c>
      <c r="F280" s="212" t="str">
        <f aca="false">IF('Bulk Order Details'!F290="","",_xlfn.xlookup('Bulk Order Details'!F290,Size[Display],Size[Price]))</f>
        <v/>
      </c>
      <c r="G280" s="212" t="str">
        <f aca="false">IF('Bulk Order Details'!G290="","",_xlfn.xlookup('Bulk Order Details'!G290,Length[Display],Length[Price]))</f>
        <v/>
      </c>
      <c r="H280" s="212" t="str">
        <f aca="false">IF('Bulk Order Details'!H290="","",_xlfn.xlookup('Bulk Order Details'!H290,Collection[Display],Collection[Price]))</f>
        <v/>
      </c>
      <c r="I280" s="212" t="str">
        <f aca="false">IF('Bulk Order Details'!I290="","",_xlfn.xlookup('Bulk Order Details'!I290,Sleeve[Display],Sleeve[Price]))</f>
        <v/>
      </c>
      <c r="J280" s="212" t="str">
        <f aca="false">IF('Bulk Order Details'!J290="","",_xlfn.xlookup('Bulk Order Details'!J290,Collar[Display],Collar[Price]))</f>
        <v/>
      </c>
      <c r="K280" s="212" t="str">
        <f aca="false">IF('Bulk Order Details'!K290="","",_xlfn.xlookup("Name",Name[Name],Name[Price]))</f>
        <v/>
      </c>
      <c r="L280" s="213" t="str">
        <f aca="false">IFERROR(IF('Bulk Order Details'!O290="","",IF(_xlfn.xlookup('Bulk Order Details'!O290,Logos[Display],Logos[Use])="Flat",_xlfn.xlookup('Bulk Order Details'!O290,Logos[Display],Logos[Flat]),ROUND(_xlfn.xlookup('Bulk Order Details'!O290,Logos[Display],Logos[Pct])*$E280,2))),"")</f>
        <v/>
      </c>
      <c r="M280" s="222" t="str">
        <f aca="false">IFERROR(IF('Bulk Order Details'!P290="","",IF(_xlfn.xlookup('Bulk Order Details'!P290,Chest[Display],Chest[Use])="Flat",_xlfn.xlookup('Bulk Order Details'!P290,Chest[Display],Chest[Flat]),ROUND(_xlfn.xlookup('Bulk Order Details'!P290,Chest[Display],Chest[Pct])*$E280,2))),"")</f>
        <v/>
      </c>
      <c r="N280" s="222" t="str">
        <f aca="false">IFERROR(IF('Bulk Order Details'!Q290="","",IF(_xlfn.xlookup('Bulk Order Details'!Q290,Chest[Display],Chest[Use])="Flat",_xlfn.xlookup('Bulk Order Details'!Q290,Chest[Display],Chest[Flat]),ROUND(_xlfn.xlookup('Bulk Order Details'!Q290,Chest[Display],Chest[Pct])*$E280,2))),"")</f>
        <v/>
      </c>
      <c r="O280" s="222" t="str">
        <f aca="false">IFERROR(IF('Bulk Order Details'!R290="","",IF(_xlfn.xlookup('Bulk Order Details'!R290,LeftSleeve[Display],LeftSleeve[Use])="Flat",_xlfn.xlookup('Bulk Order Details'!R290,LeftSleeve[Display],LeftSleeve[Flat]),ROUND(_xlfn.xlookup('Bulk Order Details'!R290,LeftSleeve[Display],LeftSleeve[Pct])*$E280,2))),"")</f>
        <v/>
      </c>
      <c r="P280" s="222" t="str">
        <f aca="false">IFERROR(IF('Bulk Order Details'!S290="","",IF(_xlfn.xlookup('Bulk Order Details'!S290,RightSleeve[Display],RightSleeve[Use])="Flat",_xlfn.xlookup('Bulk Order Details'!S290,RightSleeve[Display],RightSleeve[Flat]),ROUND(_xlfn.xlookup('Bulk Order Details'!S290,RightSleeve[Display],RightSleeve[Pct])*$E280,2))),"")</f>
        <v/>
      </c>
      <c r="Q280" s="214" t="str">
        <f aca="false">IF('Bulk Order Details'!J290="","",SUM(F280:P280))</f>
        <v/>
      </c>
      <c r="R280" s="213" t="str">
        <f aca="false">IFERROR(E280-D280,"")</f>
        <v/>
      </c>
      <c r="S280" s="215" t="str">
        <f aca="false">IFERROR(MIN(IF(Summary!$D$11="Yes",-J280,0),IF(H280&gt;0,-J280,0)),"")</f>
        <v/>
      </c>
      <c r="T280" s="212" t="str">
        <f aca="false">IFERROR(IF(Summary!$D$10="Yes",-K280,""),"")</f>
        <v/>
      </c>
      <c r="U280" s="213" t="str">
        <f aca="false">IFERROR(IF(Summary!$D$12="Yes",-L280,""),"")</f>
        <v/>
      </c>
      <c r="V280" s="216" t="str">
        <f aca="false">IF('Bulk Order Details'!J290="","",SUM(R280:U280))</f>
        <v/>
      </c>
      <c r="W280" s="217" t="str">
        <f aca="false">IF('Bulk Order Details'!J290="","",D280+Q280)</f>
        <v/>
      </c>
      <c r="X280" s="218" t="str">
        <f aca="false">IF('Bulk Order Details'!J290="","",D280+Q280+V280)</f>
        <v/>
      </c>
      <c r="Y280" s="219" t="str">
        <f aca="false">IFERROR((W280-X280)/W280,"")</f>
        <v/>
      </c>
      <c r="Z280" s="220" t="str">
        <f aca="false">IF('Bulk Order Details'!J290="","",MAX(1,'Bulk Order Details'!D290))</f>
        <v/>
      </c>
      <c r="AA280" s="217" t="str">
        <f aca="false">IF(Pricing_Details[[#This Row],[Quantity]]="","",Pricing_Details[[#This Row],[Retail Price]]*Pricing_Details[[#This Row],[Quantity]])</f>
        <v/>
      </c>
      <c r="AB280" s="217" t="str">
        <f aca="false">IF(Pricing_Details[[#This Row],[Quantity]]="","",Pricing_Details[[#This Row],[Total Discount]]*Pricing_Details[[#This Row],[Quantity]])</f>
        <v/>
      </c>
      <c r="AC280" s="221" t="str">
        <f aca="false">IFERROR(ROUND(Pricing_Details[[#This Row],[Actual Price]]*Pricing_Details[[#This Row],[Quantity]],2),"")</f>
        <v/>
      </c>
      <c r="AE280" s="179" t="str">
        <f aca="false">IF('Bulk Order Details'!J290="","",VLOOKUP('Bulk Order Details'!H290,Collection[],3)&amp;VLOOKUP('Bulk Order Details'!J290,Collar[],4)&amp;VLOOKUP('Bulk Order Details'!I290,Sleeve[],4))</f>
        <v/>
      </c>
      <c r="AF280" s="179" t="str">
        <f aca="false">IF('Bulk Order Details'!J290="","",LOOKUP('Bulk Order Details'!E290,Cut[Display],Cut[Code])&amp;LOOKUP('Bulk Order Details'!F290,#REF!,#REF!)&amp;IF('Bulk Order Details'!G290="","",LOOKUP('Bulk Order Details'!G290,Length[Display],Length[Code])))</f>
        <v/>
      </c>
      <c r="AG280" s="179" t="str">
        <f aca="false">IF('Bulk Order Details'!J290="","",IF('Bulk Order Details'!C290="","",'Bulk Order Details'!C290))</f>
        <v/>
      </c>
      <c r="AH280" s="179" t="str">
        <f aca="false">IF('Bulk Order Details'!O290="","","-"&amp;LOOKUP('Bulk Order Details'!O290,#REF!,#REF!))</f>
        <v/>
      </c>
      <c r="AI280" s="179" t="str">
        <f aca="false">IF('Bulk Order Details'!P290="","","-"&amp;LOOKUP('Bulk Order Details'!P290,#REF!,#REF!))</f>
        <v/>
      </c>
      <c r="AJ280" s="179" t="str">
        <f aca="false">IF('Bulk Order Details'!Q290="","","-"&amp;LOOKUP('Bulk Order Details'!Q290,#REF!,#REF!))</f>
        <v/>
      </c>
      <c r="AK280" s="179" t="str">
        <f aca="false">IF('Bulk Order Details'!R290="","","-"&amp;LOOKUP('Bulk Order Details'!R290,#REF!,#REF!))</f>
        <v/>
      </c>
      <c r="AL280" s="179" t="str">
        <f aca="false">IF('Bulk Order Details'!S290="","","-"&amp;LOOKUP('Bulk Order Details'!S290,#REF!,#REF!))</f>
        <v/>
      </c>
      <c r="AM280" s="179" t="str">
        <f aca="false">IF(_xlfn.CONCAT(AH280:AL280)="","","Lo"&amp;_xlfn.CONCAT(AH280:AL280))</f>
        <v/>
      </c>
      <c r="AN280" s="179" t="str">
        <f aca="false">IF('Bulk Order Details'!K290="","","Na-"&amp;'Bulk Order Details'!K290)</f>
        <v/>
      </c>
      <c r="AO280" s="179" t="str">
        <f aca="false">IF('Bulk Order Details'!N290="","","Fo-"&amp;'Bulk Order Details'!N290)</f>
        <v/>
      </c>
      <c r="AP280" s="179" t="str">
        <f aca="false">IF(AE280="","",AE280&amp;"_"&amp;AF280&amp;"_"&amp;AG280&amp;IF(AM280="","","_"&amp;AM280)&amp;IF(AN280="","","_"&amp;AN280)&amp;IF(AO280="","","_"&amp;AO280))</f>
        <v/>
      </c>
      <c r="AQ280" s="218" t="str">
        <f aca="false">IF(X280="","",X280)</f>
        <v/>
      </c>
    </row>
    <row r="281" customFormat="false" ht="15" hidden="false" customHeight="true" outlineLevel="0" collapsed="false">
      <c r="B281" s="209" t="n">
        <f aca="false">'Bulk Order Details'!B291</f>
        <v>278</v>
      </c>
      <c r="C281" s="209" t="e">
        <f aca="false">IF('bulk order details'!#ref!="","",'bulk order details'!#ref!&amp;" "&amp;'bulk order details'!#ref!)</f>
        <v>#VALUE!</v>
      </c>
      <c r="D281" s="210" t="str">
        <f aca="false">IF('Bulk Order Details'!J291="","",VLOOKUP(1,Price[],3))</f>
        <v/>
      </c>
      <c r="E281" s="211" t="str">
        <f aca="false">IF('Bulk Order Details'!J291="","",Summary!$D$9)</f>
        <v/>
      </c>
      <c r="F281" s="212" t="str">
        <f aca="false">IF('Bulk Order Details'!F291="","",_xlfn.xlookup('Bulk Order Details'!F291,Size[Display],Size[Price]))</f>
        <v/>
      </c>
      <c r="G281" s="212" t="str">
        <f aca="false">IF('Bulk Order Details'!G291="","",_xlfn.xlookup('Bulk Order Details'!G291,Length[Display],Length[Price]))</f>
        <v/>
      </c>
      <c r="H281" s="212" t="str">
        <f aca="false">IF('Bulk Order Details'!H291="","",_xlfn.xlookup('Bulk Order Details'!H291,Collection[Display],Collection[Price]))</f>
        <v/>
      </c>
      <c r="I281" s="212" t="str">
        <f aca="false">IF('Bulk Order Details'!I291="","",_xlfn.xlookup('Bulk Order Details'!I291,Sleeve[Display],Sleeve[Price]))</f>
        <v/>
      </c>
      <c r="J281" s="212" t="str">
        <f aca="false">IF('Bulk Order Details'!J291="","",_xlfn.xlookup('Bulk Order Details'!J291,Collar[Display],Collar[Price]))</f>
        <v/>
      </c>
      <c r="K281" s="212" t="str">
        <f aca="false">IF('Bulk Order Details'!K291="","",_xlfn.xlookup("Name",Name[Name],Name[Price]))</f>
        <v/>
      </c>
      <c r="L281" s="213" t="str">
        <f aca="false">IFERROR(IF('Bulk Order Details'!O291="","",IF(_xlfn.xlookup('Bulk Order Details'!O291,Logos[Display],Logos[Use])="Flat",_xlfn.xlookup('Bulk Order Details'!O291,Logos[Display],Logos[Flat]),ROUND(_xlfn.xlookup('Bulk Order Details'!O291,Logos[Display],Logos[Pct])*$E281,2))),"")</f>
        <v/>
      </c>
      <c r="M281" s="222" t="str">
        <f aca="false">IFERROR(IF('Bulk Order Details'!P291="","",IF(_xlfn.xlookup('Bulk Order Details'!P291,Chest[Display],Chest[Use])="Flat",_xlfn.xlookup('Bulk Order Details'!P291,Chest[Display],Chest[Flat]),ROUND(_xlfn.xlookup('Bulk Order Details'!P291,Chest[Display],Chest[Pct])*$E281,2))),"")</f>
        <v/>
      </c>
      <c r="N281" s="222" t="str">
        <f aca="false">IFERROR(IF('Bulk Order Details'!Q291="","",IF(_xlfn.xlookup('Bulk Order Details'!Q291,Chest[Display],Chest[Use])="Flat",_xlfn.xlookup('Bulk Order Details'!Q291,Chest[Display],Chest[Flat]),ROUND(_xlfn.xlookup('Bulk Order Details'!Q291,Chest[Display],Chest[Pct])*$E281,2))),"")</f>
        <v/>
      </c>
      <c r="O281" s="222" t="str">
        <f aca="false">IFERROR(IF('Bulk Order Details'!R291="","",IF(_xlfn.xlookup('Bulk Order Details'!R291,LeftSleeve[Display],LeftSleeve[Use])="Flat",_xlfn.xlookup('Bulk Order Details'!R291,LeftSleeve[Display],LeftSleeve[Flat]),ROUND(_xlfn.xlookup('Bulk Order Details'!R291,LeftSleeve[Display],LeftSleeve[Pct])*$E281,2))),"")</f>
        <v/>
      </c>
      <c r="P281" s="222" t="str">
        <f aca="false">IFERROR(IF('Bulk Order Details'!S291="","",IF(_xlfn.xlookup('Bulk Order Details'!S291,RightSleeve[Display],RightSleeve[Use])="Flat",_xlfn.xlookup('Bulk Order Details'!S291,RightSleeve[Display],RightSleeve[Flat]),ROUND(_xlfn.xlookup('Bulk Order Details'!S291,RightSleeve[Display],RightSleeve[Pct])*$E281,2))),"")</f>
        <v/>
      </c>
      <c r="Q281" s="214" t="str">
        <f aca="false">IF('Bulk Order Details'!J291="","",SUM(F281:P281))</f>
        <v/>
      </c>
      <c r="R281" s="213" t="str">
        <f aca="false">IFERROR(E281-D281,"")</f>
        <v/>
      </c>
      <c r="S281" s="215" t="str">
        <f aca="false">IFERROR(MIN(IF(Summary!$D$11="Yes",-J281,0),IF(H281&gt;0,-J281,0)),"")</f>
        <v/>
      </c>
      <c r="T281" s="212" t="str">
        <f aca="false">IFERROR(IF(Summary!$D$10="Yes",-K281,""),"")</f>
        <v/>
      </c>
      <c r="U281" s="213" t="str">
        <f aca="false">IFERROR(IF(Summary!$D$12="Yes",-L281,""),"")</f>
        <v/>
      </c>
      <c r="V281" s="216" t="str">
        <f aca="false">IF('Bulk Order Details'!J291="","",SUM(R281:U281))</f>
        <v/>
      </c>
      <c r="W281" s="217" t="str">
        <f aca="false">IF('Bulk Order Details'!J291="","",D281+Q281)</f>
        <v/>
      </c>
      <c r="X281" s="218" t="str">
        <f aca="false">IF('Bulk Order Details'!J291="","",D281+Q281+V281)</f>
        <v/>
      </c>
      <c r="Y281" s="219" t="str">
        <f aca="false">IFERROR((W281-X281)/W281,"")</f>
        <v/>
      </c>
      <c r="Z281" s="220" t="str">
        <f aca="false">IF('Bulk Order Details'!J291="","",MAX(1,'Bulk Order Details'!D291))</f>
        <v/>
      </c>
      <c r="AA281" s="217" t="str">
        <f aca="false">IF(Pricing_Details[[#This Row],[Quantity]]="","",Pricing_Details[[#This Row],[Retail Price]]*Pricing_Details[[#This Row],[Quantity]])</f>
        <v/>
      </c>
      <c r="AB281" s="217" t="str">
        <f aca="false">IF(Pricing_Details[[#This Row],[Quantity]]="","",Pricing_Details[[#This Row],[Total Discount]]*Pricing_Details[[#This Row],[Quantity]])</f>
        <v/>
      </c>
      <c r="AC281" s="221" t="str">
        <f aca="false">IFERROR(ROUND(Pricing_Details[[#This Row],[Actual Price]]*Pricing_Details[[#This Row],[Quantity]],2),"")</f>
        <v/>
      </c>
      <c r="AE281" s="179" t="str">
        <f aca="false">IF('Bulk Order Details'!J291="","",VLOOKUP('Bulk Order Details'!H291,Collection[],3)&amp;VLOOKUP('Bulk Order Details'!J291,Collar[],4)&amp;VLOOKUP('Bulk Order Details'!I291,Sleeve[],4))</f>
        <v/>
      </c>
      <c r="AF281" s="179" t="str">
        <f aca="false">IF('Bulk Order Details'!J291="","",LOOKUP('Bulk Order Details'!E291,Cut[Display],Cut[Code])&amp;LOOKUP('Bulk Order Details'!F291,#REF!,#REF!)&amp;IF('Bulk Order Details'!G291="","",LOOKUP('Bulk Order Details'!G291,Length[Display],Length[Code])))</f>
        <v/>
      </c>
      <c r="AG281" s="179" t="str">
        <f aca="false">IF('Bulk Order Details'!J291="","",IF('Bulk Order Details'!C291="","",'Bulk Order Details'!C291))</f>
        <v/>
      </c>
      <c r="AH281" s="179" t="str">
        <f aca="false">IF('Bulk Order Details'!O291="","","-"&amp;LOOKUP('Bulk Order Details'!O291,#REF!,#REF!))</f>
        <v/>
      </c>
      <c r="AI281" s="179" t="str">
        <f aca="false">IF('Bulk Order Details'!P291="","","-"&amp;LOOKUP('Bulk Order Details'!P291,#REF!,#REF!))</f>
        <v/>
      </c>
      <c r="AJ281" s="179" t="str">
        <f aca="false">IF('Bulk Order Details'!Q291="","","-"&amp;LOOKUP('Bulk Order Details'!Q291,#REF!,#REF!))</f>
        <v/>
      </c>
      <c r="AK281" s="179" t="str">
        <f aca="false">IF('Bulk Order Details'!R291="","","-"&amp;LOOKUP('Bulk Order Details'!R291,#REF!,#REF!))</f>
        <v/>
      </c>
      <c r="AL281" s="179" t="str">
        <f aca="false">IF('Bulk Order Details'!S291="","","-"&amp;LOOKUP('Bulk Order Details'!S291,#REF!,#REF!))</f>
        <v/>
      </c>
      <c r="AM281" s="179" t="str">
        <f aca="false">IF(_xlfn.CONCAT(AH281:AL281)="","","Lo"&amp;_xlfn.CONCAT(AH281:AL281))</f>
        <v/>
      </c>
      <c r="AN281" s="179" t="str">
        <f aca="false">IF('Bulk Order Details'!K291="","","Na-"&amp;'Bulk Order Details'!K291)</f>
        <v/>
      </c>
      <c r="AO281" s="179" t="str">
        <f aca="false">IF('Bulk Order Details'!N291="","","Fo-"&amp;'Bulk Order Details'!N291)</f>
        <v/>
      </c>
      <c r="AP281" s="179" t="str">
        <f aca="false">IF(AE281="","",AE281&amp;"_"&amp;AF281&amp;"_"&amp;AG281&amp;IF(AM281="","","_"&amp;AM281)&amp;IF(AN281="","","_"&amp;AN281)&amp;IF(AO281="","","_"&amp;AO281))</f>
        <v/>
      </c>
      <c r="AQ281" s="218" t="str">
        <f aca="false">IF(X281="","",X281)</f>
        <v/>
      </c>
    </row>
    <row r="282" customFormat="false" ht="15" hidden="false" customHeight="true" outlineLevel="0" collapsed="false">
      <c r="B282" s="209" t="n">
        <f aca="false">'Bulk Order Details'!B292</f>
        <v>279</v>
      </c>
      <c r="C282" s="209" t="e">
        <f aca="false">IF('bulk order details'!#ref!="","",'bulk order details'!#ref!&amp;" "&amp;'bulk order details'!#ref!)</f>
        <v>#VALUE!</v>
      </c>
      <c r="D282" s="210" t="str">
        <f aca="false">IF('Bulk Order Details'!J292="","",VLOOKUP(1,Price[],3))</f>
        <v/>
      </c>
      <c r="E282" s="211" t="str">
        <f aca="false">IF('Bulk Order Details'!J292="","",Summary!$D$9)</f>
        <v/>
      </c>
      <c r="F282" s="212" t="str">
        <f aca="false">IF('Bulk Order Details'!F292="","",_xlfn.xlookup('Bulk Order Details'!F292,Size[Display],Size[Price]))</f>
        <v/>
      </c>
      <c r="G282" s="212" t="str">
        <f aca="false">IF('Bulk Order Details'!G292="","",_xlfn.xlookup('Bulk Order Details'!G292,Length[Display],Length[Price]))</f>
        <v/>
      </c>
      <c r="H282" s="212" t="str">
        <f aca="false">IF('Bulk Order Details'!H292="","",_xlfn.xlookup('Bulk Order Details'!H292,Collection[Display],Collection[Price]))</f>
        <v/>
      </c>
      <c r="I282" s="212" t="str">
        <f aca="false">IF('Bulk Order Details'!I292="","",_xlfn.xlookup('Bulk Order Details'!I292,Sleeve[Display],Sleeve[Price]))</f>
        <v/>
      </c>
      <c r="J282" s="212" t="str">
        <f aca="false">IF('Bulk Order Details'!J292="","",_xlfn.xlookup('Bulk Order Details'!J292,Collar[Display],Collar[Price]))</f>
        <v/>
      </c>
      <c r="K282" s="212" t="str">
        <f aca="false">IF('Bulk Order Details'!K292="","",_xlfn.xlookup("Name",Name[Name],Name[Price]))</f>
        <v/>
      </c>
      <c r="L282" s="213" t="str">
        <f aca="false">IFERROR(IF('Bulk Order Details'!O292="","",IF(_xlfn.xlookup('Bulk Order Details'!O292,Logos[Display],Logos[Use])="Flat",_xlfn.xlookup('Bulk Order Details'!O292,Logos[Display],Logos[Flat]),ROUND(_xlfn.xlookup('Bulk Order Details'!O292,Logos[Display],Logos[Pct])*$E282,2))),"")</f>
        <v/>
      </c>
      <c r="M282" s="222" t="str">
        <f aca="false">IFERROR(IF('Bulk Order Details'!P292="","",IF(_xlfn.xlookup('Bulk Order Details'!P292,Chest[Display],Chest[Use])="Flat",_xlfn.xlookup('Bulk Order Details'!P292,Chest[Display],Chest[Flat]),ROUND(_xlfn.xlookup('Bulk Order Details'!P292,Chest[Display],Chest[Pct])*$E282,2))),"")</f>
        <v/>
      </c>
      <c r="N282" s="222" t="str">
        <f aca="false">IFERROR(IF('Bulk Order Details'!Q292="","",IF(_xlfn.xlookup('Bulk Order Details'!Q292,Chest[Display],Chest[Use])="Flat",_xlfn.xlookup('Bulk Order Details'!Q292,Chest[Display],Chest[Flat]),ROUND(_xlfn.xlookup('Bulk Order Details'!Q292,Chest[Display],Chest[Pct])*$E282,2))),"")</f>
        <v/>
      </c>
      <c r="O282" s="222" t="str">
        <f aca="false">IFERROR(IF('Bulk Order Details'!R292="","",IF(_xlfn.xlookup('Bulk Order Details'!R292,LeftSleeve[Display],LeftSleeve[Use])="Flat",_xlfn.xlookup('Bulk Order Details'!R292,LeftSleeve[Display],LeftSleeve[Flat]),ROUND(_xlfn.xlookup('Bulk Order Details'!R292,LeftSleeve[Display],LeftSleeve[Pct])*$E282,2))),"")</f>
        <v/>
      </c>
      <c r="P282" s="222" t="str">
        <f aca="false">IFERROR(IF('Bulk Order Details'!S292="","",IF(_xlfn.xlookup('Bulk Order Details'!S292,RightSleeve[Display],RightSleeve[Use])="Flat",_xlfn.xlookup('Bulk Order Details'!S292,RightSleeve[Display],RightSleeve[Flat]),ROUND(_xlfn.xlookup('Bulk Order Details'!S292,RightSleeve[Display],RightSleeve[Pct])*$E282,2))),"")</f>
        <v/>
      </c>
      <c r="Q282" s="214" t="str">
        <f aca="false">IF('Bulk Order Details'!J292="","",SUM(F282:P282))</f>
        <v/>
      </c>
      <c r="R282" s="213" t="str">
        <f aca="false">IFERROR(E282-D282,"")</f>
        <v/>
      </c>
      <c r="S282" s="215" t="str">
        <f aca="false">IFERROR(MIN(IF(Summary!$D$11="Yes",-J282,0),IF(H282&gt;0,-J282,0)),"")</f>
        <v/>
      </c>
      <c r="T282" s="212" t="str">
        <f aca="false">IFERROR(IF(Summary!$D$10="Yes",-K282,""),"")</f>
        <v/>
      </c>
      <c r="U282" s="213" t="str">
        <f aca="false">IFERROR(IF(Summary!$D$12="Yes",-L282,""),"")</f>
        <v/>
      </c>
      <c r="V282" s="216" t="str">
        <f aca="false">IF('Bulk Order Details'!J292="","",SUM(R282:U282))</f>
        <v/>
      </c>
      <c r="W282" s="217" t="str">
        <f aca="false">IF('Bulk Order Details'!J292="","",D282+Q282)</f>
        <v/>
      </c>
      <c r="X282" s="218" t="str">
        <f aca="false">IF('Bulk Order Details'!J292="","",D282+Q282+V282)</f>
        <v/>
      </c>
      <c r="Y282" s="219" t="str">
        <f aca="false">IFERROR((W282-X282)/W282,"")</f>
        <v/>
      </c>
      <c r="Z282" s="220" t="str">
        <f aca="false">IF('Bulk Order Details'!J292="","",MAX(1,'Bulk Order Details'!D292))</f>
        <v/>
      </c>
      <c r="AA282" s="217" t="str">
        <f aca="false">IF(Pricing_Details[[#This Row],[Quantity]]="","",Pricing_Details[[#This Row],[Retail Price]]*Pricing_Details[[#This Row],[Quantity]])</f>
        <v/>
      </c>
      <c r="AB282" s="217" t="str">
        <f aca="false">IF(Pricing_Details[[#This Row],[Quantity]]="","",Pricing_Details[[#This Row],[Total Discount]]*Pricing_Details[[#This Row],[Quantity]])</f>
        <v/>
      </c>
      <c r="AC282" s="221" t="str">
        <f aca="false">IFERROR(ROUND(Pricing_Details[[#This Row],[Actual Price]]*Pricing_Details[[#This Row],[Quantity]],2),"")</f>
        <v/>
      </c>
      <c r="AE282" s="179" t="str">
        <f aca="false">IF('Bulk Order Details'!J292="","",VLOOKUP('Bulk Order Details'!H292,Collection[],3)&amp;VLOOKUP('Bulk Order Details'!J292,Collar[],4)&amp;VLOOKUP('Bulk Order Details'!I292,Sleeve[],4))</f>
        <v/>
      </c>
      <c r="AF282" s="179" t="str">
        <f aca="false">IF('Bulk Order Details'!J292="","",LOOKUP('Bulk Order Details'!E292,Cut[Display],Cut[Code])&amp;LOOKUP('Bulk Order Details'!F292,#REF!,#REF!)&amp;IF('Bulk Order Details'!G292="","",LOOKUP('Bulk Order Details'!G292,Length[Display],Length[Code])))</f>
        <v/>
      </c>
      <c r="AG282" s="179" t="str">
        <f aca="false">IF('Bulk Order Details'!J292="","",IF('Bulk Order Details'!C292="","",'Bulk Order Details'!C292))</f>
        <v/>
      </c>
      <c r="AH282" s="179" t="str">
        <f aca="false">IF('Bulk Order Details'!O292="","","-"&amp;LOOKUP('Bulk Order Details'!O292,#REF!,#REF!))</f>
        <v/>
      </c>
      <c r="AI282" s="179" t="str">
        <f aca="false">IF('Bulk Order Details'!P292="","","-"&amp;LOOKUP('Bulk Order Details'!P292,#REF!,#REF!))</f>
        <v/>
      </c>
      <c r="AJ282" s="179" t="str">
        <f aca="false">IF('Bulk Order Details'!Q292="","","-"&amp;LOOKUP('Bulk Order Details'!Q292,#REF!,#REF!))</f>
        <v/>
      </c>
      <c r="AK282" s="179" t="str">
        <f aca="false">IF('Bulk Order Details'!R292="","","-"&amp;LOOKUP('Bulk Order Details'!R292,#REF!,#REF!))</f>
        <v/>
      </c>
      <c r="AL282" s="179" t="str">
        <f aca="false">IF('Bulk Order Details'!S292="","","-"&amp;LOOKUP('Bulk Order Details'!S292,#REF!,#REF!))</f>
        <v/>
      </c>
      <c r="AM282" s="179" t="str">
        <f aca="false">IF(_xlfn.CONCAT(AH282:AL282)="","","Lo"&amp;_xlfn.CONCAT(AH282:AL282))</f>
        <v/>
      </c>
      <c r="AN282" s="179" t="str">
        <f aca="false">IF('Bulk Order Details'!K292="","","Na-"&amp;'Bulk Order Details'!K292)</f>
        <v/>
      </c>
      <c r="AO282" s="179" t="str">
        <f aca="false">IF('Bulk Order Details'!N292="","","Fo-"&amp;'Bulk Order Details'!N292)</f>
        <v/>
      </c>
      <c r="AP282" s="179" t="str">
        <f aca="false">IF(AE282="","",AE282&amp;"_"&amp;AF282&amp;"_"&amp;AG282&amp;IF(AM282="","","_"&amp;AM282)&amp;IF(AN282="","","_"&amp;AN282)&amp;IF(AO282="","","_"&amp;AO282))</f>
        <v/>
      </c>
      <c r="AQ282" s="218" t="str">
        <f aca="false">IF(X282="","",X282)</f>
        <v/>
      </c>
    </row>
    <row r="283" customFormat="false" ht="15" hidden="false" customHeight="true" outlineLevel="0" collapsed="false">
      <c r="B283" s="209" t="n">
        <f aca="false">'Bulk Order Details'!B293</f>
        <v>280</v>
      </c>
      <c r="C283" s="209" t="e">
        <f aca="false">IF('bulk order details'!#ref!="","",'bulk order details'!#ref!&amp;" "&amp;'bulk order details'!#ref!)</f>
        <v>#VALUE!</v>
      </c>
      <c r="D283" s="210" t="str">
        <f aca="false">IF('Bulk Order Details'!J293="","",VLOOKUP(1,Price[],3))</f>
        <v/>
      </c>
      <c r="E283" s="211" t="str">
        <f aca="false">IF('Bulk Order Details'!J293="","",Summary!$D$9)</f>
        <v/>
      </c>
      <c r="F283" s="212" t="str">
        <f aca="false">IF('Bulk Order Details'!F293="","",_xlfn.xlookup('Bulk Order Details'!F293,Size[Display],Size[Price]))</f>
        <v/>
      </c>
      <c r="G283" s="212" t="str">
        <f aca="false">IF('Bulk Order Details'!G293="","",_xlfn.xlookup('Bulk Order Details'!G293,Length[Display],Length[Price]))</f>
        <v/>
      </c>
      <c r="H283" s="212" t="str">
        <f aca="false">IF('Bulk Order Details'!H293="","",_xlfn.xlookup('Bulk Order Details'!H293,Collection[Display],Collection[Price]))</f>
        <v/>
      </c>
      <c r="I283" s="212" t="str">
        <f aca="false">IF('Bulk Order Details'!I293="","",_xlfn.xlookup('Bulk Order Details'!I293,Sleeve[Display],Sleeve[Price]))</f>
        <v/>
      </c>
      <c r="J283" s="212" t="str">
        <f aca="false">IF('Bulk Order Details'!J293="","",_xlfn.xlookup('Bulk Order Details'!J293,Collar[Display],Collar[Price]))</f>
        <v/>
      </c>
      <c r="K283" s="212" t="str">
        <f aca="false">IF('Bulk Order Details'!K293="","",_xlfn.xlookup("Name",Name[Name],Name[Price]))</f>
        <v/>
      </c>
      <c r="L283" s="213" t="str">
        <f aca="false">IFERROR(IF('Bulk Order Details'!O293="","",IF(_xlfn.xlookup('Bulk Order Details'!O293,Logos[Display],Logos[Use])="Flat",_xlfn.xlookup('Bulk Order Details'!O293,Logos[Display],Logos[Flat]),ROUND(_xlfn.xlookup('Bulk Order Details'!O293,Logos[Display],Logos[Pct])*$E283,2))),"")</f>
        <v/>
      </c>
      <c r="M283" s="222" t="str">
        <f aca="false">IFERROR(IF('Bulk Order Details'!P293="","",IF(_xlfn.xlookup('Bulk Order Details'!P293,Chest[Display],Chest[Use])="Flat",_xlfn.xlookup('Bulk Order Details'!P293,Chest[Display],Chest[Flat]),ROUND(_xlfn.xlookup('Bulk Order Details'!P293,Chest[Display],Chest[Pct])*$E283,2))),"")</f>
        <v/>
      </c>
      <c r="N283" s="222" t="str">
        <f aca="false">IFERROR(IF('Bulk Order Details'!Q293="","",IF(_xlfn.xlookup('Bulk Order Details'!Q293,Chest[Display],Chest[Use])="Flat",_xlfn.xlookup('Bulk Order Details'!Q293,Chest[Display],Chest[Flat]),ROUND(_xlfn.xlookup('Bulk Order Details'!Q293,Chest[Display],Chest[Pct])*$E283,2))),"")</f>
        <v/>
      </c>
      <c r="O283" s="222" t="str">
        <f aca="false">IFERROR(IF('Bulk Order Details'!R293="","",IF(_xlfn.xlookup('Bulk Order Details'!R293,LeftSleeve[Display],LeftSleeve[Use])="Flat",_xlfn.xlookup('Bulk Order Details'!R293,LeftSleeve[Display],LeftSleeve[Flat]),ROUND(_xlfn.xlookup('Bulk Order Details'!R293,LeftSleeve[Display],LeftSleeve[Pct])*$E283,2))),"")</f>
        <v/>
      </c>
      <c r="P283" s="222" t="str">
        <f aca="false">IFERROR(IF('Bulk Order Details'!S293="","",IF(_xlfn.xlookup('Bulk Order Details'!S293,RightSleeve[Display],RightSleeve[Use])="Flat",_xlfn.xlookup('Bulk Order Details'!S293,RightSleeve[Display],RightSleeve[Flat]),ROUND(_xlfn.xlookup('Bulk Order Details'!S293,RightSleeve[Display],RightSleeve[Pct])*$E283,2))),"")</f>
        <v/>
      </c>
      <c r="Q283" s="214" t="str">
        <f aca="false">IF('Bulk Order Details'!J293="","",SUM(F283:P283))</f>
        <v/>
      </c>
      <c r="R283" s="213" t="str">
        <f aca="false">IFERROR(E283-D283,"")</f>
        <v/>
      </c>
      <c r="S283" s="215" t="str">
        <f aca="false">IFERROR(MIN(IF(Summary!$D$11="Yes",-J283,0),IF(H283&gt;0,-J283,0)),"")</f>
        <v/>
      </c>
      <c r="T283" s="212" t="str">
        <f aca="false">IFERROR(IF(Summary!$D$10="Yes",-K283,""),"")</f>
        <v/>
      </c>
      <c r="U283" s="213" t="str">
        <f aca="false">IFERROR(IF(Summary!$D$12="Yes",-L283,""),"")</f>
        <v/>
      </c>
      <c r="V283" s="216" t="str">
        <f aca="false">IF('Bulk Order Details'!J293="","",SUM(R283:U283))</f>
        <v/>
      </c>
      <c r="W283" s="217" t="str">
        <f aca="false">IF('Bulk Order Details'!J293="","",D283+Q283)</f>
        <v/>
      </c>
      <c r="X283" s="218" t="str">
        <f aca="false">IF('Bulk Order Details'!J293="","",D283+Q283+V283)</f>
        <v/>
      </c>
      <c r="Y283" s="219" t="str">
        <f aca="false">IFERROR((W283-X283)/W283,"")</f>
        <v/>
      </c>
      <c r="Z283" s="220" t="str">
        <f aca="false">IF('Bulk Order Details'!J293="","",MAX(1,'Bulk Order Details'!D293))</f>
        <v/>
      </c>
      <c r="AA283" s="217" t="str">
        <f aca="false">IF(Pricing_Details[[#This Row],[Quantity]]="","",Pricing_Details[[#This Row],[Retail Price]]*Pricing_Details[[#This Row],[Quantity]])</f>
        <v/>
      </c>
      <c r="AB283" s="217" t="str">
        <f aca="false">IF(Pricing_Details[[#This Row],[Quantity]]="","",Pricing_Details[[#This Row],[Total Discount]]*Pricing_Details[[#This Row],[Quantity]])</f>
        <v/>
      </c>
      <c r="AC283" s="221" t="str">
        <f aca="false">IFERROR(ROUND(Pricing_Details[[#This Row],[Actual Price]]*Pricing_Details[[#This Row],[Quantity]],2),"")</f>
        <v/>
      </c>
      <c r="AE283" s="179" t="str">
        <f aca="false">IF('Bulk Order Details'!J293="","",VLOOKUP('Bulk Order Details'!H293,Collection[],3)&amp;VLOOKUP('Bulk Order Details'!J293,Collar[],4)&amp;VLOOKUP('Bulk Order Details'!I293,Sleeve[],4))</f>
        <v/>
      </c>
      <c r="AF283" s="179" t="str">
        <f aca="false">IF('Bulk Order Details'!J293="","",LOOKUP('Bulk Order Details'!E293,Cut[Display],Cut[Code])&amp;LOOKUP('Bulk Order Details'!F293,#REF!,#REF!)&amp;IF('Bulk Order Details'!G293="","",LOOKUP('Bulk Order Details'!G293,Length[Display],Length[Code])))</f>
        <v/>
      </c>
      <c r="AG283" s="179" t="str">
        <f aca="false">IF('Bulk Order Details'!J293="","",IF('Bulk Order Details'!C293="","",'Bulk Order Details'!C293))</f>
        <v/>
      </c>
      <c r="AH283" s="179" t="str">
        <f aca="false">IF('Bulk Order Details'!O293="","","-"&amp;LOOKUP('Bulk Order Details'!O293,#REF!,#REF!))</f>
        <v/>
      </c>
      <c r="AI283" s="179" t="str">
        <f aca="false">IF('Bulk Order Details'!P293="","","-"&amp;LOOKUP('Bulk Order Details'!P293,#REF!,#REF!))</f>
        <v/>
      </c>
      <c r="AJ283" s="179" t="str">
        <f aca="false">IF('Bulk Order Details'!Q293="","","-"&amp;LOOKUP('Bulk Order Details'!Q293,#REF!,#REF!))</f>
        <v/>
      </c>
      <c r="AK283" s="179" t="str">
        <f aca="false">IF('Bulk Order Details'!R293="","","-"&amp;LOOKUP('Bulk Order Details'!R293,#REF!,#REF!))</f>
        <v/>
      </c>
      <c r="AL283" s="179" t="str">
        <f aca="false">IF('Bulk Order Details'!S293="","","-"&amp;LOOKUP('Bulk Order Details'!S293,#REF!,#REF!))</f>
        <v/>
      </c>
      <c r="AM283" s="179" t="str">
        <f aca="false">IF(_xlfn.CONCAT(AH283:AL283)="","","Lo"&amp;_xlfn.CONCAT(AH283:AL283))</f>
        <v/>
      </c>
      <c r="AN283" s="179" t="str">
        <f aca="false">IF('Bulk Order Details'!K293="","","Na-"&amp;'Bulk Order Details'!K293)</f>
        <v/>
      </c>
      <c r="AO283" s="179" t="str">
        <f aca="false">IF('Bulk Order Details'!N293="","","Fo-"&amp;'Bulk Order Details'!N293)</f>
        <v/>
      </c>
      <c r="AP283" s="179" t="str">
        <f aca="false">IF(AE283="","",AE283&amp;"_"&amp;AF283&amp;"_"&amp;AG283&amp;IF(AM283="","","_"&amp;AM283)&amp;IF(AN283="","","_"&amp;AN283)&amp;IF(AO283="","","_"&amp;AO283))</f>
        <v/>
      </c>
      <c r="AQ283" s="218" t="str">
        <f aca="false">IF(X283="","",X283)</f>
        <v/>
      </c>
    </row>
    <row r="284" customFormat="false" ht="15" hidden="false" customHeight="true" outlineLevel="0" collapsed="false">
      <c r="B284" s="209" t="n">
        <f aca="false">'Bulk Order Details'!B294</f>
        <v>281</v>
      </c>
      <c r="C284" s="209" t="e">
        <f aca="false">IF('bulk order details'!#ref!="","",'bulk order details'!#ref!&amp;" "&amp;'bulk order details'!#ref!)</f>
        <v>#VALUE!</v>
      </c>
      <c r="D284" s="210" t="str">
        <f aca="false">IF('Bulk Order Details'!J294="","",VLOOKUP(1,Price[],3))</f>
        <v/>
      </c>
      <c r="E284" s="211" t="str">
        <f aca="false">IF('Bulk Order Details'!J294="","",Summary!$D$9)</f>
        <v/>
      </c>
      <c r="F284" s="212" t="str">
        <f aca="false">IF('Bulk Order Details'!F294="","",_xlfn.xlookup('Bulk Order Details'!F294,Size[Display],Size[Price]))</f>
        <v/>
      </c>
      <c r="G284" s="212" t="str">
        <f aca="false">IF('Bulk Order Details'!G294="","",_xlfn.xlookup('Bulk Order Details'!G294,Length[Display],Length[Price]))</f>
        <v/>
      </c>
      <c r="H284" s="212" t="str">
        <f aca="false">IF('Bulk Order Details'!H294="","",_xlfn.xlookup('Bulk Order Details'!H294,Collection[Display],Collection[Price]))</f>
        <v/>
      </c>
      <c r="I284" s="212" t="str">
        <f aca="false">IF('Bulk Order Details'!I294="","",_xlfn.xlookup('Bulk Order Details'!I294,Sleeve[Display],Sleeve[Price]))</f>
        <v/>
      </c>
      <c r="J284" s="212" t="str">
        <f aca="false">IF('Bulk Order Details'!J294="","",_xlfn.xlookup('Bulk Order Details'!J294,Collar[Display],Collar[Price]))</f>
        <v/>
      </c>
      <c r="K284" s="212" t="str">
        <f aca="false">IF('Bulk Order Details'!K294="","",_xlfn.xlookup("Name",Name[Name],Name[Price]))</f>
        <v/>
      </c>
      <c r="L284" s="213" t="str">
        <f aca="false">IFERROR(IF('Bulk Order Details'!O294="","",IF(_xlfn.xlookup('Bulk Order Details'!O294,Logos[Display],Logos[Use])="Flat",_xlfn.xlookup('Bulk Order Details'!O294,Logos[Display],Logos[Flat]),ROUND(_xlfn.xlookup('Bulk Order Details'!O294,Logos[Display],Logos[Pct])*$E284,2))),"")</f>
        <v/>
      </c>
      <c r="M284" s="222" t="str">
        <f aca="false">IFERROR(IF('Bulk Order Details'!P294="","",IF(_xlfn.xlookup('Bulk Order Details'!P294,Chest[Display],Chest[Use])="Flat",_xlfn.xlookup('Bulk Order Details'!P294,Chest[Display],Chest[Flat]),ROUND(_xlfn.xlookup('Bulk Order Details'!P294,Chest[Display],Chest[Pct])*$E284,2))),"")</f>
        <v/>
      </c>
      <c r="N284" s="222" t="str">
        <f aca="false">IFERROR(IF('Bulk Order Details'!Q294="","",IF(_xlfn.xlookup('Bulk Order Details'!Q294,Chest[Display],Chest[Use])="Flat",_xlfn.xlookup('Bulk Order Details'!Q294,Chest[Display],Chest[Flat]),ROUND(_xlfn.xlookup('Bulk Order Details'!Q294,Chest[Display],Chest[Pct])*$E284,2))),"")</f>
        <v/>
      </c>
      <c r="O284" s="222" t="str">
        <f aca="false">IFERROR(IF('Bulk Order Details'!R294="","",IF(_xlfn.xlookup('Bulk Order Details'!R294,LeftSleeve[Display],LeftSleeve[Use])="Flat",_xlfn.xlookup('Bulk Order Details'!R294,LeftSleeve[Display],LeftSleeve[Flat]),ROUND(_xlfn.xlookup('Bulk Order Details'!R294,LeftSleeve[Display],LeftSleeve[Pct])*$E284,2))),"")</f>
        <v/>
      </c>
      <c r="P284" s="222" t="str">
        <f aca="false">IFERROR(IF('Bulk Order Details'!S294="","",IF(_xlfn.xlookup('Bulk Order Details'!S294,RightSleeve[Display],RightSleeve[Use])="Flat",_xlfn.xlookup('Bulk Order Details'!S294,RightSleeve[Display],RightSleeve[Flat]),ROUND(_xlfn.xlookup('Bulk Order Details'!S294,RightSleeve[Display],RightSleeve[Pct])*$E284,2))),"")</f>
        <v/>
      </c>
      <c r="Q284" s="214" t="str">
        <f aca="false">IF('Bulk Order Details'!J294="","",SUM(F284:P284))</f>
        <v/>
      </c>
      <c r="R284" s="213" t="str">
        <f aca="false">IFERROR(E284-D284,"")</f>
        <v/>
      </c>
      <c r="S284" s="215" t="str">
        <f aca="false">IFERROR(MIN(IF(Summary!$D$11="Yes",-J284,0),IF(H284&gt;0,-J284,0)),"")</f>
        <v/>
      </c>
      <c r="T284" s="212" t="str">
        <f aca="false">IFERROR(IF(Summary!$D$10="Yes",-K284,""),"")</f>
        <v/>
      </c>
      <c r="U284" s="213" t="str">
        <f aca="false">IFERROR(IF(Summary!$D$12="Yes",-L284,""),"")</f>
        <v/>
      </c>
      <c r="V284" s="216" t="str">
        <f aca="false">IF('Bulk Order Details'!J294="","",SUM(R284:U284))</f>
        <v/>
      </c>
      <c r="W284" s="217" t="str">
        <f aca="false">IF('Bulk Order Details'!J294="","",D284+Q284)</f>
        <v/>
      </c>
      <c r="X284" s="218" t="str">
        <f aca="false">IF('Bulk Order Details'!J294="","",D284+Q284+V284)</f>
        <v/>
      </c>
      <c r="Y284" s="219" t="str">
        <f aca="false">IFERROR((W284-X284)/W284,"")</f>
        <v/>
      </c>
      <c r="Z284" s="220" t="str">
        <f aca="false">IF('Bulk Order Details'!J294="","",MAX(1,'Bulk Order Details'!D294))</f>
        <v/>
      </c>
      <c r="AA284" s="217" t="str">
        <f aca="false">IF(Pricing_Details[[#This Row],[Quantity]]="","",Pricing_Details[[#This Row],[Retail Price]]*Pricing_Details[[#This Row],[Quantity]])</f>
        <v/>
      </c>
      <c r="AB284" s="217" t="str">
        <f aca="false">IF(Pricing_Details[[#This Row],[Quantity]]="","",Pricing_Details[[#This Row],[Total Discount]]*Pricing_Details[[#This Row],[Quantity]])</f>
        <v/>
      </c>
      <c r="AC284" s="221" t="str">
        <f aca="false">IFERROR(ROUND(Pricing_Details[[#This Row],[Actual Price]]*Pricing_Details[[#This Row],[Quantity]],2),"")</f>
        <v/>
      </c>
      <c r="AE284" s="179" t="str">
        <f aca="false">IF('Bulk Order Details'!J294="","",VLOOKUP('Bulk Order Details'!H294,Collection[],3)&amp;VLOOKUP('Bulk Order Details'!J294,Collar[],4)&amp;VLOOKUP('Bulk Order Details'!I294,Sleeve[],4))</f>
        <v/>
      </c>
      <c r="AF284" s="179" t="str">
        <f aca="false">IF('Bulk Order Details'!J294="","",LOOKUP('Bulk Order Details'!E294,Cut[Display],Cut[Code])&amp;LOOKUP('Bulk Order Details'!F294,#REF!,#REF!)&amp;IF('Bulk Order Details'!G294="","",LOOKUP('Bulk Order Details'!G294,Length[Display],Length[Code])))</f>
        <v/>
      </c>
      <c r="AG284" s="179" t="str">
        <f aca="false">IF('Bulk Order Details'!J294="","",IF('Bulk Order Details'!C294="","",'Bulk Order Details'!C294))</f>
        <v/>
      </c>
      <c r="AH284" s="179" t="str">
        <f aca="false">IF('Bulk Order Details'!O294="","","-"&amp;LOOKUP('Bulk Order Details'!O294,#REF!,#REF!))</f>
        <v/>
      </c>
      <c r="AI284" s="179" t="str">
        <f aca="false">IF('Bulk Order Details'!P294="","","-"&amp;LOOKUP('Bulk Order Details'!P294,#REF!,#REF!))</f>
        <v/>
      </c>
      <c r="AJ284" s="179" t="str">
        <f aca="false">IF('Bulk Order Details'!Q294="","","-"&amp;LOOKUP('Bulk Order Details'!Q294,#REF!,#REF!))</f>
        <v/>
      </c>
      <c r="AK284" s="179" t="str">
        <f aca="false">IF('Bulk Order Details'!R294="","","-"&amp;LOOKUP('Bulk Order Details'!R294,#REF!,#REF!))</f>
        <v/>
      </c>
      <c r="AL284" s="179" t="str">
        <f aca="false">IF('Bulk Order Details'!S294="","","-"&amp;LOOKUP('Bulk Order Details'!S294,#REF!,#REF!))</f>
        <v/>
      </c>
      <c r="AM284" s="179" t="str">
        <f aca="false">IF(_xlfn.CONCAT(AH284:AL284)="","","Lo"&amp;_xlfn.CONCAT(AH284:AL284))</f>
        <v/>
      </c>
      <c r="AN284" s="179" t="str">
        <f aca="false">IF('Bulk Order Details'!K294="","","Na-"&amp;'Bulk Order Details'!K294)</f>
        <v/>
      </c>
      <c r="AO284" s="179" t="str">
        <f aca="false">IF('Bulk Order Details'!N294="","","Fo-"&amp;'Bulk Order Details'!N294)</f>
        <v/>
      </c>
      <c r="AP284" s="179" t="str">
        <f aca="false">IF(AE284="","",AE284&amp;"_"&amp;AF284&amp;"_"&amp;AG284&amp;IF(AM284="","","_"&amp;AM284)&amp;IF(AN284="","","_"&amp;AN284)&amp;IF(AO284="","","_"&amp;AO284))</f>
        <v/>
      </c>
      <c r="AQ284" s="218" t="str">
        <f aca="false">IF(X284="","",X284)</f>
        <v/>
      </c>
    </row>
    <row r="285" customFormat="false" ht="15" hidden="false" customHeight="true" outlineLevel="0" collapsed="false">
      <c r="B285" s="209" t="n">
        <f aca="false">'Bulk Order Details'!B295</f>
        <v>282</v>
      </c>
      <c r="C285" s="209" t="e">
        <f aca="false">IF('bulk order details'!#ref!="","",'bulk order details'!#ref!&amp;" "&amp;'bulk order details'!#ref!)</f>
        <v>#VALUE!</v>
      </c>
      <c r="D285" s="210" t="str">
        <f aca="false">IF('Bulk Order Details'!J295="","",VLOOKUP(1,Price[],3))</f>
        <v/>
      </c>
      <c r="E285" s="211" t="str">
        <f aca="false">IF('Bulk Order Details'!J295="","",Summary!$D$9)</f>
        <v/>
      </c>
      <c r="F285" s="212" t="str">
        <f aca="false">IF('Bulk Order Details'!F295="","",_xlfn.xlookup('Bulk Order Details'!F295,Size[Display],Size[Price]))</f>
        <v/>
      </c>
      <c r="G285" s="212" t="str">
        <f aca="false">IF('Bulk Order Details'!G295="","",_xlfn.xlookup('Bulk Order Details'!G295,Length[Display],Length[Price]))</f>
        <v/>
      </c>
      <c r="H285" s="212" t="str">
        <f aca="false">IF('Bulk Order Details'!H295="","",_xlfn.xlookup('Bulk Order Details'!H295,Collection[Display],Collection[Price]))</f>
        <v/>
      </c>
      <c r="I285" s="212" t="str">
        <f aca="false">IF('Bulk Order Details'!I295="","",_xlfn.xlookup('Bulk Order Details'!I295,Sleeve[Display],Sleeve[Price]))</f>
        <v/>
      </c>
      <c r="J285" s="212" t="str">
        <f aca="false">IF('Bulk Order Details'!J295="","",_xlfn.xlookup('Bulk Order Details'!J295,Collar[Display],Collar[Price]))</f>
        <v/>
      </c>
      <c r="K285" s="212" t="str">
        <f aca="false">IF('Bulk Order Details'!K295="","",_xlfn.xlookup("Name",Name[Name],Name[Price]))</f>
        <v/>
      </c>
      <c r="L285" s="213" t="str">
        <f aca="false">IFERROR(IF('Bulk Order Details'!O295="","",IF(_xlfn.xlookup('Bulk Order Details'!O295,Logos[Display],Logos[Use])="Flat",_xlfn.xlookup('Bulk Order Details'!O295,Logos[Display],Logos[Flat]),ROUND(_xlfn.xlookup('Bulk Order Details'!O295,Logos[Display],Logos[Pct])*$E285,2))),"")</f>
        <v/>
      </c>
      <c r="M285" s="222" t="str">
        <f aca="false">IFERROR(IF('Bulk Order Details'!P295="","",IF(_xlfn.xlookup('Bulk Order Details'!P295,Chest[Display],Chest[Use])="Flat",_xlfn.xlookup('Bulk Order Details'!P295,Chest[Display],Chest[Flat]),ROUND(_xlfn.xlookup('Bulk Order Details'!P295,Chest[Display],Chest[Pct])*$E285,2))),"")</f>
        <v/>
      </c>
      <c r="N285" s="222" t="str">
        <f aca="false">IFERROR(IF('Bulk Order Details'!Q295="","",IF(_xlfn.xlookup('Bulk Order Details'!Q295,Chest[Display],Chest[Use])="Flat",_xlfn.xlookup('Bulk Order Details'!Q295,Chest[Display],Chest[Flat]),ROUND(_xlfn.xlookup('Bulk Order Details'!Q295,Chest[Display],Chest[Pct])*$E285,2))),"")</f>
        <v/>
      </c>
      <c r="O285" s="222" t="str">
        <f aca="false">IFERROR(IF('Bulk Order Details'!R295="","",IF(_xlfn.xlookup('Bulk Order Details'!R295,LeftSleeve[Display],LeftSleeve[Use])="Flat",_xlfn.xlookup('Bulk Order Details'!R295,LeftSleeve[Display],LeftSleeve[Flat]),ROUND(_xlfn.xlookup('Bulk Order Details'!R295,LeftSleeve[Display],LeftSleeve[Pct])*$E285,2))),"")</f>
        <v/>
      </c>
      <c r="P285" s="222" t="str">
        <f aca="false">IFERROR(IF('Bulk Order Details'!S295="","",IF(_xlfn.xlookup('Bulk Order Details'!S295,RightSleeve[Display],RightSleeve[Use])="Flat",_xlfn.xlookup('Bulk Order Details'!S295,RightSleeve[Display],RightSleeve[Flat]),ROUND(_xlfn.xlookup('Bulk Order Details'!S295,RightSleeve[Display],RightSleeve[Pct])*$E285,2))),"")</f>
        <v/>
      </c>
      <c r="Q285" s="214" t="str">
        <f aca="false">IF('Bulk Order Details'!J295="","",SUM(F285:P285))</f>
        <v/>
      </c>
      <c r="R285" s="213" t="str">
        <f aca="false">IFERROR(E285-D285,"")</f>
        <v/>
      </c>
      <c r="S285" s="215" t="str">
        <f aca="false">IFERROR(MIN(IF(Summary!$D$11="Yes",-J285,0),IF(H285&gt;0,-J285,0)),"")</f>
        <v/>
      </c>
      <c r="T285" s="212" t="str">
        <f aca="false">IFERROR(IF(Summary!$D$10="Yes",-K285,""),"")</f>
        <v/>
      </c>
      <c r="U285" s="213" t="str">
        <f aca="false">IFERROR(IF(Summary!$D$12="Yes",-L285,""),"")</f>
        <v/>
      </c>
      <c r="V285" s="216" t="str">
        <f aca="false">IF('Bulk Order Details'!J295="","",SUM(R285:U285))</f>
        <v/>
      </c>
      <c r="W285" s="217" t="str">
        <f aca="false">IF('Bulk Order Details'!J295="","",D285+Q285)</f>
        <v/>
      </c>
      <c r="X285" s="218" t="str">
        <f aca="false">IF('Bulk Order Details'!J295="","",D285+Q285+V285)</f>
        <v/>
      </c>
      <c r="Y285" s="219" t="str">
        <f aca="false">IFERROR((W285-X285)/W285,"")</f>
        <v/>
      </c>
      <c r="Z285" s="220" t="str">
        <f aca="false">IF('Bulk Order Details'!J295="","",MAX(1,'Bulk Order Details'!D295))</f>
        <v/>
      </c>
      <c r="AA285" s="217" t="str">
        <f aca="false">IF(Pricing_Details[[#This Row],[Quantity]]="","",Pricing_Details[[#This Row],[Retail Price]]*Pricing_Details[[#This Row],[Quantity]])</f>
        <v/>
      </c>
      <c r="AB285" s="217" t="str">
        <f aca="false">IF(Pricing_Details[[#This Row],[Quantity]]="","",Pricing_Details[[#This Row],[Total Discount]]*Pricing_Details[[#This Row],[Quantity]])</f>
        <v/>
      </c>
      <c r="AC285" s="221" t="str">
        <f aca="false">IFERROR(ROUND(Pricing_Details[[#This Row],[Actual Price]]*Pricing_Details[[#This Row],[Quantity]],2),"")</f>
        <v/>
      </c>
      <c r="AE285" s="179" t="str">
        <f aca="false">IF('Bulk Order Details'!J295="","",VLOOKUP('Bulk Order Details'!H295,Collection[],3)&amp;VLOOKUP('Bulk Order Details'!J295,Collar[],4)&amp;VLOOKUP('Bulk Order Details'!I295,Sleeve[],4))</f>
        <v/>
      </c>
      <c r="AF285" s="179" t="str">
        <f aca="false">IF('Bulk Order Details'!J295="","",LOOKUP('Bulk Order Details'!E295,Cut[Display],Cut[Code])&amp;LOOKUP('Bulk Order Details'!F295,#REF!,#REF!)&amp;IF('Bulk Order Details'!G295="","",LOOKUP('Bulk Order Details'!G295,Length[Display],Length[Code])))</f>
        <v/>
      </c>
      <c r="AG285" s="179" t="str">
        <f aca="false">IF('Bulk Order Details'!J295="","",IF('Bulk Order Details'!C295="","",'Bulk Order Details'!C295))</f>
        <v/>
      </c>
      <c r="AH285" s="179" t="str">
        <f aca="false">IF('Bulk Order Details'!O295="","","-"&amp;LOOKUP('Bulk Order Details'!O295,#REF!,#REF!))</f>
        <v/>
      </c>
      <c r="AI285" s="179" t="str">
        <f aca="false">IF('Bulk Order Details'!P295="","","-"&amp;LOOKUP('Bulk Order Details'!P295,#REF!,#REF!))</f>
        <v/>
      </c>
      <c r="AJ285" s="179" t="str">
        <f aca="false">IF('Bulk Order Details'!Q295="","","-"&amp;LOOKUP('Bulk Order Details'!Q295,#REF!,#REF!))</f>
        <v/>
      </c>
      <c r="AK285" s="179" t="str">
        <f aca="false">IF('Bulk Order Details'!R295="","","-"&amp;LOOKUP('Bulk Order Details'!R295,#REF!,#REF!))</f>
        <v/>
      </c>
      <c r="AL285" s="179" t="str">
        <f aca="false">IF('Bulk Order Details'!S295="","","-"&amp;LOOKUP('Bulk Order Details'!S295,#REF!,#REF!))</f>
        <v/>
      </c>
      <c r="AM285" s="179" t="str">
        <f aca="false">IF(_xlfn.CONCAT(AH285:AL285)="","","Lo"&amp;_xlfn.CONCAT(AH285:AL285))</f>
        <v/>
      </c>
      <c r="AN285" s="179" t="str">
        <f aca="false">IF('Bulk Order Details'!K295="","","Na-"&amp;'Bulk Order Details'!K295)</f>
        <v/>
      </c>
      <c r="AO285" s="179" t="str">
        <f aca="false">IF('Bulk Order Details'!N295="","","Fo-"&amp;'Bulk Order Details'!N295)</f>
        <v/>
      </c>
      <c r="AP285" s="179" t="str">
        <f aca="false">IF(AE285="","",AE285&amp;"_"&amp;AF285&amp;"_"&amp;AG285&amp;IF(AM285="","","_"&amp;AM285)&amp;IF(AN285="","","_"&amp;AN285)&amp;IF(AO285="","","_"&amp;AO285))</f>
        <v/>
      </c>
      <c r="AQ285" s="218" t="str">
        <f aca="false">IF(X285="","",X285)</f>
        <v/>
      </c>
    </row>
    <row r="286" customFormat="false" ht="15" hidden="false" customHeight="true" outlineLevel="0" collapsed="false">
      <c r="B286" s="209" t="n">
        <f aca="false">'Bulk Order Details'!B296</f>
        <v>283</v>
      </c>
      <c r="C286" s="209" t="e">
        <f aca="false">IF('bulk order details'!#ref!="","",'bulk order details'!#ref!&amp;" "&amp;'bulk order details'!#ref!)</f>
        <v>#VALUE!</v>
      </c>
      <c r="D286" s="210" t="str">
        <f aca="false">IF('Bulk Order Details'!J296="","",VLOOKUP(1,Price[],3))</f>
        <v/>
      </c>
      <c r="E286" s="211" t="str">
        <f aca="false">IF('Bulk Order Details'!J296="","",Summary!$D$9)</f>
        <v/>
      </c>
      <c r="F286" s="212" t="str">
        <f aca="false">IF('Bulk Order Details'!F296="","",_xlfn.xlookup('Bulk Order Details'!F296,Size[Display],Size[Price]))</f>
        <v/>
      </c>
      <c r="G286" s="212" t="str">
        <f aca="false">IF('Bulk Order Details'!G296="","",_xlfn.xlookup('Bulk Order Details'!G296,Length[Display],Length[Price]))</f>
        <v/>
      </c>
      <c r="H286" s="212" t="str">
        <f aca="false">IF('Bulk Order Details'!H296="","",_xlfn.xlookup('Bulk Order Details'!H296,Collection[Display],Collection[Price]))</f>
        <v/>
      </c>
      <c r="I286" s="212" t="str">
        <f aca="false">IF('Bulk Order Details'!I296="","",_xlfn.xlookup('Bulk Order Details'!I296,Sleeve[Display],Sleeve[Price]))</f>
        <v/>
      </c>
      <c r="J286" s="212" t="str">
        <f aca="false">IF('Bulk Order Details'!J296="","",_xlfn.xlookup('Bulk Order Details'!J296,Collar[Display],Collar[Price]))</f>
        <v/>
      </c>
      <c r="K286" s="212" t="str">
        <f aca="false">IF('Bulk Order Details'!K296="","",_xlfn.xlookup("Name",Name[Name],Name[Price]))</f>
        <v/>
      </c>
      <c r="L286" s="213" t="str">
        <f aca="false">IFERROR(IF('Bulk Order Details'!O296="","",IF(_xlfn.xlookup('Bulk Order Details'!O296,Logos[Display],Logos[Use])="Flat",_xlfn.xlookup('Bulk Order Details'!O296,Logos[Display],Logos[Flat]),ROUND(_xlfn.xlookup('Bulk Order Details'!O296,Logos[Display],Logos[Pct])*$E286,2))),"")</f>
        <v/>
      </c>
      <c r="M286" s="222" t="str">
        <f aca="false">IFERROR(IF('Bulk Order Details'!P296="","",IF(_xlfn.xlookup('Bulk Order Details'!P296,Chest[Display],Chest[Use])="Flat",_xlfn.xlookup('Bulk Order Details'!P296,Chest[Display],Chest[Flat]),ROUND(_xlfn.xlookup('Bulk Order Details'!P296,Chest[Display],Chest[Pct])*$E286,2))),"")</f>
        <v/>
      </c>
      <c r="N286" s="222" t="str">
        <f aca="false">IFERROR(IF('Bulk Order Details'!Q296="","",IF(_xlfn.xlookup('Bulk Order Details'!Q296,Chest[Display],Chest[Use])="Flat",_xlfn.xlookup('Bulk Order Details'!Q296,Chest[Display],Chest[Flat]),ROUND(_xlfn.xlookup('Bulk Order Details'!Q296,Chest[Display],Chest[Pct])*$E286,2))),"")</f>
        <v/>
      </c>
      <c r="O286" s="222" t="str">
        <f aca="false">IFERROR(IF('Bulk Order Details'!R296="","",IF(_xlfn.xlookup('Bulk Order Details'!R296,LeftSleeve[Display],LeftSleeve[Use])="Flat",_xlfn.xlookup('Bulk Order Details'!R296,LeftSleeve[Display],LeftSleeve[Flat]),ROUND(_xlfn.xlookup('Bulk Order Details'!R296,LeftSleeve[Display],LeftSleeve[Pct])*$E286,2))),"")</f>
        <v/>
      </c>
      <c r="P286" s="222" t="str">
        <f aca="false">IFERROR(IF('Bulk Order Details'!S296="","",IF(_xlfn.xlookup('Bulk Order Details'!S296,RightSleeve[Display],RightSleeve[Use])="Flat",_xlfn.xlookup('Bulk Order Details'!S296,RightSleeve[Display],RightSleeve[Flat]),ROUND(_xlfn.xlookup('Bulk Order Details'!S296,RightSleeve[Display],RightSleeve[Pct])*$E286,2))),"")</f>
        <v/>
      </c>
      <c r="Q286" s="214" t="str">
        <f aca="false">IF('Bulk Order Details'!J296="","",SUM(F286:P286))</f>
        <v/>
      </c>
      <c r="R286" s="213" t="str">
        <f aca="false">IFERROR(E286-D286,"")</f>
        <v/>
      </c>
      <c r="S286" s="215" t="str">
        <f aca="false">IFERROR(MIN(IF(Summary!$D$11="Yes",-J286,0),IF(H286&gt;0,-J286,0)),"")</f>
        <v/>
      </c>
      <c r="T286" s="212" t="str">
        <f aca="false">IFERROR(IF(Summary!$D$10="Yes",-K286,""),"")</f>
        <v/>
      </c>
      <c r="U286" s="213" t="str">
        <f aca="false">IFERROR(IF(Summary!$D$12="Yes",-L286,""),"")</f>
        <v/>
      </c>
      <c r="V286" s="216" t="str">
        <f aca="false">IF('Bulk Order Details'!J296="","",SUM(R286:U286))</f>
        <v/>
      </c>
      <c r="W286" s="217" t="str">
        <f aca="false">IF('Bulk Order Details'!J296="","",D286+Q286)</f>
        <v/>
      </c>
      <c r="X286" s="218" t="str">
        <f aca="false">IF('Bulk Order Details'!J296="","",D286+Q286+V286)</f>
        <v/>
      </c>
      <c r="Y286" s="219" t="str">
        <f aca="false">IFERROR((W286-X286)/W286,"")</f>
        <v/>
      </c>
      <c r="Z286" s="220" t="str">
        <f aca="false">IF('Bulk Order Details'!J296="","",MAX(1,'Bulk Order Details'!D296))</f>
        <v/>
      </c>
      <c r="AA286" s="217" t="str">
        <f aca="false">IF(Pricing_Details[[#This Row],[Quantity]]="","",Pricing_Details[[#This Row],[Retail Price]]*Pricing_Details[[#This Row],[Quantity]])</f>
        <v/>
      </c>
      <c r="AB286" s="217" t="str">
        <f aca="false">IF(Pricing_Details[[#This Row],[Quantity]]="","",Pricing_Details[[#This Row],[Total Discount]]*Pricing_Details[[#This Row],[Quantity]])</f>
        <v/>
      </c>
      <c r="AC286" s="221" t="str">
        <f aca="false">IFERROR(ROUND(Pricing_Details[[#This Row],[Actual Price]]*Pricing_Details[[#This Row],[Quantity]],2),"")</f>
        <v/>
      </c>
      <c r="AE286" s="179" t="str">
        <f aca="false">IF('Bulk Order Details'!J296="","",VLOOKUP('Bulk Order Details'!H296,Collection[],3)&amp;VLOOKUP('Bulk Order Details'!J296,Collar[],4)&amp;VLOOKUP('Bulk Order Details'!I296,Sleeve[],4))</f>
        <v/>
      </c>
      <c r="AF286" s="179" t="str">
        <f aca="false">IF('Bulk Order Details'!J296="","",LOOKUP('Bulk Order Details'!E296,Cut[Display],Cut[Code])&amp;LOOKUP('Bulk Order Details'!F296,#REF!,#REF!)&amp;IF('Bulk Order Details'!G296="","",LOOKUP('Bulk Order Details'!G296,Length[Display],Length[Code])))</f>
        <v/>
      </c>
      <c r="AG286" s="179" t="str">
        <f aca="false">IF('Bulk Order Details'!J296="","",IF('Bulk Order Details'!C296="","",'Bulk Order Details'!C296))</f>
        <v/>
      </c>
      <c r="AH286" s="179" t="str">
        <f aca="false">IF('Bulk Order Details'!O296="","","-"&amp;LOOKUP('Bulk Order Details'!O296,#REF!,#REF!))</f>
        <v/>
      </c>
      <c r="AI286" s="179" t="str">
        <f aca="false">IF('Bulk Order Details'!P296="","","-"&amp;LOOKUP('Bulk Order Details'!P296,#REF!,#REF!))</f>
        <v/>
      </c>
      <c r="AJ286" s="179" t="str">
        <f aca="false">IF('Bulk Order Details'!Q296="","","-"&amp;LOOKUP('Bulk Order Details'!Q296,#REF!,#REF!))</f>
        <v/>
      </c>
      <c r="AK286" s="179" t="str">
        <f aca="false">IF('Bulk Order Details'!R296="","","-"&amp;LOOKUP('Bulk Order Details'!R296,#REF!,#REF!))</f>
        <v/>
      </c>
      <c r="AL286" s="179" t="str">
        <f aca="false">IF('Bulk Order Details'!S296="","","-"&amp;LOOKUP('Bulk Order Details'!S296,#REF!,#REF!))</f>
        <v/>
      </c>
      <c r="AM286" s="179" t="str">
        <f aca="false">IF(_xlfn.CONCAT(AH286:AL286)="","","Lo"&amp;_xlfn.CONCAT(AH286:AL286))</f>
        <v/>
      </c>
      <c r="AN286" s="179" t="str">
        <f aca="false">IF('Bulk Order Details'!K296="","","Na-"&amp;'Bulk Order Details'!K296)</f>
        <v/>
      </c>
      <c r="AO286" s="179" t="str">
        <f aca="false">IF('Bulk Order Details'!N296="","","Fo-"&amp;'Bulk Order Details'!N296)</f>
        <v/>
      </c>
      <c r="AP286" s="179" t="str">
        <f aca="false">IF(AE286="","",AE286&amp;"_"&amp;AF286&amp;"_"&amp;AG286&amp;IF(AM286="","","_"&amp;AM286)&amp;IF(AN286="","","_"&amp;AN286)&amp;IF(AO286="","","_"&amp;AO286))</f>
        <v/>
      </c>
      <c r="AQ286" s="218" t="str">
        <f aca="false">IF(X286="","",X286)</f>
        <v/>
      </c>
    </row>
    <row r="287" customFormat="false" ht="15" hidden="false" customHeight="true" outlineLevel="0" collapsed="false">
      <c r="B287" s="209" t="n">
        <f aca="false">'Bulk Order Details'!B297</f>
        <v>284</v>
      </c>
      <c r="C287" s="209" t="e">
        <f aca="false">IF('bulk order details'!#ref!="","",'bulk order details'!#ref!&amp;" "&amp;'bulk order details'!#ref!)</f>
        <v>#VALUE!</v>
      </c>
      <c r="D287" s="210" t="str">
        <f aca="false">IF('Bulk Order Details'!J297="","",VLOOKUP(1,Price[],3))</f>
        <v/>
      </c>
      <c r="E287" s="211" t="str">
        <f aca="false">IF('Bulk Order Details'!J297="","",Summary!$D$9)</f>
        <v/>
      </c>
      <c r="F287" s="212" t="str">
        <f aca="false">IF('Bulk Order Details'!F297="","",_xlfn.xlookup('Bulk Order Details'!F297,Size[Display],Size[Price]))</f>
        <v/>
      </c>
      <c r="G287" s="212" t="str">
        <f aca="false">IF('Bulk Order Details'!G297="","",_xlfn.xlookup('Bulk Order Details'!G297,Length[Display],Length[Price]))</f>
        <v/>
      </c>
      <c r="H287" s="212" t="str">
        <f aca="false">IF('Bulk Order Details'!H297="","",_xlfn.xlookup('Bulk Order Details'!H297,Collection[Display],Collection[Price]))</f>
        <v/>
      </c>
      <c r="I287" s="212" t="str">
        <f aca="false">IF('Bulk Order Details'!I297="","",_xlfn.xlookup('Bulk Order Details'!I297,Sleeve[Display],Sleeve[Price]))</f>
        <v/>
      </c>
      <c r="J287" s="212" t="str">
        <f aca="false">IF('Bulk Order Details'!J297="","",_xlfn.xlookup('Bulk Order Details'!J297,Collar[Display],Collar[Price]))</f>
        <v/>
      </c>
      <c r="K287" s="212" t="str">
        <f aca="false">IF('Bulk Order Details'!K297="","",_xlfn.xlookup("Name",Name[Name],Name[Price]))</f>
        <v/>
      </c>
      <c r="L287" s="213" t="str">
        <f aca="false">IFERROR(IF('Bulk Order Details'!O297="","",IF(_xlfn.xlookup('Bulk Order Details'!O297,Logos[Display],Logos[Use])="Flat",_xlfn.xlookup('Bulk Order Details'!O297,Logos[Display],Logos[Flat]),ROUND(_xlfn.xlookup('Bulk Order Details'!O297,Logos[Display],Logos[Pct])*$E287,2))),"")</f>
        <v/>
      </c>
      <c r="M287" s="222" t="str">
        <f aca="false">IFERROR(IF('Bulk Order Details'!P297="","",IF(_xlfn.xlookup('Bulk Order Details'!P297,Chest[Display],Chest[Use])="Flat",_xlfn.xlookup('Bulk Order Details'!P297,Chest[Display],Chest[Flat]),ROUND(_xlfn.xlookup('Bulk Order Details'!P297,Chest[Display],Chest[Pct])*$E287,2))),"")</f>
        <v/>
      </c>
      <c r="N287" s="222" t="str">
        <f aca="false">IFERROR(IF('Bulk Order Details'!Q297="","",IF(_xlfn.xlookup('Bulk Order Details'!Q297,Chest[Display],Chest[Use])="Flat",_xlfn.xlookup('Bulk Order Details'!Q297,Chest[Display],Chest[Flat]),ROUND(_xlfn.xlookup('Bulk Order Details'!Q297,Chest[Display],Chest[Pct])*$E287,2))),"")</f>
        <v/>
      </c>
      <c r="O287" s="222" t="str">
        <f aca="false">IFERROR(IF('Bulk Order Details'!R297="","",IF(_xlfn.xlookup('Bulk Order Details'!R297,LeftSleeve[Display],LeftSleeve[Use])="Flat",_xlfn.xlookup('Bulk Order Details'!R297,LeftSleeve[Display],LeftSleeve[Flat]),ROUND(_xlfn.xlookup('Bulk Order Details'!R297,LeftSleeve[Display],LeftSleeve[Pct])*$E287,2))),"")</f>
        <v/>
      </c>
      <c r="P287" s="222" t="str">
        <f aca="false">IFERROR(IF('Bulk Order Details'!S297="","",IF(_xlfn.xlookup('Bulk Order Details'!S297,RightSleeve[Display],RightSleeve[Use])="Flat",_xlfn.xlookup('Bulk Order Details'!S297,RightSleeve[Display],RightSleeve[Flat]),ROUND(_xlfn.xlookup('Bulk Order Details'!S297,RightSleeve[Display],RightSleeve[Pct])*$E287,2))),"")</f>
        <v/>
      </c>
      <c r="Q287" s="214" t="str">
        <f aca="false">IF('Bulk Order Details'!J297="","",SUM(F287:P287))</f>
        <v/>
      </c>
      <c r="R287" s="213" t="str">
        <f aca="false">IFERROR(E287-D287,"")</f>
        <v/>
      </c>
      <c r="S287" s="215" t="str">
        <f aca="false">IFERROR(MIN(IF(Summary!$D$11="Yes",-J287,0),IF(H287&gt;0,-J287,0)),"")</f>
        <v/>
      </c>
      <c r="T287" s="212" t="str">
        <f aca="false">IFERROR(IF(Summary!$D$10="Yes",-K287,""),"")</f>
        <v/>
      </c>
      <c r="U287" s="213" t="str">
        <f aca="false">IFERROR(IF(Summary!$D$12="Yes",-L287,""),"")</f>
        <v/>
      </c>
      <c r="V287" s="216" t="str">
        <f aca="false">IF('Bulk Order Details'!J297="","",SUM(R287:U287))</f>
        <v/>
      </c>
      <c r="W287" s="217" t="str">
        <f aca="false">IF('Bulk Order Details'!J297="","",D287+Q287)</f>
        <v/>
      </c>
      <c r="X287" s="218" t="str">
        <f aca="false">IF('Bulk Order Details'!J297="","",D287+Q287+V287)</f>
        <v/>
      </c>
      <c r="Y287" s="219" t="str">
        <f aca="false">IFERROR((W287-X287)/W287,"")</f>
        <v/>
      </c>
      <c r="Z287" s="220" t="str">
        <f aca="false">IF('Bulk Order Details'!J297="","",MAX(1,'Bulk Order Details'!D297))</f>
        <v/>
      </c>
      <c r="AA287" s="217" t="str">
        <f aca="false">IF(Pricing_Details[[#This Row],[Quantity]]="","",Pricing_Details[[#This Row],[Retail Price]]*Pricing_Details[[#This Row],[Quantity]])</f>
        <v/>
      </c>
      <c r="AB287" s="217" t="str">
        <f aca="false">IF(Pricing_Details[[#This Row],[Quantity]]="","",Pricing_Details[[#This Row],[Total Discount]]*Pricing_Details[[#This Row],[Quantity]])</f>
        <v/>
      </c>
      <c r="AC287" s="221" t="str">
        <f aca="false">IFERROR(ROUND(Pricing_Details[[#This Row],[Actual Price]]*Pricing_Details[[#This Row],[Quantity]],2),"")</f>
        <v/>
      </c>
      <c r="AE287" s="179" t="str">
        <f aca="false">IF('Bulk Order Details'!J297="","",VLOOKUP('Bulk Order Details'!H297,Collection[],3)&amp;VLOOKUP('Bulk Order Details'!J297,Collar[],4)&amp;VLOOKUP('Bulk Order Details'!I297,Sleeve[],4))</f>
        <v/>
      </c>
      <c r="AF287" s="179" t="str">
        <f aca="false">IF('Bulk Order Details'!J297="","",LOOKUP('Bulk Order Details'!E297,Cut[Display],Cut[Code])&amp;LOOKUP('Bulk Order Details'!F297,#REF!,#REF!)&amp;IF('Bulk Order Details'!G297="","",LOOKUP('Bulk Order Details'!G297,Length[Display],Length[Code])))</f>
        <v/>
      </c>
      <c r="AG287" s="179" t="str">
        <f aca="false">IF('Bulk Order Details'!J297="","",IF('Bulk Order Details'!C297="","",'Bulk Order Details'!C297))</f>
        <v/>
      </c>
      <c r="AH287" s="179" t="str">
        <f aca="false">IF('Bulk Order Details'!O297="","","-"&amp;LOOKUP('Bulk Order Details'!O297,#REF!,#REF!))</f>
        <v/>
      </c>
      <c r="AI287" s="179" t="str">
        <f aca="false">IF('Bulk Order Details'!P297="","","-"&amp;LOOKUP('Bulk Order Details'!P297,#REF!,#REF!))</f>
        <v/>
      </c>
      <c r="AJ287" s="179" t="str">
        <f aca="false">IF('Bulk Order Details'!Q297="","","-"&amp;LOOKUP('Bulk Order Details'!Q297,#REF!,#REF!))</f>
        <v/>
      </c>
      <c r="AK287" s="179" t="str">
        <f aca="false">IF('Bulk Order Details'!R297="","","-"&amp;LOOKUP('Bulk Order Details'!R297,#REF!,#REF!))</f>
        <v/>
      </c>
      <c r="AL287" s="179" t="str">
        <f aca="false">IF('Bulk Order Details'!S297="","","-"&amp;LOOKUP('Bulk Order Details'!S297,#REF!,#REF!))</f>
        <v/>
      </c>
      <c r="AM287" s="179" t="str">
        <f aca="false">IF(_xlfn.CONCAT(AH287:AL287)="","","Lo"&amp;_xlfn.CONCAT(AH287:AL287))</f>
        <v/>
      </c>
      <c r="AN287" s="179" t="str">
        <f aca="false">IF('Bulk Order Details'!K297="","","Na-"&amp;'Bulk Order Details'!K297)</f>
        <v/>
      </c>
      <c r="AO287" s="179" t="str">
        <f aca="false">IF('Bulk Order Details'!N297="","","Fo-"&amp;'Bulk Order Details'!N297)</f>
        <v/>
      </c>
      <c r="AP287" s="179" t="str">
        <f aca="false">IF(AE287="","",AE287&amp;"_"&amp;AF287&amp;"_"&amp;AG287&amp;IF(AM287="","","_"&amp;AM287)&amp;IF(AN287="","","_"&amp;AN287)&amp;IF(AO287="","","_"&amp;AO287))</f>
        <v/>
      </c>
      <c r="AQ287" s="218" t="str">
        <f aca="false">IF(X287="","",X287)</f>
        <v/>
      </c>
    </row>
    <row r="288" customFormat="false" ht="15" hidden="false" customHeight="true" outlineLevel="0" collapsed="false">
      <c r="B288" s="209" t="n">
        <f aca="false">'Bulk Order Details'!B298</f>
        <v>285</v>
      </c>
      <c r="C288" s="209" t="e">
        <f aca="false">IF('bulk order details'!#ref!="","",'bulk order details'!#ref!&amp;" "&amp;'bulk order details'!#ref!)</f>
        <v>#VALUE!</v>
      </c>
      <c r="D288" s="210" t="str">
        <f aca="false">IF('Bulk Order Details'!J298="","",VLOOKUP(1,Price[],3))</f>
        <v/>
      </c>
      <c r="E288" s="211" t="str">
        <f aca="false">IF('Bulk Order Details'!J298="","",Summary!$D$9)</f>
        <v/>
      </c>
      <c r="F288" s="212" t="str">
        <f aca="false">IF('Bulk Order Details'!F298="","",_xlfn.xlookup('Bulk Order Details'!F298,Size[Display],Size[Price]))</f>
        <v/>
      </c>
      <c r="G288" s="212" t="str">
        <f aca="false">IF('Bulk Order Details'!G298="","",_xlfn.xlookup('Bulk Order Details'!G298,Length[Display],Length[Price]))</f>
        <v/>
      </c>
      <c r="H288" s="212" t="str">
        <f aca="false">IF('Bulk Order Details'!H298="","",_xlfn.xlookup('Bulk Order Details'!H298,Collection[Display],Collection[Price]))</f>
        <v/>
      </c>
      <c r="I288" s="212" t="str">
        <f aca="false">IF('Bulk Order Details'!I298="","",_xlfn.xlookup('Bulk Order Details'!I298,Sleeve[Display],Sleeve[Price]))</f>
        <v/>
      </c>
      <c r="J288" s="212" t="str">
        <f aca="false">IF('Bulk Order Details'!J298="","",_xlfn.xlookup('Bulk Order Details'!J298,Collar[Display],Collar[Price]))</f>
        <v/>
      </c>
      <c r="K288" s="212" t="str">
        <f aca="false">IF('Bulk Order Details'!K298="","",_xlfn.xlookup("Name",Name[Name],Name[Price]))</f>
        <v/>
      </c>
      <c r="L288" s="213" t="str">
        <f aca="false">IFERROR(IF('Bulk Order Details'!O298="","",IF(_xlfn.xlookup('Bulk Order Details'!O298,Logos[Display],Logos[Use])="Flat",_xlfn.xlookup('Bulk Order Details'!O298,Logos[Display],Logos[Flat]),ROUND(_xlfn.xlookup('Bulk Order Details'!O298,Logos[Display],Logos[Pct])*$E288,2))),"")</f>
        <v/>
      </c>
      <c r="M288" s="222" t="str">
        <f aca="false">IFERROR(IF('Bulk Order Details'!P298="","",IF(_xlfn.xlookup('Bulk Order Details'!P298,Chest[Display],Chest[Use])="Flat",_xlfn.xlookup('Bulk Order Details'!P298,Chest[Display],Chest[Flat]),ROUND(_xlfn.xlookup('Bulk Order Details'!P298,Chest[Display],Chest[Pct])*$E288,2))),"")</f>
        <v/>
      </c>
      <c r="N288" s="222" t="str">
        <f aca="false">IFERROR(IF('Bulk Order Details'!Q298="","",IF(_xlfn.xlookup('Bulk Order Details'!Q298,Chest[Display],Chest[Use])="Flat",_xlfn.xlookup('Bulk Order Details'!Q298,Chest[Display],Chest[Flat]),ROUND(_xlfn.xlookup('Bulk Order Details'!Q298,Chest[Display],Chest[Pct])*$E288,2))),"")</f>
        <v/>
      </c>
      <c r="O288" s="222" t="str">
        <f aca="false">IFERROR(IF('Bulk Order Details'!R298="","",IF(_xlfn.xlookup('Bulk Order Details'!R298,LeftSleeve[Display],LeftSleeve[Use])="Flat",_xlfn.xlookup('Bulk Order Details'!R298,LeftSleeve[Display],LeftSleeve[Flat]),ROUND(_xlfn.xlookup('Bulk Order Details'!R298,LeftSleeve[Display],LeftSleeve[Pct])*$E288,2))),"")</f>
        <v/>
      </c>
      <c r="P288" s="222" t="str">
        <f aca="false">IFERROR(IF('Bulk Order Details'!S298="","",IF(_xlfn.xlookup('Bulk Order Details'!S298,RightSleeve[Display],RightSleeve[Use])="Flat",_xlfn.xlookup('Bulk Order Details'!S298,RightSleeve[Display],RightSleeve[Flat]),ROUND(_xlfn.xlookup('Bulk Order Details'!S298,RightSleeve[Display],RightSleeve[Pct])*$E288,2))),"")</f>
        <v/>
      </c>
      <c r="Q288" s="214" t="str">
        <f aca="false">IF('Bulk Order Details'!J298="","",SUM(F288:P288))</f>
        <v/>
      </c>
      <c r="R288" s="213" t="str">
        <f aca="false">IFERROR(E288-D288,"")</f>
        <v/>
      </c>
      <c r="S288" s="215" t="str">
        <f aca="false">IFERROR(MIN(IF(Summary!$D$11="Yes",-J288,0),IF(H288&gt;0,-J288,0)),"")</f>
        <v/>
      </c>
      <c r="T288" s="212" t="str">
        <f aca="false">IFERROR(IF(Summary!$D$10="Yes",-K288,""),"")</f>
        <v/>
      </c>
      <c r="U288" s="213" t="str">
        <f aca="false">IFERROR(IF(Summary!$D$12="Yes",-L288,""),"")</f>
        <v/>
      </c>
      <c r="V288" s="216" t="str">
        <f aca="false">IF('Bulk Order Details'!J298="","",SUM(R288:U288))</f>
        <v/>
      </c>
      <c r="W288" s="217" t="str">
        <f aca="false">IF('Bulk Order Details'!J298="","",D288+Q288)</f>
        <v/>
      </c>
      <c r="X288" s="218" t="str">
        <f aca="false">IF('Bulk Order Details'!J298="","",D288+Q288+V288)</f>
        <v/>
      </c>
      <c r="Y288" s="219" t="str">
        <f aca="false">IFERROR((W288-X288)/W288,"")</f>
        <v/>
      </c>
      <c r="Z288" s="220" t="str">
        <f aca="false">IF('Bulk Order Details'!J298="","",MAX(1,'Bulk Order Details'!D298))</f>
        <v/>
      </c>
      <c r="AA288" s="217" t="str">
        <f aca="false">IF(Pricing_Details[[#This Row],[Quantity]]="","",Pricing_Details[[#This Row],[Retail Price]]*Pricing_Details[[#This Row],[Quantity]])</f>
        <v/>
      </c>
      <c r="AB288" s="217" t="str">
        <f aca="false">IF(Pricing_Details[[#This Row],[Quantity]]="","",Pricing_Details[[#This Row],[Total Discount]]*Pricing_Details[[#This Row],[Quantity]])</f>
        <v/>
      </c>
      <c r="AC288" s="221" t="str">
        <f aca="false">IFERROR(ROUND(Pricing_Details[[#This Row],[Actual Price]]*Pricing_Details[[#This Row],[Quantity]],2),"")</f>
        <v/>
      </c>
      <c r="AE288" s="179" t="str">
        <f aca="false">IF('Bulk Order Details'!J298="","",VLOOKUP('Bulk Order Details'!H298,Collection[],3)&amp;VLOOKUP('Bulk Order Details'!J298,Collar[],4)&amp;VLOOKUP('Bulk Order Details'!I298,Sleeve[],4))</f>
        <v/>
      </c>
      <c r="AF288" s="179" t="str">
        <f aca="false">IF('Bulk Order Details'!J298="","",LOOKUP('Bulk Order Details'!E298,Cut[Display],Cut[Code])&amp;LOOKUP('Bulk Order Details'!F298,#REF!,#REF!)&amp;IF('Bulk Order Details'!G298="","",LOOKUP('Bulk Order Details'!G298,Length[Display],Length[Code])))</f>
        <v/>
      </c>
      <c r="AG288" s="179" t="str">
        <f aca="false">IF('Bulk Order Details'!J298="","",IF('Bulk Order Details'!C298="","",'Bulk Order Details'!C298))</f>
        <v/>
      </c>
      <c r="AH288" s="179" t="str">
        <f aca="false">IF('Bulk Order Details'!O298="","","-"&amp;LOOKUP('Bulk Order Details'!O298,#REF!,#REF!))</f>
        <v/>
      </c>
      <c r="AI288" s="179" t="str">
        <f aca="false">IF('Bulk Order Details'!P298="","","-"&amp;LOOKUP('Bulk Order Details'!P298,#REF!,#REF!))</f>
        <v/>
      </c>
      <c r="AJ288" s="179" t="str">
        <f aca="false">IF('Bulk Order Details'!Q298="","","-"&amp;LOOKUP('Bulk Order Details'!Q298,#REF!,#REF!))</f>
        <v/>
      </c>
      <c r="AK288" s="179" t="str">
        <f aca="false">IF('Bulk Order Details'!R298="","","-"&amp;LOOKUP('Bulk Order Details'!R298,#REF!,#REF!))</f>
        <v/>
      </c>
      <c r="AL288" s="179" t="str">
        <f aca="false">IF('Bulk Order Details'!S298="","","-"&amp;LOOKUP('Bulk Order Details'!S298,#REF!,#REF!))</f>
        <v/>
      </c>
      <c r="AM288" s="179" t="str">
        <f aca="false">IF(_xlfn.CONCAT(AH288:AL288)="","","Lo"&amp;_xlfn.CONCAT(AH288:AL288))</f>
        <v/>
      </c>
      <c r="AN288" s="179" t="str">
        <f aca="false">IF('Bulk Order Details'!K298="","","Na-"&amp;'Bulk Order Details'!K298)</f>
        <v/>
      </c>
      <c r="AO288" s="179" t="str">
        <f aca="false">IF('Bulk Order Details'!N298="","","Fo-"&amp;'Bulk Order Details'!N298)</f>
        <v/>
      </c>
      <c r="AP288" s="179" t="str">
        <f aca="false">IF(AE288="","",AE288&amp;"_"&amp;AF288&amp;"_"&amp;AG288&amp;IF(AM288="","","_"&amp;AM288)&amp;IF(AN288="","","_"&amp;AN288)&amp;IF(AO288="","","_"&amp;AO288))</f>
        <v/>
      </c>
      <c r="AQ288" s="218" t="str">
        <f aca="false">IF(X288="","",X288)</f>
        <v/>
      </c>
    </row>
    <row r="289" customFormat="false" ht="15" hidden="false" customHeight="true" outlineLevel="0" collapsed="false">
      <c r="B289" s="209" t="n">
        <f aca="false">'Bulk Order Details'!B299</f>
        <v>286</v>
      </c>
      <c r="C289" s="209" t="e">
        <f aca="false">IF('bulk order details'!#ref!="","",'bulk order details'!#ref!&amp;" "&amp;'bulk order details'!#ref!)</f>
        <v>#VALUE!</v>
      </c>
      <c r="D289" s="210" t="str">
        <f aca="false">IF('Bulk Order Details'!J299="","",VLOOKUP(1,Price[],3))</f>
        <v/>
      </c>
      <c r="E289" s="211" t="str">
        <f aca="false">IF('Bulk Order Details'!J299="","",Summary!$D$9)</f>
        <v/>
      </c>
      <c r="F289" s="212" t="str">
        <f aca="false">IF('Bulk Order Details'!F299="","",_xlfn.xlookup('Bulk Order Details'!F299,Size[Display],Size[Price]))</f>
        <v/>
      </c>
      <c r="G289" s="212" t="str">
        <f aca="false">IF('Bulk Order Details'!G299="","",_xlfn.xlookup('Bulk Order Details'!G299,Length[Display],Length[Price]))</f>
        <v/>
      </c>
      <c r="H289" s="212" t="str">
        <f aca="false">IF('Bulk Order Details'!H299="","",_xlfn.xlookup('Bulk Order Details'!H299,Collection[Display],Collection[Price]))</f>
        <v/>
      </c>
      <c r="I289" s="212" t="str">
        <f aca="false">IF('Bulk Order Details'!I299="","",_xlfn.xlookup('Bulk Order Details'!I299,Sleeve[Display],Sleeve[Price]))</f>
        <v/>
      </c>
      <c r="J289" s="212" t="str">
        <f aca="false">IF('Bulk Order Details'!J299="","",_xlfn.xlookup('Bulk Order Details'!J299,Collar[Display],Collar[Price]))</f>
        <v/>
      </c>
      <c r="K289" s="212" t="str">
        <f aca="false">IF('Bulk Order Details'!K299="","",_xlfn.xlookup("Name",Name[Name],Name[Price]))</f>
        <v/>
      </c>
      <c r="L289" s="213" t="str">
        <f aca="false">IFERROR(IF('Bulk Order Details'!O299="","",IF(_xlfn.xlookup('Bulk Order Details'!O299,Logos[Display],Logos[Use])="Flat",_xlfn.xlookup('Bulk Order Details'!O299,Logos[Display],Logos[Flat]),ROUND(_xlfn.xlookup('Bulk Order Details'!O299,Logos[Display],Logos[Pct])*$E289,2))),"")</f>
        <v/>
      </c>
      <c r="M289" s="222" t="str">
        <f aca="false">IFERROR(IF('Bulk Order Details'!P299="","",IF(_xlfn.xlookup('Bulk Order Details'!P299,Chest[Display],Chest[Use])="Flat",_xlfn.xlookup('Bulk Order Details'!P299,Chest[Display],Chest[Flat]),ROUND(_xlfn.xlookup('Bulk Order Details'!P299,Chest[Display],Chest[Pct])*$E289,2))),"")</f>
        <v/>
      </c>
      <c r="N289" s="222" t="str">
        <f aca="false">IFERROR(IF('Bulk Order Details'!Q299="","",IF(_xlfn.xlookup('Bulk Order Details'!Q299,Chest[Display],Chest[Use])="Flat",_xlfn.xlookup('Bulk Order Details'!Q299,Chest[Display],Chest[Flat]),ROUND(_xlfn.xlookup('Bulk Order Details'!Q299,Chest[Display],Chest[Pct])*$E289,2))),"")</f>
        <v/>
      </c>
      <c r="O289" s="222" t="str">
        <f aca="false">IFERROR(IF('Bulk Order Details'!R299="","",IF(_xlfn.xlookup('Bulk Order Details'!R299,LeftSleeve[Display],LeftSleeve[Use])="Flat",_xlfn.xlookup('Bulk Order Details'!R299,LeftSleeve[Display],LeftSleeve[Flat]),ROUND(_xlfn.xlookup('Bulk Order Details'!R299,LeftSleeve[Display],LeftSleeve[Pct])*$E289,2))),"")</f>
        <v/>
      </c>
      <c r="P289" s="222" t="str">
        <f aca="false">IFERROR(IF('Bulk Order Details'!S299="","",IF(_xlfn.xlookup('Bulk Order Details'!S299,RightSleeve[Display],RightSleeve[Use])="Flat",_xlfn.xlookup('Bulk Order Details'!S299,RightSleeve[Display],RightSleeve[Flat]),ROUND(_xlfn.xlookup('Bulk Order Details'!S299,RightSleeve[Display],RightSleeve[Pct])*$E289,2))),"")</f>
        <v/>
      </c>
      <c r="Q289" s="214" t="str">
        <f aca="false">IF('Bulk Order Details'!J299="","",SUM(F289:P289))</f>
        <v/>
      </c>
      <c r="R289" s="213" t="str">
        <f aca="false">IFERROR(E289-D289,"")</f>
        <v/>
      </c>
      <c r="S289" s="215" t="str">
        <f aca="false">IFERROR(MIN(IF(Summary!$D$11="Yes",-J289,0),IF(H289&gt;0,-J289,0)),"")</f>
        <v/>
      </c>
      <c r="T289" s="212" t="str">
        <f aca="false">IFERROR(IF(Summary!$D$10="Yes",-K289,""),"")</f>
        <v/>
      </c>
      <c r="U289" s="213" t="str">
        <f aca="false">IFERROR(IF(Summary!$D$12="Yes",-L289,""),"")</f>
        <v/>
      </c>
      <c r="V289" s="216" t="str">
        <f aca="false">IF('Bulk Order Details'!J299="","",SUM(R289:U289))</f>
        <v/>
      </c>
      <c r="W289" s="217" t="str">
        <f aca="false">IF('Bulk Order Details'!J299="","",D289+Q289)</f>
        <v/>
      </c>
      <c r="X289" s="218" t="str">
        <f aca="false">IF('Bulk Order Details'!J299="","",D289+Q289+V289)</f>
        <v/>
      </c>
      <c r="Y289" s="219" t="str">
        <f aca="false">IFERROR((W289-X289)/W289,"")</f>
        <v/>
      </c>
      <c r="Z289" s="220" t="str">
        <f aca="false">IF('Bulk Order Details'!J299="","",MAX(1,'Bulk Order Details'!D299))</f>
        <v/>
      </c>
      <c r="AA289" s="217" t="str">
        <f aca="false">IF(Pricing_Details[[#This Row],[Quantity]]="","",Pricing_Details[[#This Row],[Retail Price]]*Pricing_Details[[#This Row],[Quantity]])</f>
        <v/>
      </c>
      <c r="AB289" s="217" t="str">
        <f aca="false">IF(Pricing_Details[[#This Row],[Quantity]]="","",Pricing_Details[[#This Row],[Total Discount]]*Pricing_Details[[#This Row],[Quantity]])</f>
        <v/>
      </c>
      <c r="AC289" s="221" t="str">
        <f aca="false">IFERROR(ROUND(Pricing_Details[[#This Row],[Actual Price]]*Pricing_Details[[#This Row],[Quantity]],2),"")</f>
        <v/>
      </c>
      <c r="AE289" s="179" t="str">
        <f aca="false">IF('Bulk Order Details'!J299="","",VLOOKUP('Bulk Order Details'!H299,Collection[],3)&amp;VLOOKUP('Bulk Order Details'!J299,Collar[],4)&amp;VLOOKUP('Bulk Order Details'!I299,Sleeve[],4))</f>
        <v/>
      </c>
      <c r="AF289" s="179" t="str">
        <f aca="false">IF('Bulk Order Details'!J299="","",LOOKUP('Bulk Order Details'!E299,Cut[Display],Cut[Code])&amp;LOOKUP('Bulk Order Details'!F299,#REF!,#REF!)&amp;IF('Bulk Order Details'!G299="","",LOOKUP('Bulk Order Details'!G299,Length[Display],Length[Code])))</f>
        <v/>
      </c>
      <c r="AG289" s="179" t="str">
        <f aca="false">IF('Bulk Order Details'!J299="","",IF('Bulk Order Details'!C299="","",'Bulk Order Details'!C299))</f>
        <v/>
      </c>
      <c r="AH289" s="179" t="str">
        <f aca="false">IF('Bulk Order Details'!O299="","","-"&amp;LOOKUP('Bulk Order Details'!O299,#REF!,#REF!))</f>
        <v/>
      </c>
      <c r="AI289" s="179" t="str">
        <f aca="false">IF('Bulk Order Details'!P299="","","-"&amp;LOOKUP('Bulk Order Details'!P299,#REF!,#REF!))</f>
        <v/>
      </c>
      <c r="AJ289" s="179" t="str">
        <f aca="false">IF('Bulk Order Details'!Q299="","","-"&amp;LOOKUP('Bulk Order Details'!Q299,#REF!,#REF!))</f>
        <v/>
      </c>
      <c r="AK289" s="179" t="str">
        <f aca="false">IF('Bulk Order Details'!R299="","","-"&amp;LOOKUP('Bulk Order Details'!R299,#REF!,#REF!))</f>
        <v/>
      </c>
      <c r="AL289" s="179" t="str">
        <f aca="false">IF('Bulk Order Details'!S299="","","-"&amp;LOOKUP('Bulk Order Details'!S299,#REF!,#REF!))</f>
        <v/>
      </c>
      <c r="AM289" s="179" t="str">
        <f aca="false">IF(_xlfn.CONCAT(AH289:AL289)="","","Lo"&amp;_xlfn.CONCAT(AH289:AL289))</f>
        <v/>
      </c>
      <c r="AN289" s="179" t="str">
        <f aca="false">IF('Bulk Order Details'!K299="","","Na-"&amp;'Bulk Order Details'!K299)</f>
        <v/>
      </c>
      <c r="AO289" s="179" t="str">
        <f aca="false">IF('Bulk Order Details'!N299="","","Fo-"&amp;'Bulk Order Details'!N299)</f>
        <v/>
      </c>
      <c r="AP289" s="179" t="str">
        <f aca="false">IF(AE289="","",AE289&amp;"_"&amp;AF289&amp;"_"&amp;AG289&amp;IF(AM289="","","_"&amp;AM289)&amp;IF(AN289="","","_"&amp;AN289)&amp;IF(AO289="","","_"&amp;AO289))</f>
        <v/>
      </c>
      <c r="AQ289" s="218" t="str">
        <f aca="false">IF(X289="","",X289)</f>
        <v/>
      </c>
    </row>
    <row r="290" customFormat="false" ht="15" hidden="false" customHeight="true" outlineLevel="0" collapsed="false">
      <c r="B290" s="209" t="n">
        <f aca="false">'Bulk Order Details'!B300</f>
        <v>287</v>
      </c>
      <c r="C290" s="209" t="e">
        <f aca="false">IF('bulk order details'!#ref!="","",'bulk order details'!#ref!&amp;" "&amp;'bulk order details'!#ref!)</f>
        <v>#VALUE!</v>
      </c>
      <c r="D290" s="210" t="str">
        <f aca="false">IF('Bulk Order Details'!J300="","",VLOOKUP(1,Price[],3))</f>
        <v/>
      </c>
      <c r="E290" s="211" t="str">
        <f aca="false">IF('Bulk Order Details'!J300="","",Summary!$D$9)</f>
        <v/>
      </c>
      <c r="F290" s="212" t="str">
        <f aca="false">IF('Bulk Order Details'!F300="","",_xlfn.xlookup('Bulk Order Details'!F300,Size[Display],Size[Price]))</f>
        <v/>
      </c>
      <c r="G290" s="212" t="str">
        <f aca="false">IF('Bulk Order Details'!G300="","",_xlfn.xlookup('Bulk Order Details'!G300,Length[Display],Length[Price]))</f>
        <v/>
      </c>
      <c r="H290" s="212" t="str">
        <f aca="false">IF('Bulk Order Details'!H300="","",_xlfn.xlookup('Bulk Order Details'!H300,Collection[Display],Collection[Price]))</f>
        <v/>
      </c>
      <c r="I290" s="212" t="str">
        <f aca="false">IF('Bulk Order Details'!I300="","",_xlfn.xlookup('Bulk Order Details'!I300,Sleeve[Display],Sleeve[Price]))</f>
        <v/>
      </c>
      <c r="J290" s="212" t="str">
        <f aca="false">IF('Bulk Order Details'!J300="","",_xlfn.xlookup('Bulk Order Details'!J300,Collar[Display],Collar[Price]))</f>
        <v/>
      </c>
      <c r="K290" s="212" t="str">
        <f aca="false">IF('Bulk Order Details'!K300="","",_xlfn.xlookup("Name",Name[Name],Name[Price]))</f>
        <v/>
      </c>
      <c r="L290" s="213" t="str">
        <f aca="false">IFERROR(IF('Bulk Order Details'!O300="","",IF(_xlfn.xlookup('Bulk Order Details'!O300,Logos[Display],Logos[Use])="Flat",_xlfn.xlookup('Bulk Order Details'!O300,Logos[Display],Logos[Flat]),ROUND(_xlfn.xlookup('Bulk Order Details'!O300,Logos[Display],Logos[Pct])*$E290,2))),"")</f>
        <v/>
      </c>
      <c r="M290" s="222" t="str">
        <f aca="false">IFERROR(IF('Bulk Order Details'!P300="","",IF(_xlfn.xlookup('Bulk Order Details'!P300,Chest[Display],Chest[Use])="Flat",_xlfn.xlookup('Bulk Order Details'!P300,Chest[Display],Chest[Flat]),ROUND(_xlfn.xlookup('Bulk Order Details'!P300,Chest[Display],Chest[Pct])*$E290,2))),"")</f>
        <v/>
      </c>
      <c r="N290" s="222" t="str">
        <f aca="false">IFERROR(IF('Bulk Order Details'!Q300="","",IF(_xlfn.xlookup('Bulk Order Details'!Q300,Chest[Display],Chest[Use])="Flat",_xlfn.xlookup('Bulk Order Details'!Q300,Chest[Display],Chest[Flat]),ROUND(_xlfn.xlookup('Bulk Order Details'!Q300,Chest[Display],Chest[Pct])*$E290,2))),"")</f>
        <v/>
      </c>
      <c r="O290" s="222" t="str">
        <f aca="false">IFERROR(IF('Bulk Order Details'!R300="","",IF(_xlfn.xlookup('Bulk Order Details'!R300,LeftSleeve[Display],LeftSleeve[Use])="Flat",_xlfn.xlookup('Bulk Order Details'!R300,LeftSleeve[Display],LeftSleeve[Flat]),ROUND(_xlfn.xlookup('Bulk Order Details'!R300,LeftSleeve[Display],LeftSleeve[Pct])*$E290,2))),"")</f>
        <v/>
      </c>
      <c r="P290" s="222" t="str">
        <f aca="false">IFERROR(IF('Bulk Order Details'!S300="","",IF(_xlfn.xlookup('Bulk Order Details'!S300,RightSleeve[Display],RightSleeve[Use])="Flat",_xlfn.xlookup('Bulk Order Details'!S300,RightSleeve[Display],RightSleeve[Flat]),ROUND(_xlfn.xlookup('Bulk Order Details'!S300,RightSleeve[Display],RightSleeve[Pct])*$E290,2))),"")</f>
        <v/>
      </c>
      <c r="Q290" s="214" t="str">
        <f aca="false">IF('Bulk Order Details'!J300="","",SUM(F290:P290))</f>
        <v/>
      </c>
      <c r="R290" s="213" t="str">
        <f aca="false">IFERROR(E290-D290,"")</f>
        <v/>
      </c>
      <c r="S290" s="215" t="str">
        <f aca="false">IFERROR(MIN(IF(Summary!$D$11="Yes",-J290,0),IF(H290&gt;0,-J290,0)),"")</f>
        <v/>
      </c>
      <c r="T290" s="212" t="str">
        <f aca="false">IFERROR(IF(Summary!$D$10="Yes",-K290,""),"")</f>
        <v/>
      </c>
      <c r="U290" s="213" t="str">
        <f aca="false">IFERROR(IF(Summary!$D$12="Yes",-L290,""),"")</f>
        <v/>
      </c>
      <c r="V290" s="216" t="str">
        <f aca="false">IF('Bulk Order Details'!J300="","",SUM(R290:U290))</f>
        <v/>
      </c>
      <c r="W290" s="217" t="str">
        <f aca="false">IF('Bulk Order Details'!J300="","",D290+Q290)</f>
        <v/>
      </c>
      <c r="X290" s="218" t="str">
        <f aca="false">IF('Bulk Order Details'!J300="","",D290+Q290+V290)</f>
        <v/>
      </c>
      <c r="Y290" s="219" t="str">
        <f aca="false">IFERROR((W290-X290)/W290,"")</f>
        <v/>
      </c>
      <c r="Z290" s="220" t="str">
        <f aca="false">IF('Bulk Order Details'!J300="","",MAX(1,'Bulk Order Details'!D300))</f>
        <v/>
      </c>
      <c r="AA290" s="217" t="str">
        <f aca="false">IF(Pricing_Details[[#This Row],[Quantity]]="","",Pricing_Details[[#This Row],[Retail Price]]*Pricing_Details[[#This Row],[Quantity]])</f>
        <v/>
      </c>
      <c r="AB290" s="217" t="str">
        <f aca="false">IF(Pricing_Details[[#This Row],[Quantity]]="","",Pricing_Details[[#This Row],[Total Discount]]*Pricing_Details[[#This Row],[Quantity]])</f>
        <v/>
      </c>
      <c r="AC290" s="221" t="str">
        <f aca="false">IFERROR(ROUND(Pricing_Details[[#This Row],[Actual Price]]*Pricing_Details[[#This Row],[Quantity]],2),"")</f>
        <v/>
      </c>
      <c r="AE290" s="179" t="str">
        <f aca="false">IF('Bulk Order Details'!J300="","",VLOOKUP('Bulk Order Details'!H300,Collection[],3)&amp;VLOOKUP('Bulk Order Details'!J300,Collar[],4)&amp;VLOOKUP('Bulk Order Details'!I300,Sleeve[],4))</f>
        <v/>
      </c>
      <c r="AF290" s="179" t="str">
        <f aca="false">IF('Bulk Order Details'!J300="","",LOOKUP('Bulk Order Details'!E300,Cut[Display],Cut[Code])&amp;LOOKUP('Bulk Order Details'!F300,#REF!,#REF!)&amp;IF('Bulk Order Details'!G300="","",LOOKUP('Bulk Order Details'!G300,Length[Display],Length[Code])))</f>
        <v/>
      </c>
      <c r="AG290" s="179" t="str">
        <f aca="false">IF('Bulk Order Details'!J300="","",IF('Bulk Order Details'!C300="","",'Bulk Order Details'!C300))</f>
        <v/>
      </c>
      <c r="AH290" s="179" t="str">
        <f aca="false">IF('Bulk Order Details'!O300="","","-"&amp;LOOKUP('Bulk Order Details'!O300,#REF!,#REF!))</f>
        <v/>
      </c>
      <c r="AI290" s="179" t="str">
        <f aca="false">IF('Bulk Order Details'!P300="","","-"&amp;LOOKUP('Bulk Order Details'!P300,#REF!,#REF!))</f>
        <v/>
      </c>
      <c r="AJ290" s="179" t="str">
        <f aca="false">IF('Bulk Order Details'!Q300="","","-"&amp;LOOKUP('Bulk Order Details'!Q300,#REF!,#REF!))</f>
        <v/>
      </c>
      <c r="AK290" s="179" t="str">
        <f aca="false">IF('Bulk Order Details'!R300="","","-"&amp;LOOKUP('Bulk Order Details'!R300,#REF!,#REF!))</f>
        <v/>
      </c>
      <c r="AL290" s="179" t="str">
        <f aca="false">IF('Bulk Order Details'!S300="","","-"&amp;LOOKUP('Bulk Order Details'!S300,#REF!,#REF!))</f>
        <v/>
      </c>
      <c r="AM290" s="179" t="str">
        <f aca="false">IF(_xlfn.CONCAT(AH290:AL290)="","","Lo"&amp;_xlfn.CONCAT(AH290:AL290))</f>
        <v/>
      </c>
      <c r="AN290" s="179" t="str">
        <f aca="false">IF('Bulk Order Details'!K300="","","Na-"&amp;'Bulk Order Details'!K300)</f>
        <v/>
      </c>
      <c r="AO290" s="179" t="str">
        <f aca="false">IF('Bulk Order Details'!N300="","","Fo-"&amp;'Bulk Order Details'!N300)</f>
        <v/>
      </c>
      <c r="AP290" s="179" t="str">
        <f aca="false">IF(AE290="","",AE290&amp;"_"&amp;AF290&amp;"_"&amp;AG290&amp;IF(AM290="","","_"&amp;AM290)&amp;IF(AN290="","","_"&amp;AN290)&amp;IF(AO290="","","_"&amp;AO290))</f>
        <v/>
      </c>
      <c r="AQ290" s="218" t="str">
        <f aca="false">IF(X290="","",X290)</f>
        <v/>
      </c>
    </row>
    <row r="291" customFormat="false" ht="15" hidden="false" customHeight="true" outlineLevel="0" collapsed="false">
      <c r="B291" s="209" t="n">
        <f aca="false">'Bulk Order Details'!B301</f>
        <v>288</v>
      </c>
      <c r="C291" s="209" t="e">
        <f aca="false">IF('bulk order details'!#ref!="","",'bulk order details'!#ref!&amp;" "&amp;'bulk order details'!#ref!)</f>
        <v>#VALUE!</v>
      </c>
      <c r="D291" s="210" t="str">
        <f aca="false">IF('Bulk Order Details'!J301="","",VLOOKUP(1,Price[],3))</f>
        <v/>
      </c>
      <c r="E291" s="211" t="str">
        <f aca="false">IF('Bulk Order Details'!J301="","",Summary!$D$9)</f>
        <v/>
      </c>
      <c r="F291" s="212" t="str">
        <f aca="false">IF('Bulk Order Details'!F301="","",_xlfn.xlookup('Bulk Order Details'!F301,Size[Display],Size[Price]))</f>
        <v/>
      </c>
      <c r="G291" s="212" t="str">
        <f aca="false">IF('Bulk Order Details'!G301="","",_xlfn.xlookup('Bulk Order Details'!G301,Length[Display],Length[Price]))</f>
        <v/>
      </c>
      <c r="H291" s="212" t="str">
        <f aca="false">IF('Bulk Order Details'!H301="","",_xlfn.xlookup('Bulk Order Details'!H301,Collection[Display],Collection[Price]))</f>
        <v/>
      </c>
      <c r="I291" s="212" t="str">
        <f aca="false">IF('Bulk Order Details'!I301="","",_xlfn.xlookup('Bulk Order Details'!I301,Sleeve[Display],Sleeve[Price]))</f>
        <v/>
      </c>
      <c r="J291" s="212" t="str">
        <f aca="false">IF('Bulk Order Details'!J301="","",_xlfn.xlookup('Bulk Order Details'!J301,Collar[Display],Collar[Price]))</f>
        <v/>
      </c>
      <c r="K291" s="212" t="str">
        <f aca="false">IF('Bulk Order Details'!K301="","",_xlfn.xlookup("Name",Name[Name],Name[Price]))</f>
        <v/>
      </c>
      <c r="L291" s="213" t="str">
        <f aca="false">IFERROR(IF('Bulk Order Details'!O301="","",IF(_xlfn.xlookup('Bulk Order Details'!O301,Logos[Display],Logos[Use])="Flat",_xlfn.xlookup('Bulk Order Details'!O301,Logos[Display],Logos[Flat]),ROUND(_xlfn.xlookup('Bulk Order Details'!O301,Logos[Display],Logos[Pct])*$E291,2))),"")</f>
        <v/>
      </c>
      <c r="M291" s="222" t="str">
        <f aca="false">IFERROR(IF('Bulk Order Details'!P301="","",IF(_xlfn.xlookup('Bulk Order Details'!P301,Chest[Display],Chest[Use])="Flat",_xlfn.xlookup('Bulk Order Details'!P301,Chest[Display],Chest[Flat]),ROUND(_xlfn.xlookup('Bulk Order Details'!P301,Chest[Display],Chest[Pct])*$E291,2))),"")</f>
        <v/>
      </c>
      <c r="N291" s="222" t="str">
        <f aca="false">IFERROR(IF('Bulk Order Details'!Q301="","",IF(_xlfn.xlookup('Bulk Order Details'!Q301,Chest[Display],Chest[Use])="Flat",_xlfn.xlookup('Bulk Order Details'!Q301,Chest[Display],Chest[Flat]),ROUND(_xlfn.xlookup('Bulk Order Details'!Q301,Chest[Display],Chest[Pct])*$E291,2))),"")</f>
        <v/>
      </c>
      <c r="O291" s="222" t="str">
        <f aca="false">IFERROR(IF('Bulk Order Details'!R301="","",IF(_xlfn.xlookup('Bulk Order Details'!R301,LeftSleeve[Display],LeftSleeve[Use])="Flat",_xlfn.xlookup('Bulk Order Details'!R301,LeftSleeve[Display],LeftSleeve[Flat]),ROUND(_xlfn.xlookup('Bulk Order Details'!R301,LeftSleeve[Display],LeftSleeve[Pct])*$E291,2))),"")</f>
        <v/>
      </c>
      <c r="P291" s="222" t="str">
        <f aca="false">IFERROR(IF('Bulk Order Details'!S301="","",IF(_xlfn.xlookup('Bulk Order Details'!S301,RightSleeve[Display],RightSleeve[Use])="Flat",_xlfn.xlookup('Bulk Order Details'!S301,RightSleeve[Display],RightSleeve[Flat]),ROUND(_xlfn.xlookup('Bulk Order Details'!S301,RightSleeve[Display],RightSleeve[Pct])*$E291,2))),"")</f>
        <v/>
      </c>
      <c r="Q291" s="214" t="str">
        <f aca="false">IF('Bulk Order Details'!J301="","",SUM(F291:P291))</f>
        <v/>
      </c>
      <c r="R291" s="213" t="str">
        <f aca="false">IFERROR(E291-D291,"")</f>
        <v/>
      </c>
      <c r="S291" s="215" t="str">
        <f aca="false">IFERROR(MIN(IF(Summary!$D$11="Yes",-J291,0),IF(H291&gt;0,-J291,0)),"")</f>
        <v/>
      </c>
      <c r="T291" s="212" t="str">
        <f aca="false">IFERROR(IF(Summary!$D$10="Yes",-K291,""),"")</f>
        <v/>
      </c>
      <c r="U291" s="213" t="str">
        <f aca="false">IFERROR(IF(Summary!$D$12="Yes",-L291,""),"")</f>
        <v/>
      </c>
      <c r="V291" s="216" t="str">
        <f aca="false">IF('Bulk Order Details'!J301="","",SUM(R291:U291))</f>
        <v/>
      </c>
      <c r="W291" s="217" t="str">
        <f aca="false">IF('Bulk Order Details'!J301="","",D291+Q291)</f>
        <v/>
      </c>
      <c r="X291" s="218" t="str">
        <f aca="false">IF('Bulk Order Details'!J301="","",D291+Q291+V291)</f>
        <v/>
      </c>
      <c r="Y291" s="219" t="str">
        <f aca="false">IFERROR((W291-X291)/W291,"")</f>
        <v/>
      </c>
      <c r="Z291" s="220" t="str">
        <f aca="false">IF('Bulk Order Details'!J301="","",MAX(1,'Bulk Order Details'!D301))</f>
        <v/>
      </c>
      <c r="AA291" s="217" t="str">
        <f aca="false">IF(Pricing_Details[[#This Row],[Quantity]]="","",Pricing_Details[[#This Row],[Retail Price]]*Pricing_Details[[#This Row],[Quantity]])</f>
        <v/>
      </c>
      <c r="AB291" s="217" t="str">
        <f aca="false">IF(Pricing_Details[[#This Row],[Quantity]]="","",Pricing_Details[[#This Row],[Total Discount]]*Pricing_Details[[#This Row],[Quantity]])</f>
        <v/>
      </c>
      <c r="AC291" s="221" t="str">
        <f aca="false">IFERROR(ROUND(Pricing_Details[[#This Row],[Actual Price]]*Pricing_Details[[#This Row],[Quantity]],2),"")</f>
        <v/>
      </c>
      <c r="AE291" s="179" t="str">
        <f aca="false">IF('Bulk Order Details'!J301="","",VLOOKUP('Bulk Order Details'!H301,Collection[],3)&amp;VLOOKUP('Bulk Order Details'!J301,Collar[],4)&amp;VLOOKUP('Bulk Order Details'!I301,Sleeve[],4))</f>
        <v/>
      </c>
      <c r="AF291" s="179" t="str">
        <f aca="false">IF('Bulk Order Details'!J301="","",LOOKUP('Bulk Order Details'!E301,Cut[Display],Cut[Code])&amp;LOOKUP('Bulk Order Details'!F301,#REF!,#REF!)&amp;IF('Bulk Order Details'!G301="","",LOOKUP('Bulk Order Details'!G301,Length[Display],Length[Code])))</f>
        <v/>
      </c>
      <c r="AG291" s="179" t="str">
        <f aca="false">IF('Bulk Order Details'!J301="","",IF('Bulk Order Details'!C301="","",'Bulk Order Details'!C301))</f>
        <v/>
      </c>
      <c r="AH291" s="179" t="str">
        <f aca="false">IF('Bulk Order Details'!O301="","","-"&amp;LOOKUP('Bulk Order Details'!O301,#REF!,#REF!))</f>
        <v/>
      </c>
      <c r="AI291" s="179" t="str">
        <f aca="false">IF('Bulk Order Details'!P301="","","-"&amp;LOOKUP('Bulk Order Details'!P301,#REF!,#REF!))</f>
        <v/>
      </c>
      <c r="AJ291" s="179" t="str">
        <f aca="false">IF('Bulk Order Details'!Q301="","","-"&amp;LOOKUP('Bulk Order Details'!Q301,#REF!,#REF!))</f>
        <v/>
      </c>
      <c r="AK291" s="179" t="str">
        <f aca="false">IF('Bulk Order Details'!R301="","","-"&amp;LOOKUP('Bulk Order Details'!R301,#REF!,#REF!))</f>
        <v/>
      </c>
      <c r="AL291" s="179" t="str">
        <f aca="false">IF('Bulk Order Details'!S301="","","-"&amp;LOOKUP('Bulk Order Details'!S301,#REF!,#REF!))</f>
        <v/>
      </c>
      <c r="AM291" s="179" t="str">
        <f aca="false">IF(_xlfn.CONCAT(AH291:AL291)="","","Lo"&amp;_xlfn.CONCAT(AH291:AL291))</f>
        <v/>
      </c>
      <c r="AN291" s="179" t="str">
        <f aca="false">IF('Bulk Order Details'!K301="","","Na-"&amp;'Bulk Order Details'!K301)</f>
        <v/>
      </c>
      <c r="AO291" s="179" t="str">
        <f aca="false">IF('Bulk Order Details'!N301="","","Fo-"&amp;'Bulk Order Details'!N301)</f>
        <v/>
      </c>
      <c r="AP291" s="179" t="str">
        <f aca="false">IF(AE291="","",AE291&amp;"_"&amp;AF291&amp;"_"&amp;AG291&amp;IF(AM291="","","_"&amp;AM291)&amp;IF(AN291="","","_"&amp;AN291)&amp;IF(AO291="","","_"&amp;AO291))</f>
        <v/>
      </c>
      <c r="AQ291" s="218" t="str">
        <f aca="false">IF(X291="","",X291)</f>
        <v/>
      </c>
    </row>
    <row r="292" customFormat="false" ht="15" hidden="false" customHeight="true" outlineLevel="0" collapsed="false">
      <c r="B292" s="209" t="n">
        <f aca="false">'Bulk Order Details'!B302</f>
        <v>289</v>
      </c>
      <c r="C292" s="209" t="e">
        <f aca="false">IF('bulk order details'!#ref!="","",'bulk order details'!#ref!&amp;" "&amp;'bulk order details'!#ref!)</f>
        <v>#VALUE!</v>
      </c>
      <c r="D292" s="210" t="str">
        <f aca="false">IF('Bulk Order Details'!J302="","",VLOOKUP(1,Price[],3))</f>
        <v/>
      </c>
      <c r="E292" s="211" t="str">
        <f aca="false">IF('Bulk Order Details'!J302="","",Summary!$D$9)</f>
        <v/>
      </c>
      <c r="F292" s="212" t="str">
        <f aca="false">IF('Bulk Order Details'!F302="","",_xlfn.xlookup('Bulk Order Details'!F302,Size[Display],Size[Price]))</f>
        <v/>
      </c>
      <c r="G292" s="212" t="str">
        <f aca="false">IF('Bulk Order Details'!G302="","",_xlfn.xlookup('Bulk Order Details'!G302,Length[Display],Length[Price]))</f>
        <v/>
      </c>
      <c r="H292" s="212" t="str">
        <f aca="false">IF('Bulk Order Details'!H302="","",_xlfn.xlookup('Bulk Order Details'!H302,Collection[Display],Collection[Price]))</f>
        <v/>
      </c>
      <c r="I292" s="212" t="str">
        <f aca="false">IF('Bulk Order Details'!I302="","",_xlfn.xlookup('Bulk Order Details'!I302,Sleeve[Display],Sleeve[Price]))</f>
        <v/>
      </c>
      <c r="J292" s="212" t="str">
        <f aca="false">IF('Bulk Order Details'!J302="","",_xlfn.xlookup('Bulk Order Details'!J302,Collar[Display],Collar[Price]))</f>
        <v/>
      </c>
      <c r="K292" s="212" t="str">
        <f aca="false">IF('Bulk Order Details'!K302="","",_xlfn.xlookup("Name",Name[Name],Name[Price]))</f>
        <v/>
      </c>
      <c r="L292" s="213" t="str">
        <f aca="false">IFERROR(IF('Bulk Order Details'!O302="","",IF(_xlfn.xlookup('Bulk Order Details'!O302,Logos[Display],Logos[Use])="Flat",_xlfn.xlookup('Bulk Order Details'!O302,Logos[Display],Logos[Flat]),ROUND(_xlfn.xlookup('Bulk Order Details'!O302,Logos[Display],Logos[Pct])*$E292,2))),"")</f>
        <v/>
      </c>
      <c r="M292" s="222" t="str">
        <f aca="false">IFERROR(IF('Bulk Order Details'!P302="","",IF(_xlfn.xlookup('Bulk Order Details'!P302,Chest[Display],Chest[Use])="Flat",_xlfn.xlookup('Bulk Order Details'!P302,Chest[Display],Chest[Flat]),ROUND(_xlfn.xlookup('Bulk Order Details'!P302,Chest[Display],Chest[Pct])*$E292,2))),"")</f>
        <v/>
      </c>
      <c r="N292" s="222" t="str">
        <f aca="false">IFERROR(IF('Bulk Order Details'!Q302="","",IF(_xlfn.xlookup('Bulk Order Details'!Q302,Chest[Display],Chest[Use])="Flat",_xlfn.xlookup('Bulk Order Details'!Q302,Chest[Display],Chest[Flat]),ROUND(_xlfn.xlookup('Bulk Order Details'!Q302,Chest[Display],Chest[Pct])*$E292,2))),"")</f>
        <v/>
      </c>
      <c r="O292" s="222" t="str">
        <f aca="false">IFERROR(IF('Bulk Order Details'!R302="","",IF(_xlfn.xlookup('Bulk Order Details'!R302,LeftSleeve[Display],LeftSleeve[Use])="Flat",_xlfn.xlookup('Bulk Order Details'!R302,LeftSleeve[Display],LeftSleeve[Flat]),ROUND(_xlfn.xlookup('Bulk Order Details'!R302,LeftSleeve[Display],LeftSleeve[Pct])*$E292,2))),"")</f>
        <v/>
      </c>
      <c r="P292" s="222" t="str">
        <f aca="false">IFERROR(IF('Bulk Order Details'!S302="","",IF(_xlfn.xlookup('Bulk Order Details'!S302,RightSleeve[Display],RightSleeve[Use])="Flat",_xlfn.xlookup('Bulk Order Details'!S302,RightSleeve[Display],RightSleeve[Flat]),ROUND(_xlfn.xlookup('Bulk Order Details'!S302,RightSleeve[Display],RightSleeve[Pct])*$E292,2))),"")</f>
        <v/>
      </c>
      <c r="Q292" s="214" t="str">
        <f aca="false">IF('Bulk Order Details'!J302="","",SUM(F292:P292))</f>
        <v/>
      </c>
      <c r="R292" s="213" t="str">
        <f aca="false">IFERROR(E292-D292,"")</f>
        <v/>
      </c>
      <c r="S292" s="215" t="str">
        <f aca="false">IFERROR(MIN(IF(Summary!$D$11="Yes",-J292,0),IF(H292&gt;0,-J292,0)),"")</f>
        <v/>
      </c>
      <c r="T292" s="212" t="str">
        <f aca="false">IFERROR(IF(Summary!$D$10="Yes",-K292,""),"")</f>
        <v/>
      </c>
      <c r="U292" s="213" t="str">
        <f aca="false">IFERROR(IF(Summary!$D$12="Yes",-L292,""),"")</f>
        <v/>
      </c>
      <c r="V292" s="216" t="str">
        <f aca="false">IF('Bulk Order Details'!J302="","",SUM(R292:U292))</f>
        <v/>
      </c>
      <c r="W292" s="217" t="str">
        <f aca="false">IF('Bulk Order Details'!J302="","",D292+Q292)</f>
        <v/>
      </c>
      <c r="X292" s="218" t="str">
        <f aca="false">IF('Bulk Order Details'!J302="","",D292+Q292+V292)</f>
        <v/>
      </c>
      <c r="Y292" s="219" t="str">
        <f aca="false">IFERROR((W292-X292)/W292,"")</f>
        <v/>
      </c>
      <c r="Z292" s="220" t="str">
        <f aca="false">IF('Bulk Order Details'!J302="","",MAX(1,'Bulk Order Details'!D302))</f>
        <v/>
      </c>
      <c r="AA292" s="217" t="str">
        <f aca="false">IF(Pricing_Details[[#This Row],[Quantity]]="","",Pricing_Details[[#This Row],[Retail Price]]*Pricing_Details[[#This Row],[Quantity]])</f>
        <v/>
      </c>
      <c r="AB292" s="217" t="str">
        <f aca="false">IF(Pricing_Details[[#This Row],[Quantity]]="","",Pricing_Details[[#This Row],[Total Discount]]*Pricing_Details[[#This Row],[Quantity]])</f>
        <v/>
      </c>
      <c r="AC292" s="221" t="str">
        <f aca="false">IFERROR(ROUND(Pricing_Details[[#This Row],[Actual Price]]*Pricing_Details[[#This Row],[Quantity]],2),"")</f>
        <v/>
      </c>
      <c r="AE292" s="179" t="str">
        <f aca="false">IF('Bulk Order Details'!J302="","",VLOOKUP('Bulk Order Details'!H302,Collection[],3)&amp;VLOOKUP('Bulk Order Details'!J302,Collar[],4)&amp;VLOOKUP('Bulk Order Details'!I302,Sleeve[],4))</f>
        <v/>
      </c>
      <c r="AF292" s="179" t="str">
        <f aca="false">IF('Bulk Order Details'!J302="","",LOOKUP('Bulk Order Details'!E302,Cut[Display],Cut[Code])&amp;LOOKUP('Bulk Order Details'!F302,#REF!,#REF!)&amp;IF('Bulk Order Details'!G302="","",LOOKUP('Bulk Order Details'!G302,Length[Display],Length[Code])))</f>
        <v/>
      </c>
      <c r="AG292" s="179" t="str">
        <f aca="false">IF('Bulk Order Details'!J302="","",IF('Bulk Order Details'!C302="","",'Bulk Order Details'!C302))</f>
        <v/>
      </c>
      <c r="AH292" s="179" t="str">
        <f aca="false">IF('Bulk Order Details'!O302="","","-"&amp;LOOKUP('Bulk Order Details'!O302,#REF!,#REF!))</f>
        <v/>
      </c>
      <c r="AI292" s="179" t="str">
        <f aca="false">IF('Bulk Order Details'!P302="","","-"&amp;LOOKUP('Bulk Order Details'!P302,#REF!,#REF!))</f>
        <v/>
      </c>
      <c r="AJ292" s="179" t="str">
        <f aca="false">IF('Bulk Order Details'!Q302="","","-"&amp;LOOKUP('Bulk Order Details'!Q302,#REF!,#REF!))</f>
        <v/>
      </c>
      <c r="AK292" s="179" t="str">
        <f aca="false">IF('Bulk Order Details'!R302="","","-"&amp;LOOKUP('Bulk Order Details'!R302,#REF!,#REF!))</f>
        <v/>
      </c>
      <c r="AL292" s="179" t="str">
        <f aca="false">IF('Bulk Order Details'!S302="","","-"&amp;LOOKUP('Bulk Order Details'!S302,#REF!,#REF!))</f>
        <v/>
      </c>
      <c r="AM292" s="179" t="str">
        <f aca="false">IF(_xlfn.CONCAT(AH292:AL292)="","","Lo"&amp;_xlfn.CONCAT(AH292:AL292))</f>
        <v/>
      </c>
      <c r="AN292" s="179" t="str">
        <f aca="false">IF('Bulk Order Details'!K302="","","Na-"&amp;'Bulk Order Details'!K302)</f>
        <v/>
      </c>
      <c r="AO292" s="179" t="str">
        <f aca="false">IF('Bulk Order Details'!N302="","","Fo-"&amp;'Bulk Order Details'!N302)</f>
        <v/>
      </c>
      <c r="AP292" s="179" t="str">
        <f aca="false">IF(AE292="","",AE292&amp;"_"&amp;AF292&amp;"_"&amp;AG292&amp;IF(AM292="","","_"&amp;AM292)&amp;IF(AN292="","","_"&amp;AN292)&amp;IF(AO292="","","_"&amp;AO292))</f>
        <v/>
      </c>
      <c r="AQ292" s="218" t="str">
        <f aca="false">IF(X292="","",X292)</f>
        <v/>
      </c>
    </row>
    <row r="293" customFormat="false" ht="15" hidden="false" customHeight="true" outlineLevel="0" collapsed="false">
      <c r="B293" s="209" t="n">
        <f aca="false">'Bulk Order Details'!B303</f>
        <v>290</v>
      </c>
      <c r="C293" s="209" t="e">
        <f aca="false">IF('bulk order details'!#ref!="","",'bulk order details'!#ref!&amp;" "&amp;'bulk order details'!#ref!)</f>
        <v>#VALUE!</v>
      </c>
      <c r="D293" s="210" t="str">
        <f aca="false">IF('Bulk Order Details'!J303="","",VLOOKUP(1,Price[],3))</f>
        <v/>
      </c>
      <c r="E293" s="211" t="str">
        <f aca="false">IF('Bulk Order Details'!J303="","",Summary!$D$9)</f>
        <v/>
      </c>
      <c r="F293" s="212" t="str">
        <f aca="false">IF('Bulk Order Details'!F303="","",_xlfn.xlookup('Bulk Order Details'!F303,Size[Display],Size[Price]))</f>
        <v/>
      </c>
      <c r="G293" s="212" t="str">
        <f aca="false">IF('Bulk Order Details'!G303="","",_xlfn.xlookup('Bulk Order Details'!G303,Length[Display],Length[Price]))</f>
        <v/>
      </c>
      <c r="H293" s="212" t="str">
        <f aca="false">IF('Bulk Order Details'!H303="","",_xlfn.xlookup('Bulk Order Details'!H303,Collection[Display],Collection[Price]))</f>
        <v/>
      </c>
      <c r="I293" s="212" t="str">
        <f aca="false">IF('Bulk Order Details'!I303="","",_xlfn.xlookup('Bulk Order Details'!I303,Sleeve[Display],Sleeve[Price]))</f>
        <v/>
      </c>
      <c r="J293" s="212" t="str">
        <f aca="false">IF('Bulk Order Details'!J303="","",_xlfn.xlookup('Bulk Order Details'!J303,Collar[Display],Collar[Price]))</f>
        <v/>
      </c>
      <c r="K293" s="212" t="str">
        <f aca="false">IF('Bulk Order Details'!K303="","",_xlfn.xlookup("Name",Name[Name],Name[Price]))</f>
        <v/>
      </c>
      <c r="L293" s="213" t="str">
        <f aca="false">IFERROR(IF('Bulk Order Details'!O303="","",IF(_xlfn.xlookup('Bulk Order Details'!O303,Logos[Display],Logos[Use])="Flat",_xlfn.xlookup('Bulk Order Details'!O303,Logos[Display],Logos[Flat]),ROUND(_xlfn.xlookup('Bulk Order Details'!O303,Logos[Display],Logos[Pct])*$E293,2))),"")</f>
        <v/>
      </c>
      <c r="M293" s="222" t="str">
        <f aca="false">IFERROR(IF('Bulk Order Details'!P303="","",IF(_xlfn.xlookup('Bulk Order Details'!P303,Chest[Display],Chest[Use])="Flat",_xlfn.xlookup('Bulk Order Details'!P303,Chest[Display],Chest[Flat]),ROUND(_xlfn.xlookup('Bulk Order Details'!P303,Chest[Display],Chest[Pct])*$E293,2))),"")</f>
        <v/>
      </c>
      <c r="N293" s="222" t="str">
        <f aca="false">IFERROR(IF('Bulk Order Details'!Q303="","",IF(_xlfn.xlookup('Bulk Order Details'!Q303,Chest[Display],Chest[Use])="Flat",_xlfn.xlookup('Bulk Order Details'!Q303,Chest[Display],Chest[Flat]),ROUND(_xlfn.xlookup('Bulk Order Details'!Q303,Chest[Display],Chest[Pct])*$E293,2))),"")</f>
        <v/>
      </c>
      <c r="O293" s="222" t="str">
        <f aca="false">IFERROR(IF('Bulk Order Details'!R303="","",IF(_xlfn.xlookup('Bulk Order Details'!R303,LeftSleeve[Display],LeftSleeve[Use])="Flat",_xlfn.xlookup('Bulk Order Details'!R303,LeftSleeve[Display],LeftSleeve[Flat]),ROUND(_xlfn.xlookup('Bulk Order Details'!R303,LeftSleeve[Display],LeftSleeve[Pct])*$E293,2))),"")</f>
        <v/>
      </c>
      <c r="P293" s="222" t="str">
        <f aca="false">IFERROR(IF('Bulk Order Details'!S303="","",IF(_xlfn.xlookup('Bulk Order Details'!S303,RightSleeve[Display],RightSleeve[Use])="Flat",_xlfn.xlookup('Bulk Order Details'!S303,RightSleeve[Display],RightSleeve[Flat]),ROUND(_xlfn.xlookup('Bulk Order Details'!S303,RightSleeve[Display],RightSleeve[Pct])*$E293,2))),"")</f>
        <v/>
      </c>
      <c r="Q293" s="214" t="str">
        <f aca="false">IF('Bulk Order Details'!J303="","",SUM(F293:P293))</f>
        <v/>
      </c>
      <c r="R293" s="213" t="str">
        <f aca="false">IFERROR(E293-D293,"")</f>
        <v/>
      </c>
      <c r="S293" s="215" t="str">
        <f aca="false">IFERROR(MIN(IF(Summary!$D$11="Yes",-J293,0),IF(H293&gt;0,-J293,0)),"")</f>
        <v/>
      </c>
      <c r="T293" s="212" t="str">
        <f aca="false">IFERROR(IF(Summary!$D$10="Yes",-K293,""),"")</f>
        <v/>
      </c>
      <c r="U293" s="213" t="str">
        <f aca="false">IFERROR(IF(Summary!$D$12="Yes",-L293,""),"")</f>
        <v/>
      </c>
      <c r="V293" s="216" t="str">
        <f aca="false">IF('Bulk Order Details'!J303="","",SUM(R293:U293))</f>
        <v/>
      </c>
      <c r="W293" s="217" t="str">
        <f aca="false">IF('Bulk Order Details'!J303="","",D293+Q293)</f>
        <v/>
      </c>
      <c r="X293" s="218" t="str">
        <f aca="false">IF('Bulk Order Details'!J303="","",D293+Q293+V293)</f>
        <v/>
      </c>
      <c r="Y293" s="219" t="str">
        <f aca="false">IFERROR((W293-X293)/W293,"")</f>
        <v/>
      </c>
      <c r="Z293" s="220" t="str">
        <f aca="false">IF('Bulk Order Details'!J303="","",MAX(1,'Bulk Order Details'!D303))</f>
        <v/>
      </c>
      <c r="AA293" s="217" t="str">
        <f aca="false">IF(Pricing_Details[[#This Row],[Quantity]]="","",Pricing_Details[[#This Row],[Retail Price]]*Pricing_Details[[#This Row],[Quantity]])</f>
        <v/>
      </c>
      <c r="AB293" s="217" t="str">
        <f aca="false">IF(Pricing_Details[[#This Row],[Quantity]]="","",Pricing_Details[[#This Row],[Total Discount]]*Pricing_Details[[#This Row],[Quantity]])</f>
        <v/>
      </c>
      <c r="AC293" s="221" t="str">
        <f aca="false">IFERROR(ROUND(Pricing_Details[[#This Row],[Actual Price]]*Pricing_Details[[#This Row],[Quantity]],2),"")</f>
        <v/>
      </c>
      <c r="AE293" s="179" t="str">
        <f aca="false">IF('Bulk Order Details'!J303="","",VLOOKUP('Bulk Order Details'!H303,Collection[],3)&amp;VLOOKUP('Bulk Order Details'!J303,Collar[],4)&amp;VLOOKUP('Bulk Order Details'!I303,Sleeve[],4))</f>
        <v/>
      </c>
      <c r="AF293" s="179" t="str">
        <f aca="false">IF('Bulk Order Details'!J303="","",LOOKUP('Bulk Order Details'!E303,Cut[Display],Cut[Code])&amp;LOOKUP('Bulk Order Details'!F303,#REF!,#REF!)&amp;IF('Bulk Order Details'!G303="","",LOOKUP('Bulk Order Details'!G303,Length[Display],Length[Code])))</f>
        <v/>
      </c>
      <c r="AG293" s="179" t="str">
        <f aca="false">IF('Bulk Order Details'!J303="","",IF('Bulk Order Details'!C303="","",'Bulk Order Details'!C303))</f>
        <v/>
      </c>
      <c r="AH293" s="179" t="str">
        <f aca="false">IF('Bulk Order Details'!O303="","","-"&amp;LOOKUP('Bulk Order Details'!O303,#REF!,#REF!))</f>
        <v/>
      </c>
      <c r="AI293" s="179" t="str">
        <f aca="false">IF('Bulk Order Details'!P303="","","-"&amp;LOOKUP('Bulk Order Details'!P303,#REF!,#REF!))</f>
        <v/>
      </c>
      <c r="AJ293" s="179" t="str">
        <f aca="false">IF('Bulk Order Details'!Q303="","","-"&amp;LOOKUP('Bulk Order Details'!Q303,#REF!,#REF!))</f>
        <v/>
      </c>
      <c r="AK293" s="179" t="str">
        <f aca="false">IF('Bulk Order Details'!R303="","","-"&amp;LOOKUP('Bulk Order Details'!R303,#REF!,#REF!))</f>
        <v/>
      </c>
      <c r="AL293" s="179" t="str">
        <f aca="false">IF('Bulk Order Details'!S303="","","-"&amp;LOOKUP('Bulk Order Details'!S303,#REF!,#REF!))</f>
        <v/>
      </c>
      <c r="AM293" s="179" t="str">
        <f aca="false">IF(_xlfn.CONCAT(AH293:AL293)="","","Lo"&amp;_xlfn.CONCAT(AH293:AL293))</f>
        <v/>
      </c>
      <c r="AN293" s="179" t="str">
        <f aca="false">IF('Bulk Order Details'!K303="","","Na-"&amp;'Bulk Order Details'!K303)</f>
        <v/>
      </c>
      <c r="AO293" s="179" t="str">
        <f aca="false">IF('Bulk Order Details'!N303="","","Fo-"&amp;'Bulk Order Details'!N303)</f>
        <v/>
      </c>
      <c r="AP293" s="179" t="str">
        <f aca="false">IF(AE293="","",AE293&amp;"_"&amp;AF293&amp;"_"&amp;AG293&amp;IF(AM293="","","_"&amp;AM293)&amp;IF(AN293="","","_"&amp;AN293)&amp;IF(AO293="","","_"&amp;AO293))</f>
        <v/>
      </c>
      <c r="AQ293" s="218" t="str">
        <f aca="false">IF(X293="","",X293)</f>
        <v/>
      </c>
    </row>
    <row r="294" customFormat="false" ht="15" hidden="false" customHeight="true" outlineLevel="0" collapsed="false">
      <c r="B294" s="209" t="n">
        <f aca="false">'Bulk Order Details'!B304</f>
        <v>291</v>
      </c>
      <c r="C294" s="209" t="e">
        <f aca="false">IF('bulk order details'!#ref!="","",'bulk order details'!#ref!&amp;" "&amp;'bulk order details'!#ref!)</f>
        <v>#VALUE!</v>
      </c>
      <c r="D294" s="210" t="str">
        <f aca="false">IF('Bulk Order Details'!J304="","",VLOOKUP(1,Price[],3))</f>
        <v/>
      </c>
      <c r="E294" s="211" t="str">
        <f aca="false">IF('Bulk Order Details'!J304="","",Summary!$D$9)</f>
        <v/>
      </c>
      <c r="F294" s="212" t="str">
        <f aca="false">IF('Bulk Order Details'!F304="","",_xlfn.xlookup('Bulk Order Details'!F304,Size[Display],Size[Price]))</f>
        <v/>
      </c>
      <c r="G294" s="212" t="str">
        <f aca="false">IF('Bulk Order Details'!G304="","",_xlfn.xlookup('Bulk Order Details'!G304,Length[Display],Length[Price]))</f>
        <v/>
      </c>
      <c r="H294" s="212" t="str">
        <f aca="false">IF('Bulk Order Details'!H304="","",_xlfn.xlookup('Bulk Order Details'!H304,Collection[Display],Collection[Price]))</f>
        <v/>
      </c>
      <c r="I294" s="212" t="str">
        <f aca="false">IF('Bulk Order Details'!I304="","",_xlfn.xlookup('Bulk Order Details'!I304,Sleeve[Display],Sleeve[Price]))</f>
        <v/>
      </c>
      <c r="J294" s="212" t="str">
        <f aca="false">IF('Bulk Order Details'!J304="","",_xlfn.xlookup('Bulk Order Details'!J304,Collar[Display],Collar[Price]))</f>
        <v/>
      </c>
      <c r="K294" s="212" t="str">
        <f aca="false">IF('Bulk Order Details'!K304="","",_xlfn.xlookup("Name",Name[Name],Name[Price]))</f>
        <v/>
      </c>
      <c r="L294" s="213" t="str">
        <f aca="false">IFERROR(IF('Bulk Order Details'!O304="","",IF(_xlfn.xlookup('Bulk Order Details'!O304,Logos[Display],Logos[Use])="Flat",_xlfn.xlookup('Bulk Order Details'!O304,Logos[Display],Logos[Flat]),ROUND(_xlfn.xlookup('Bulk Order Details'!O304,Logos[Display],Logos[Pct])*$E294,2))),"")</f>
        <v/>
      </c>
      <c r="M294" s="222" t="str">
        <f aca="false">IFERROR(IF('Bulk Order Details'!P304="","",IF(_xlfn.xlookup('Bulk Order Details'!P304,Chest[Display],Chest[Use])="Flat",_xlfn.xlookup('Bulk Order Details'!P304,Chest[Display],Chest[Flat]),ROUND(_xlfn.xlookup('Bulk Order Details'!P304,Chest[Display],Chest[Pct])*$E294,2))),"")</f>
        <v/>
      </c>
      <c r="N294" s="222" t="str">
        <f aca="false">IFERROR(IF('Bulk Order Details'!Q304="","",IF(_xlfn.xlookup('Bulk Order Details'!Q304,Chest[Display],Chest[Use])="Flat",_xlfn.xlookup('Bulk Order Details'!Q304,Chest[Display],Chest[Flat]),ROUND(_xlfn.xlookup('Bulk Order Details'!Q304,Chest[Display],Chest[Pct])*$E294,2))),"")</f>
        <v/>
      </c>
      <c r="O294" s="222" t="str">
        <f aca="false">IFERROR(IF('Bulk Order Details'!R304="","",IF(_xlfn.xlookup('Bulk Order Details'!R304,LeftSleeve[Display],LeftSleeve[Use])="Flat",_xlfn.xlookup('Bulk Order Details'!R304,LeftSleeve[Display],LeftSleeve[Flat]),ROUND(_xlfn.xlookup('Bulk Order Details'!R304,LeftSleeve[Display],LeftSleeve[Pct])*$E294,2))),"")</f>
        <v/>
      </c>
      <c r="P294" s="222" t="str">
        <f aca="false">IFERROR(IF('Bulk Order Details'!S304="","",IF(_xlfn.xlookup('Bulk Order Details'!S304,RightSleeve[Display],RightSleeve[Use])="Flat",_xlfn.xlookup('Bulk Order Details'!S304,RightSleeve[Display],RightSleeve[Flat]),ROUND(_xlfn.xlookup('Bulk Order Details'!S304,RightSleeve[Display],RightSleeve[Pct])*$E294,2))),"")</f>
        <v/>
      </c>
      <c r="Q294" s="214" t="str">
        <f aca="false">IF('Bulk Order Details'!J304="","",SUM(F294:P294))</f>
        <v/>
      </c>
      <c r="R294" s="213" t="str">
        <f aca="false">IFERROR(E294-D294,"")</f>
        <v/>
      </c>
      <c r="S294" s="215" t="str">
        <f aca="false">IFERROR(MIN(IF(Summary!$D$11="Yes",-J294,0),IF(H294&gt;0,-J294,0)),"")</f>
        <v/>
      </c>
      <c r="T294" s="212" t="str">
        <f aca="false">IFERROR(IF(Summary!$D$10="Yes",-K294,""),"")</f>
        <v/>
      </c>
      <c r="U294" s="213" t="str">
        <f aca="false">IFERROR(IF(Summary!$D$12="Yes",-L294,""),"")</f>
        <v/>
      </c>
      <c r="V294" s="216" t="str">
        <f aca="false">IF('Bulk Order Details'!J304="","",SUM(R294:U294))</f>
        <v/>
      </c>
      <c r="W294" s="217" t="str">
        <f aca="false">IF('Bulk Order Details'!J304="","",D294+Q294)</f>
        <v/>
      </c>
      <c r="X294" s="218" t="str">
        <f aca="false">IF('Bulk Order Details'!J304="","",D294+Q294+V294)</f>
        <v/>
      </c>
      <c r="Y294" s="219" t="str">
        <f aca="false">IFERROR((W294-X294)/W294,"")</f>
        <v/>
      </c>
      <c r="Z294" s="220" t="str">
        <f aca="false">IF('Bulk Order Details'!J304="","",MAX(1,'Bulk Order Details'!D304))</f>
        <v/>
      </c>
      <c r="AA294" s="217" t="str">
        <f aca="false">IF(Pricing_Details[[#This Row],[Quantity]]="","",Pricing_Details[[#This Row],[Retail Price]]*Pricing_Details[[#This Row],[Quantity]])</f>
        <v/>
      </c>
      <c r="AB294" s="217" t="str">
        <f aca="false">IF(Pricing_Details[[#This Row],[Quantity]]="","",Pricing_Details[[#This Row],[Total Discount]]*Pricing_Details[[#This Row],[Quantity]])</f>
        <v/>
      </c>
      <c r="AC294" s="221" t="str">
        <f aca="false">IFERROR(ROUND(Pricing_Details[[#This Row],[Actual Price]]*Pricing_Details[[#This Row],[Quantity]],2),"")</f>
        <v/>
      </c>
      <c r="AE294" s="179" t="str">
        <f aca="false">IF('Bulk Order Details'!J304="","",VLOOKUP('Bulk Order Details'!H304,Collection[],3)&amp;VLOOKUP('Bulk Order Details'!J304,Collar[],4)&amp;VLOOKUP('Bulk Order Details'!I304,Sleeve[],4))</f>
        <v/>
      </c>
      <c r="AF294" s="179" t="str">
        <f aca="false">IF('Bulk Order Details'!J304="","",LOOKUP('Bulk Order Details'!E304,Cut[Display],Cut[Code])&amp;LOOKUP('Bulk Order Details'!F304,#REF!,#REF!)&amp;IF('Bulk Order Details'!G304="","",LOOKUP('Bulk Order Details'!G304,Length[Display],Length[Code])))</f>
        <v/>
      </c>
      <c r="AG294" s="179" t="str">
        <f aca="false">IF('Bulk Order Details'!J304="","",IF('Bulk Order Details'!C304="","",'Bulk Order Details'!C304))</f>
        <v/>
      </c>
      <c r="AH294" s="179" t="str">
        <f aca="false">IF('Bulk Order Details'!O304="","","-"&amp;LOOKUP('Bulk Order Details'!O304,#REF!,#REF!))</f>
        <v/>
      </c>
      <c r="AI294" s="179" t="str">
        <f aca="false">IF('Bulk Order Details'!P304="","","-"&amp;LOOKUP('Bulk Order Details'!P304,#REF!,#REF!))</f>
        <v/>
      </c>
      <c r="AJ294" s="179" t="str">
        <f aca="false">IF('Bulk Order Details'!Q304="","","-"&amp;LOOKUP('Bulk Order Details'!Q304,#REF!,#REF!))</f>
        <v/>
      </c>
      <c r="AK294" s="179" t="str">
        <f aca="false">IF('Bulk Order Details'!R304="","","-"&amp;LOOKUP('Bulk Order Details'!R304,#REF!,#REF!))</f>
        <v/>
      </c>
      <c r="AL294" s="179" t="str">
        <f aca="false">IF('Bulk Order Details'!S304="","","-"&amp;LOOKUP('Bulk Order Details'!S304,#REF!,#REF!))</f>
        <v/>
      </c>
      <c r="AM294" s="179" t="str">
        <f aca="false">IF(_xlfn.CONCAT(AH294:AL294)="","","Lo"&amp;_xlfn.CONCAT(AH294:AL294))</f>
        <v/>
      </c>
      <c r="AN294" s="179" t="str">
        <f aca="false">IF('Bulk Order Details'!K304="","","Na-"&amp;'Bulk Order Details'!K304)</f>
        <v/>
      </c>
      <c r="AO294" s="179" t="str">
        <f aca="false">IF('Bulk Order Details'!N304="","","Fo-"&amp;'Bulk Order Details'!N304)</f>
        <v/>
      </c>
      <c r="AP294" s="179" t="str">
        <f aca="false">IF(AE294="","",AE294&amp;"_"&amp;AF294&amp;"_"&amp;AG294&amp;IF(AM294="","","_"&amp;AM294)&amp;IF(AN294="","","_"&amp;AN294)&amp;IF(AO294="","","_"&amp;AO294))</f>
        <v/>
      </c>
      <c r="AQ294" s="218" t="str">
        <f aca="false">IF(X294="","",X294)</f>
        <v/>
      </c>
    </row>
    <row r="295" customFormat="false" ht="15" hidden="false" customHeight="true" outlineLevel="0" collapsed="false">
      <c r="B295" s="209" t="n">
        <f aca="false">'Bulk Order Details'!B305</f>
        <v>292</v>
      </c>
      <c r="C295" s="209" t="e">
        <f aca="false">IF('bulk order details'!#ref!="","",'bulk order details'!#ref!&amp;" "&amp;'bulk order details'!#ref!)</f>
        <v>#VALUE!</v>
      </c>
      <c r="D295" s="210" t="str">
        <f aca="false">IF('Bulk Order Details'!J305="","",VLOOKUP(1,Price[],3))</f>
        <v/>
      </c>
      <c r="E295" s="211" t="str">
        <f aca="false">IF('Bulk Order Details'!J305="","",Summary!$D$9)</f>
        <v/>
      </c>
      <c r="F295" s="212" t="str">
        <f aca="false">IF('Bulk Order Details'!F305="","",_xlfn.xlookup('Bulk Order Details'!F305,Size[Display],Size[Price]))</f>
        <v/>
      </c>
      <c r="G295" s="212" t="str">
        <f aca="false">IF('Bulk Order Details'!G305="","",_xlfn.xlookup('Bulk Order Details'!G305,Length[Display],Length[Price]))</f>
        <v/>
      </c>
      <c r="H295" s="212" t="str">
        <f aca="false">IF('Bulk Order Details'!H305="","",_xlfn.xlookup('Bulk Order Details'!H305,Collection[Display],Collection[Price]))</f>
        <v/>
      </c>
      <c r="I295" s="212" t="str">
        <f aca="false">IF('Bulk Order Details'!I305="","",_xlfn.xlookup('Bulk Order Details'!I305,Sleeve[Display],Sleeve[Price]))</f>
        <v/>
      </c>
      <c r="J295" s="212" t="str">
        <f aca="false">IF('Bulk Order Details'!J305="","",_xlfn.xlookup('Bulk Order Details'!J305,Collar[Display],Collar[Price]))</f>
        <v/>
      </c>
      <c r="K295" s="212" t="str">
        <f aca="false">IF('Bulk Order Details'!K305="","",_xlfn.xlookup("Name",Name[Name],Name[Price]))</f>
        <v/>
      </c>
      <c r="L295" s="213" t="str">
        <f aca="false">IFERROR(IF('Bulk Order Details'!O305="","",IF(_xlfn.xlookup('Bulk Order Details'!O305,Logos[Display],Logos[Use])="Flat",_xlfn.xlookup('Bulk Order Details'!O305,Logos[Display],Logos[Flat]),ROUND(_xlfn.xlookup('Bulk Order Details'!O305,Logos[Display],Logos[Pct])*$E295,2))),"")</f>
        <v/>
      </c>
      <c r="M295" s="222" t="str">
        <f aca="false">IFERROR(IF('Bulk Order Details'!P305="","",IF(_xlfn.xlookup('Bulk Order Details'!P305,Chest[Display],Chest[Use])="Flat",_xlfn.xlookup('Bulk Order Details'!P305,Chest[Display],Chest[Flat]),ROUND(_xlfn.xlookup('Bulk Order Details'!P305,Chest[Display],Chest[Pct])*$E295,2))),"")</f>
        <v/>
      </c>
      <c r="N295" s="222" t="str">
        <f aca="false">IFERROR(IF('Bulk Order Details'!Q305="","",IF(_xlfn.xlookup('Bulk Order Details'!Q305,Chest[Display],Chest[Use])="Flat",_xlfn.xlookup('Bulk Order Details'!Q305,Chest[Display],Chest[Flat]),ROUND(_xlfn.xlookup('Bulk Order Details'!Q305,Chest[Display],Chest[Pct])*$E295,2))),"")</f>
        <v/>
      </c>
      <c r="O295" s="222" t="str">
        <f aca="false">IFERROR(IF('Bulk Order Details'!R305="","",IF(_xlfn.xlookup('Bulk Order Details'!R305,LeftSleeve[Display],LeftSleeve[Use])="Flat",_xlfn.xlookup('Bulk Order Details'!R305,LeftSleeve[Display],LeftSleeve[Flat]),ROUND(_xlfn.xlookup('Bulk Order Details'!R305,LeftSleeve[Display],LeftSleeve[Pct])*$E295,2))),"")</f>
        <v/>
      </c>
      <c r="P295" s="222" t="str">
        <f aca="false">IFERROR(IF('Bulk Order Details'!S305="","",IF(_xlfn.xlookup('Bulk Order Details'!S305,RightSleeve[Display],RightSleeve[Use])="Flat",_xlfn.xlookup('Bulk Order Details'!S305,RightSleeve[Display],RightSleeve[Flat]),ROUND(_xlfn.xlookup('Bulk Order Details'!S305,RightSleeve[Display],RightSleeve[Pct])*$E295,2))),"")</f>
        <v/>
      </c>
      <c r="Q295" s="214" t="str">
        <f aca="false">IF('Bulk Order Details'!J305="","",SUM(F295:P295))</f>
        <v/>
      </c>
      <c r="R295" s="213" t="str">
        <f aca="false">IFERROR(E295-D295,"")</f>
        <v/>
      </c>
      <c r="S295" s="215" t="str">
        <f aca="false">IFERROR(MIN(IF(Summary!$D$11="Yes",-J295,0),IF(H295&gt;0,-J295,0)),"")</f>
        <v/>
      </c>
      <c r="T295" s="212" t="str">
        <f aca="false">IFERROR(IF(Summary!$D$10="Yes",-K295,""),"")</f>
        <v/>
      </c>
      <c r="U295" s="213" t="str">
        <f aca="false">IFERROR(IF(Summary!$D$12="Yes",-L295,""),"")</f>
        <v/>
      </c>
      <c r="V295" s="216" t="str">
        <f aca="false">IF('Bulk Order Details'!J305="","",SUM(R295:U295))</f>
        <v/>
      </c>
      <c r="W295" s="217" t="str">
        <f aca="false">IF('Bulk Order Details'!J305="","",D295+Q295)</f>
        <v/>
      </c>
      <c r="X295" s="218" t="str">
        <f aca="false">IF('Bulk Order Details'!J305="","",D295+Q295+V295)</f>
        <v/>
      </c>
      <c r="Y295" s="219" t="str">
        <f aca="false">IFERROR((W295-X295)/W295,"")</f>
        <v/>
      </c>
      <c r="Z295" s="220" t="str">
        <f aca="false">IF('Bulk Order Details'!J305="","",MAX(1,'Bulk Order Details'!D305))</f>
        <v/>
      </c>
      <c r="AA295" s="217" t="str">
        <f aca="false">IF(Pricing_Details[[#This Row],[Quantity]]="","",Pricing_Details[[#This Row],[Retail Price]]*Pricing_Details[[#This Row],[Quantity]])</f>
        <v/>
      </c>
      <c r="AB295" s="217" t="str">
        <f aca="false">IF(Pricing_Details[[#This Row],[Quantity]]="","",Pricing_Details[[#This Row],[Total Discount]]*Pricing_Details[[#This Row],[Quantity]])</f>
        <v/>
      </c>
      <c r="AC295" s="221" t="str">
        <f aca="false">IFERROR(ROUND(Pricing_Details[[#This Row],[Actual Price]]*Pricing_Details[[#This Row],[Quantity]],2),"")</f>
        <v/>
      </c>
      <c r="AE295" s="179" t="str">
        <f aca="false">IF('Bulk Order Details'!J305="","",VLOOKUP('Bulk Order Details'!H305,Collection[],3)&amp;VLOOKUP('Bulk Order Details'!J305,Collar[],4)&amp;VLOOKUP('Bulk Order Details'!I305,Sleeve[],4))</f>
        <v/>
      </c>
      <c r="AF295" s="179" t="str">
        <f aca="false">IF('Bulk Order Details'!J305="","",LOOKUP('Bulk Order Details'!E305,Cut[Display],Cut[Code])&amp;LOOKUP('Bulk Order Details'!F305,#REF!,#REF!)&amp;IF('Bulk Order Details'!G305="","",LOOKUP('Bulk Order Details'!G305,Length[Display],Length[Code])))</f>
        <v/>
      </c>
      <c r="AG295" s="179" t="str">
        <f aca="false">IF('Bulk Order Details'!J305="","",IF('Bulk Order Details'!C305="","",'Bulk Order Details'!C305))</f>
        <v/>
      </c>
      <c r="AH295" s="179" t="str">
        <f aca="false">IF('Bulk Order Details'!O305="","","-"&amp;LOOKUP('Bulk Order Details'!O305,#REF!,#REF!))</f>
        <v/>
      </c>
      <c r="AI295" s="179" t="str">
        <f aca="false">IF('Bulk Order Details'!P305="","","-"&amp;LOOKUP('Bulk Order Details'!P305,#REF!,#REF!))</f>
        <v/>
      </c>
      <c r="AJ295" s="179" t="str">
        <f aca="false">IF('Bulk Order Details'!Q305="","","-"&amp;LOOKUP('Bulk Order Details'!Q305,#REF!,#REF!))</f>
        <v/>
      </c>
      <c r="AK295" s="179" t="str">
        <f aca="false">IF('Bulk Order Details'!R305="","","-"&amp;LOOKUP('Bulk Order Details'!R305,#REF!,#REF!))</f>
        <v/>
      </c>
      <c r="AL295" s="179" t="str">
        <f aca="false">IF('Bulk Order Details'!S305="","","-"&amp;LOOKUP('Bulk Order Details'!S305,#REF!,#REF!))</f>
        <v/>
      </c>
      <c r="AM295" s="179" t="str">
        <f aca="false">IF(_xlfn.CONCAT(AH295:AL295)="","","Lo"&amp;_xlfn.CONCAT(AH295:AL295))</f>
        <v/>
      </c>
      <c r="AN295" s="179" t="str">
        <f aca="false">IF('Bulk Order Details'!K305="","","Na-"&amp;'Bulk Order Details'!K305)</f>
        <v/>
      </c>
      <c r="AO295" s="179" t="str">
        <f aca="false">IF('Bulk Order Details'!N305="","","Fo-"&amp;'Bulk Order Details'!N305)</f>
        <v/>
      </c>
      <c r="AP295" s="179" t="str">
        <f aca="false">IF(AE295="","",AE295&amp;"_"&amp;AF295&amp;"_"&amp;AG295&amp;IF(AM295="","","_"&amp;AM295)&amp;IF(AN295="","","_"&amp;AN295)&amp;IF(AO295="","","_"&amp;AO295))</f>
        <v/>
      </c>
      <c r="AQ295" s="218" t="str">
        <f aca="false">IF(X295="","",X295)</f>
        <v/>
      </c>
    </row>
    <row r="296" customFormat="false" ht="15" hidden="false" customHeight="true" outlineLevel="0" collapsed="false">
      <c r="B296" s="209" t="n">
        <f aca="false">'Bulk Order Details'!B306</f>
        <v>293</v>
      </c>
      <c r="C296" s="209" t="e">
        <f aca="false">IF('bulk order details'!#ref!="","",'bulk order details'!#ref!&amp;" "&amp;'bulk order details'!#ref!)</f>
        <v>#VALUE!</v>
      </c>
      <c r="D296" s="210" t="str">
        <f aca="false">IF('Bulk Order Details'!J306="","",VLOOKUP(1,Price[],3))</f>
        <v/>
      </c>
      <c r="E296" s="211" t="str">
        <f aca="false">IF('Bulk Order Details'!J306="","",Summary!$D$9)</f>
        <v/>
      </c>
      <c r="F296" s="212" t="str">
        <f aca="false">IF('Bulk Order Details'!F306="","",_xlfn.xlookup('Bulk Order Details'!F306,Size[Display],Size[Price]))</f>
        <v/>
      </c>
      <c r="G296" s="212" t="str">
        <f aca="false">IF('Bulk Order Details'!G306="","",_xlfn.xlookup('Bulk Order Details'!G306,Length[Display],Length[Price]))</f>
        <v/>
      </c>
      <c r="H296" s="212" t="str">
        <f aca="false">IF('Bulk Order Details'!H306="","",_xlfn.xlookup('Bulk Order Details'!H306,Collection[Display],Collection[Price]))</f>
        <v/>
      </c>
      <c r="I296" s="212" t="str">
        <f aca="false">IF('Bulk Order Details'!I306="","",_xlfn.xlookup('Bulk Order Details'!I306,Sleeve[Display],Sleeve[Price]))</f>
        <v/>
      </c>
      <c r="J296" s="212" t="str">
        <f aca="false">IF('Bulk Order Details'!J306="","",_xlfn.xlookup('Bulk Order Details'!J306,Collar[Display],Collar[Price]))</f>
        <v/>
      </c>
      <c r="K296" s="212" t="str">
        <f aca="false">IF('Bulk Order Details'!K306="","",_xlfn.xlookup("Name",Name[Name],Name[Price]))</f>
        <v/>
      </c>
      <c r="L296" s="213" t="str">
        <f aca="false">IFERROR(IF('Bulk Order Details'!O306="","",IF(_xlfn.xlookup('Bulk Order Details'!O306,Logos[Display],Logos[Use])="Flat",_xlfn.xlookup('Bulk Order Details'!O306,Logos[Display],Logos[Flat]),ROUND(_xlfn.xlookup('Bulk Order Details'!O306,Logos[Display],Logos[Pct])*$E296,2))),"")</f>
        <v/>
      </c>
      <c r="M296" s="222" t="str">
        <f aca="false">IFERROR(IF('Bulk Order Details'!P306="","",IF(_xlfn.xlookup('Bulk Order Details'!P306,Chest[Display],Chest[Use])="Flat",_xlfn.xlookup('Bulk Order Details'!P306,Chest[Display],Chest[Flat]),ROUND(_xlfn.xlookup('Bulk Order Details'!P306,Chest[Display],Chest[Pct])*$E296,2))),"")</f>
        <v/>
      </c>
      <c r="N296" s="222" t="str">
        <f aca="false">IFERROR(IF('Bulk Order Details'!Q306="","",IF(_xlfn.xlookup('Bulk Order Details'!Q306,Chest[Display],Chest[Use])="Flat",_xlfn.xlookup('Bulk Order Details'!Q306,Chest[Display],Chest[Flat]),ROUND(_xlfn.xlookup('Bulk Order Details'!Q306,Chest[Display],Chest[Pct])*$E296,2))),"")</f>
        <v/>
      </c>
      <c r="O296" s="222" t="str">
        <f aca="false">IFERROR(IF('Bulk Order Details'!R306="","",IF(_xlfn.xlookup('Bulk Order Details'!R306,LeftSleeve[Display],LeftSleeve[Use])="Flat",_xlfn.xlookup('Bulk Order Details'!R306,LeftSleeve[Display],LeftSleeve[Flat]),ROUND(_xlfn.xlookup('Bulk Order Details'!R306,LeftSleeve[Display],LeftSleeve[Pct])*$E296,2))),"")</f>
        <v/>
      </c>
      <c r="P296" s="222" t="str">
        <f aca="false">IFERROR(IF('Bulk Order Details'!S306="","",IF(_xlfn.xlookup('Bulk Order Details'!S306,RightSleeve[Display],RightSleeve[Use])="Flat",_xlfn.xlookup('Bulk Order Details'!S306,RightSleeve[Display],RightSleeve[Flat]),ROUND(_xlfn.xlookup('Bulk Order Details'!S306,RightSleeve[Display],RightSleeve[Pct])*$E296,2))),"")</f>
        <v/>
      </c>
      <c r="Q296" s="214" t="str">
        <f aca="false">IF('Bulk Order Details'!J306="","",SUM(F296:P296))</f>
        <v/>
      </c>
      <c r="R296" s="213" t="str">
        <f aca="false">IFERROR(E296-D296,"")</f>
        <v/>
      </c>
      <c r="S296" s="215" t="str">
        <f aca="false">IFERROR(MIN(IF(Summary!$D$11="Yes",-J296,0),IF(H296&gt;0,-J296,0)),"")</f>
        <v/>
      </c>
      <c r="T296" s="212" t="str">
        <f aca="false">IFERROR(IF(Summary!$D$10="Yes",-K296,""),"")</f>
        <v/>
      </c>
      <c r="U296" s="213" t="str">
        <f aca="false">IFERROR(IF(Summary!$D$12="Yes",-L296,""),"")</f>
        <v/>
      </c>
      <c r="V296" s="216" t="str">
        <f aca="false">IF('Bulk Order Details'!J306="","",SUM(R296:U296))</f>
        <v/>
      </c>
      <c r="W296" s="217" t="str">
        <f aca="false">IF('Bulk Order Details'!J306="","",D296+Q296)</f>
        <v/>
      </c>
      <c r="X296" s="218" t="str">
        <f aca="false">IF('Bulk Order Details'!J306="","",D296+Q296+V296)</f>
        <v/>
      </c>
      <c r="Y296" s="219" t="str">
        <f aca="false">IFERROR((W296-X296)/W296,"")</f>
        <v/>
      </c>
      <c r="Z296" s="220" t="str">
        <f aca="false">IF('Bulk Order Details'!J306="","",MAX(1,'Bulk Order Details'!D306))</f>
        <v/>
      </c>
      <c r="AA296" s="217" t="str">
        <f aca="false">IF(Pricing_Details[[#This Row],[Quantity]]="","",Pricing_Details[[#This Row],[Retail Price]]*Pricing_Details[[#This Row],[Quantity]])</f>
        <v/>
      </c>
      <c r="AB296" s="217" t="str">
        <f aca="false">IF(Pricing_Details[[#This Row],[Quantity]]="","",Pricing_Details[[#This Row],[Total Discount]]*Pricing_Details[[#This Row],[Quantity]])</f>
        <v/>
      </c>
      <c r="AC296" s="221" t="str">
        <f aca="false">IFERROR(ROUND(Pricing_Details[[#This Row],[Actual Price]]*Pricing_Details[[#This Row],[Quantity]],2),"")</f>
        <v/>
      </c>
      <c r="AE296" s="179" t="str">
        <f aca="false">IF('Bulk Order Details'!J306="","",VLOOKUP('Bulk Order Details'!H306,Collection[],3)&amp;VLOOKUP('Bulk Order Details'!J306,Collar[],4)&amp;VLOOKUP('Bulk Order Details'!I306,Sleeve[],4))</f>
        <v/>
      </c>
      <c r="AF296" s="179" t="str">
        <f aca="false">IF('Bulk Order Details'!J306="","",LOOKUP('Bulk Order Details'!E306,Cut[Display],Cut[Code])&amp;LOOKUP('Bulk Order Details'!F306,#REF!,#REF!)&amp;IF('Bulk Order Details'!G306="","",LOOKUP('Bulk Order Details'!G306,Length[Display],Length[Code])))</f>
        <v/>
      </c>
      <c r="AG296" s="179" t="str">
        <f aca="false">IF('Bulk Order Details'!J306="","",IF('Bulk Order Details'!C306="","",'Bulk Order Details'!C306))</f>
        <v/>
      </c>
      <c r="AH296" s="179" t="str">
        <f aca="false">IF('Bulk Order Details'!O306="","","-"&amp;LOOKUP('Bulk Order Details'!O306,#REF!,#REF!))</f>
        <v/>
      </c>
      <c r="AI296" s="179" t="str">
        <f aca="false">IF('Bulk Order Details'!P306="","","-"&amp;LOOKUP('Bulk Order Details'!P306,#REF!,#REF!))</f>
        <v/>
      </c>
      <c r="AJ296" s="179" t="str">
        <f aca="false">IF('Bulk Order Details'!Q306="","","-"&amp;LOOKUP('Bulk Order Details'!Q306,#REF!,#REF!))</f>
        <v/>
      </c>
      <c r="AK296" s="179" t="str">
        <f aca="false">IF('Bulk Order Details'!R306="","","-"&amp;LOOKUP('Bulk Order Details'!R306,#REF!,#REF!))</f>
        <v/>
      </c>
      <c r="AL296" s="179" t="str">
        <f aca="false">IF('Bulk Order Details'!S306="","","-"&amp;LOOKUP('Bulk Order Details'!S306,#REF!,#REF!))</f>
        <v/>
      </c>
      <c r="AM296" s="179" t="str">
        <f aca="false">IF(_xlfn.CONCAT(AH296:AL296)="","","Lo"&amp;_xlfn.CONCAT(AH296:AL296))</f>
        <v/>
      </c>
      <c r="AN296" s="179" t="str">
        <f aca="false">IF('Bulk Order Details'!K306="","","Na-"&amp;'Bulk Order Details'!K306)</f>
        <v/>
      </c>
      <c r="AO296" s="179" t="str">
        <f aca="false">IF('Bulk Order Details'!N306="","","Fo-"&amp;'Bulk Order Details'!N306)</f>
        <v/>
      </c>
      <c r="AP296" s="179" t="str">
        <f aca="false">IF(AE296="","",AE296&amp;"_"&amp;AF296&amp;"_"&amp;AG296&amp;IF(AM296="","","_"&amp;AM296)&amp;IF(AN296="","","_"&amp;AN296)&amp;IF(AO296="","","_"&amp;AO296))</f>
        <v/>
      </c>
      <c r="AQ296" s="218" t="str">
        <f aca="false">IF(X296="","",X296)</f>
        <v/>
      </c>
    </row>
    <row r="297" customFormat="false" ht="15" hidden="false" customHeight="true" outlineLevel="0" collapsed="false">
      <c r="B297" s="209" t="n">
        <f aca="false">'Bulk Order Details'!B307</f>
        <v>294</v>
      </c>
      <c r="C297" s="209" t="e">
        <f aca="false">IF('bulk order details'!#ref!="","",'bulk order details'!#ref!&amp;" "&amp;'bulk order details'!#ref!)</f>
        <v>#VALUE!</v>
      </c>
      <c r="D297" s="210" t="str">
        <f aca="false">IF('Bulk Order Details'!J307="","",VLOOKUP(1,Price[],3))</f>
        <v/>
      </c>
      <c r="E297" s="211" t="str">
        <f aca="false">IF('Bulk Order Details'!J307="","",Summary!$D$9)</f>
        <v/>
      </c>
      <c r="F297" s="212" t="str">
        <f aca="false">IF('Bulk Order Details'!F307="","",_xlfn.xlookup('Bulk Order Details'!F307,Size[Display],Size[Price]))</f>
        <v/>
      </c>
      <c r="G297" s="212" t="str">
        <f aca="false">IF('Bulk Order Details'!G307="","",_xlfn.xlookup('Bulk Order Details'!G307,Length[Display],Length[Price]))</f>
        <v/>
      </c>
      <c r="H297" s="212" t="str">
        <f aca="false">IF('Bulk Order Details'!H307="","",_xlfn.xlookup('Bulk Order Details'!H307,Collection[Display],Collection[Price]))</f>
        <v/>
      </c>
      <c r="I297" s="212" t="str">
        <f aca="false">IF('Bulk Order Details'!I307="","",_xlfn.xlookup('Bulk Order Details'!I307,Sleeve[Display],Sleeve[Price]))</f>
        <v/>
      </c>
      <c r="J297" s="212" t="str">
        <f aca="false">IF('Bulk Order Details'!J307="","",_xlfn.xlookup('Bulk Order Details'!J307,Collar[Display],Collar[Price]))</f>
        <v/>
      </c>
      <c r="K297" s="212" t="str">
        <f aca="false">IF('Bulk Order Details'!K307="","",_xlfn.xlookup("Name",Name[Name],Name[Price]))</f>
        <v/>
      </c>
      <c r="L297" s="213" t="str">
        <f aca="false">IFERROR(IF('Bulk Order Details'!O307="","",IF(_xlfn.xlookup('Bulk Order Details'!O307,Logos[Display],Logos[Use])="Flat",_xlfn.xlookup('Bulk Order Details'!O307,Logos[Display],Logos[Flat]),ROUND(_xlfn.xlookup('Bulk Order Details'!O307,Logos[Display],Logos[Pct])*$E297,2))),"")</f>
        <v/>
      </c>
      <c r="M297" s="222" t="str">
        <f aca="false">IFERROR(IF('Bulk Order Details'!P307="","",IF(_xlfn.xlookup('Bulk Order Details'!P307,Chest[Display],Chest[Use])="Flat",_xlfn.xlookup('Bulk Order Details'!P307,Chest[Display],Chest[Flat]),ROUND(_xlfn.xlookup('Bulk Order Details'!P307,Chest[Display],Chest[Pct])*$E297,2))),"")</f>
        <v/>
      </c>
      <c r="N297" s="222" t="str">
        <f aca="false">IFERROR(IF('Bulk Order Details'!Q307="","",IF(_xlfn.xlookup('Bulk Order Details'!Q307,Chest[Display],Chest[Use])="Flat",_xlfn.xlookup('Bulk Order Details'!Q307,Chest[Display],Chest[Flat]),ROUND(_xlfn.xlookup('Bulk Order Details'!Q307,Chest[Display],Chest[Pct])*$E297,2))),"")</f>
        <v/>
      </c>
      <c r="O297" s="222" t="str">
        <f aca="false">IFERROR(IF('Bulk Order Details'!R307="","",IF(_xlfn.xlookup('Bulk Order Details'!R307,LeftSleeve[Display],LeftSleeve[Use])="Flat",_xlfn.xlookup('Bulk Order Details'!R307,LeftSleeve[Display],LeftSleeve[Flat]),ROUND(_xlfn.xlookup('Bulk Order Details'!R307,LeftSleeve[Display],LeftSleeve[Pct])*$E297,2))),"")</f>
        <v/>
      </c>
      <c r="P297" s="222" t="str">
        <f aca="false">IFERROR(IF('Bulk Order Details'!S307="","",IF(_xlfn.xlookup('Bulk Order Details'!S307,RightSleeve[Display],RightSleeve[Use])="Flat",_xlfn.xlookup('Bulk Order Details'!S307,RightSleeve[Display],RightSleeve[Flat]),ROUND(_xlfn.xlookup('Bulk Order Details'!S307,RightSleeve[Display],RightSleeve[Pct])*$E297,2))),"")</f>
        <v/>
      </c>
      <c r="Q297" s="214" t="str">
        <f aca="false">IF('Bulk Order Details'!J307="","",SUM(F297:P297))</f>
        <v/>
      </c>
      <c r="R297" s="213" t="str">
        <f aca="false">IFERROR(E297-D297,"")</f>
        <v/>
      </c>
      <c r="S297" s="215" t="str">
        <f aca="false">IFERROR(MIN(IF(Summary!$D$11="Yes",-J297,0),IF(H297&gt;0,-J297,0)),"")</f>
        <v/>
      </c>
      <c r="T297" s="212" t="str">
        <f aca="false">IFERROR(IF(Summary!$D$10="Yes",-K297,""),"")</f>
        <v/>
      </c>
      <c r="U297" s="213" t="str">
        <f aca="false">IFERROR(IF(Summary!$D$12="Yes",-L297,""),"")</f>
        <v/>
      </c>
      <c r="V297" s="216" t="str">
        <f aca="false">IF('Bulk Order Details'!J307="","",SUM(R297:U297))</f>
        <v/>
      </c>
      <c r="W297" s="217" t="str">
        <f aca="false">IF('Bulk Order Details'!J307="","",D297+Q297)</f>
        <v/>
      </c>
      <c r="X297" s="218" t="str">
        <f aca="false">IF('Bulk Order Details'!J307="","",D297+Q297+V297)</f>
        <v/>
      </c>
      <c r="Y297" s="219" t="str">
        <f aca="false">IFERROR((W297-X297)/W297,"")</f>
        <v/>
      </c>
      <c r="Z297" s="220" t="str">
        <f aca="false">IF('Bulk Order Details'!J307="","",MAX(1,'Bulk Order Details'!D307))</f>
        <v/>
      </c>
      <c r="AA297" s="217" t="str">
        <f aca="false">IF(Pricing_Details[[#This Row],[Quantity]]="","",Pricing_Details[[#This Row],[Retail Price]]*Pricing_Details[[#This Row],[Quantity]])</f>
        <v/>
      </c>
      <c r="AB297" s="217" t="str">
        <f aca="false">IF(Pricing_Details[[#This Row],[Quantity]]="","",Pricing_Details[[#This Row],[Total Discount]]*Pricing_Details[[#This Row],[Quantity]])</f>
        <v/>
      </c>
      <c r="AC297" s="221" t="str">
        <f aca="false">IFERROR(ROUND(Pricing_Details[[#This Row],[Actual Price]]*Pricing_Details[[#This Row],[Quantity]],2),"")</f>
        <v/>
      </c>
      <c r="AE297" s="179" t="str">
        <f aca="false">IF('Bulk Order Details'!J307="","",VLOOKUP('Bulk Order Details'!H307,Collection[],3)&amp;VLOOKUP('Bulk Order Details'!J307,Collar[],4)&amp;VLOOKUP('Bulk Order Details'!I307,Sleeve[],4))</f>
        <v/>
      </c>
      <c r="AF297" s="179" t="str">
        <f aca="false">IF('Bulk Order Details'!J307="","",LOOKUP('Bulk Order Details'!E307,Cut[Display],Cut[Code])&amp;LOOKUP('Bulk Order Details'!F307,#REF!,#REF!)&amp;IF('Bulk Order Details'!G307="","",LOOKUP('Bulk Order Details'!G307,Length[Display],Length[Code])))</f>
        <v/>
      </c>
      <c r="AG297" s="179" t="str">
        <f aca="false">IF('Bulk Order Details'!J307="","",IF('Bulk Order Details'!C307="","",'Bulk Order Details'!C307))</f>
        <v/>
      </c>
      <c r="AH297" s="179" t="str">
        <f aca="false">IF('Bulk Order Details'!O307="","","-"&amp;LOOKUP('Bulk Order Details'!O307,#REF!,#REF!))</f>
        <v/>
      </c>
      <c r="AI297" s="179" t="str">
        <f aca="false">IF('Bulk Order Details'!P307="","","-"&amp;LOOKUP('Bulk Order Details'!P307,#REF!,#REF!))</f>
        <v/>
      </c>
      <c r="AJ297" s="179" t="str">
        <f aca="false">IF('Bulk Order Details'!Q307="","","-"&amp;LOOKUP('Bulk Order Details'!Q307,#REF!,#REF!))</f>
        <v/>
      </c>
      <c r="AK297" s="179" t="str">
        <f aca="false">IF('Bulk Order Details'!R307="","","-"&amp;LOOKUP('Bulk Order Details'!R307,#REF!,#REF!))</f>
        <v/>
      </c>
      <c r="AL297" s="179" t="str">
        <f aca="false">IF('Bulk Order Details'!S307="","","-"&amp;LOOKUP('Bulk Order Details'!S307,#REF!,#REF!))</f>
        <v/>
      </c>
      <c r="AM297" s="179" t="str">
        <f aca="false">IF(_xlfn.CONCAT(AH297:AL297)="","","Lo"&amp;_xlfn.CONCAT(AH297:AL297))</f>
        <v/>
      </c>
      <c r="AN297" s="179" t="str">
        <f aca="false">IF('Bulk Order Details'!K307="","","Na-"&amp;'Bulk Order Details'!K307)</f>
        <v/>
      </c>
      <c r="AO297" s="179" t="str">
        <f aca="false">IF('Bulk Order Details'!N307="","","Fo-"&amp;'Bulk Order Details'!N307)</f>
        <v/>
      </c>
      <c r="AP297" s="179" t="str">
        <f aca="false">IF(AE297="","",AE297&amp;"_"&amp;AF297&amp;"_"&amp;AG297&amp;IF(AM297="","","_"&amp;AM297)&amp;IF(AN297="","","_"&amp;AN297)&amp;IF(AO297="","","_"&amp;AO297))</f>
        <v/>
      </c>
      <c r="AQ297" s="218" t="str">
        <f aca="false">IF(X297="","",X297)</f>
        <v/>
      </c>
    </row>
    <row r="298" customFormat="false" ht="15" hidden="false" customHeight="true" outlineLevel="0" collapsed="false">
      <c r="B298" s="209" t="n">
        <f aca="false">'Bulk Order Details'!B308</f>
        <v>295</v>
      </c>
      <c r="C298" s="209" t="e">
        <f aca="false">IF('bulk order details'!#ref!="","",'bulk order details'!#ref!&amp;" "&amp;'bulk order details'!#ref!)</f>
        <v>#VALUE!</v>
      </c>
      <c r="D298" s="210" t="str">
        <f aca="false">IF('Bulk Order Details'!J308="","",VLOOKUP(1,Price[],3))</f>
        <v/>
      </c>
      <c r="E298" s="211" t="str">
        <f aca="false">IF('Bulk Order Details'!J308="","",Summary!$D$9)</f>
        <v/>
      </c>
      <c r="F298" s="212" t="str">
        <f aca="false">IF('Bulk Order Details'!F308="","",_xlfn.xlookup('Bulk Order Details'!F308,Size[Display],Size[Price]))</f>
        <v/>
      </c>
      <c r="G298" s="212" t="str">
        <f aca="false">IF('Bulk Order Details'!G308="","",_xlfn.xlookup('Bulk Order Details'!G308,Length[Display],Length[Price]))</f>
        <v/>
      </c>
      <c r="H298" s="212" t="str">
        <f aca="false">IF('Bulk Order Details'!H308="","",_xlfn.xlookup('Bulk Order Details'!H308,Collection[Display],Collection[Price]))</f>
        <v/>
      </c>
      <c r="I298" s="212" t="str">
        <f aca="false">IF('Bulk Order Details'!I308="","",_xlfn.xlookup('Bulk Order Details'!I308,Sleeve[Display],Sleeve[Price]))</f>
        <v/>
      </c>
      <c r="J298" s="212" t="str">
        <f aca="false">IF('Bulk Order Details'!J308="","",_xlfn.xlookup('Bulk Order Details'!J308,Collar[Display],Collar[Price]))</f>
        <v/>
      </c>
      <c r="K298" s="212" t="str">
        <f aca="false">IF('Bulk Order Details'!K308="","",_xlfn.xlookup("Name",Name[Name],Name[Price]))</f>
        <v/>
      </c>
      <c r="L298" s="213" t="str">
        <f aca="false">IFERROR(IF('Bulk Order Details'!O308="","",IF(_xlfn.xlookup('Bulk Order Details'!O308,Logos[Display],Logos[Use])="Flat",_xlfn.xlookup('Bulk Order Details'!O308,Logos[Display],Logos[Flat]),ROUND(_xlfn.xlookup('Bulk Order Details'!O308,Logos[Display],Logos[Pct])*$E298,2))),"")</f>
        <v/>
      </c>
      <c r="M298" s="222" t="str">
        <f aca="false">IFERROR(IF('Bulk Order Details'!P308="","",IF(_xlfn.xlookup('Bulk Order Details'!P308,Chest[Display],Chest[Use])="Flat",_xlfn.xlookup('Bulk Order Details'!P308,Chest[Display],Chest[Flat]),ROUND(_xlfn.xlookup('Bulk Order Details'!P308,Chest[Display],Chest[Pct])*$E298,2))),"")</f>
        <v/>
      </c>
      <c r="N298" s="222" t="str">
        <f aca="false">IFERROR(IF('Bulk Order Details'!Q308="","",IF(_xlfn.xlookup('Bulk Order Details'!Q308,Chest[Display],Chest[Use])="Flat",_xlfn.xlookup('Bulk Order Details'!Q308,Chest[Display],Chest[Flat]),ROUND(_xlfn.xlookup('Bulk Order Details'!Q308,Chest[Display],Chest[Pct])*$E298,2))),"")</f>
        <v/>
      </c>
      <c r="O298" s="222" t="str">
        <f aca="false">IFERROR(IF('Bulk Order Details'!R308="","",IF(_xlfn.xlookup('Bulk Order Details'!R308,LeftSleeve[Display],LeftSleeve[Use])="Flat",_xlfn.xlookup('Bulk Order Details'!R308,LeftSleeve[Display],LeftSleeve[Flat]),ROUND(_xlfn.xlookup('Bulk Order Details'!R308,LeftSleeve[Display],LeftSleeve[Pct])*$E298,2))),"")</f>
        <v/>
      </c>
      <c r="P298" s="222" t="str">
        <f aca="false">IFERROR(IF('Bulk Order Details'!S308="","",IF(_xlfn.xlookup('Bulk Order Details'!S308,RightSleeve[Display],RightSleeve[Use])="Flat",_xlfn.xlookup('Bulk Order Details'!S308,RightSleeve[Display],RightSleeve[Flat]),ROUND(_xlfn.xlookup('Bulk Order Details'!S308,RightSleeve[Display],RightSleeve[Pct])*$E298,2))),"")</f>
        <v/>
      </c>
      <c r="Q298" s="214" t="str">
        <f aca="false">IF('Bulk Order Details'!J308="","",SUM(F298:P298))</f>
        <v/>
      </c>
      <c r="R298" s="213" t="str">
        <f aca="false">IFERROR(E298-D298,"")</f>
        <v/>
      </c>
      <c r="S298" s="215" t="str">
        <f aca="false">IFERROR(MIN(IF(Summary!$D$11="Yes",-J298,0),IF(H298&gt;0,-J298,0)),"")</f>
        <v/>
      </c>
      <c r="T298" s="212" t="str">
        <f aca="false">IFERROR(IF(Summary!$D$10="Yes",-K298,""),"")</f>
        <v/>
      </c>
      <c r="U298" s="213" t="str">
        <f aca="false">IFERROR(IF(Summary!$D$12="Yes",-L298,""),"")</f>
        <v/>
      </c>
      <c r="V298" s="216" t="str">
        <f aca="false">IF('Bulk Order Details'!J308="","",SUM(R298:U298))</f>
        <v/>
      </c>
      <c r="W298" s="217" t="str">
        <f aca="false">IF('Bulk Order Details'!J308="","",D298+Q298)</f>
        <v/>
      </c>
      <c r="X298" s="218" t="str">
        <f aca="false">IF('Bulk Order Details'!J308="","",D298+Q298+V298)</f>
        <v/>
      </c>
      <c r="Y298" s="219" t="str">
        <f aca="false">IFERROR((W298-X298)/W298,"")</f>
        <v/>
      </c>
      <c r="Z298" s="220" t="str">
        <f aca="false">IF('Bulk Order Details'!J308="","",MAX(1,'Bulk Order Details'!D308))</f>
        <v/>
      </c>
      <c r="AA298" s="217" t="str">
        <f aca="false">IF(Pricing_Details[[#This Row],[Quantity]]="","",Pricing_Details[[#This Row],[Retail Price]]*Pricing_Details[[#This Row],[Quantity]])</f>
        <v/>
      </c>
      <c r="AB298" s="217" t="str">
        <f aca="false">IF(Pricing_Details[[#This Row],[Quantity]]="","",Pricing_Details[[#This Row],[Total Discount]]*Pricing_Details[[#This Row],[Quantity]])</f>
        <v/>
      </c>
      <c r="AC298" s="221" t="str">
        <f aca="false">IFERROR(ROUND(Pricing_Details[[#This Row],[Actual Price]]*Pricing_Details[[#This Row],[Quantity]],2),"")</f>
        <v/>
      </c>
      <c r="AE298" s="179" t="str">
        <f aca="false">IF('Bulk Order Details'!J308="","",VLOOKUP('Bulk Order Details'!H308,Collection[],3)&amp;VLOOKUP('Bulk Order Details'!J308,Collar[],4)&amp;VLOOKUP('Bulk Order Details'!I308,Sleeve[],4))</f>
        <v/>
      </c>
      <c r="AF298" s="179" t="str">
        <f aca="false">IF('Bulk Order Details'!J308="","",LOOKUP('Bulk Order Details'!E308,Cut[Display],Cut[Code])&amp;LOOKUP('Bulk Order Details'!F308,#REF!,#REF!)&amp;IF('Bulk Order Details'!G308="","",LOOKUP('Bulk Order Details'!G308,Length[Display],Length[Code])))</f>
        <v/>
      </c>
      <c r="AG298" s="179" t="str">
        <f aca="false">IF('Bulk Order Details'!J308="","",IF('Bulk Order Details'!C308="","",'Bulk Order Details'!C308))</f>
        <v/>
      </c>
      <c r="AH298" s="179" t="str">
        <f aca="false">IF('Bulk Order Details'!O308="","","-"&amp;LOOKUP('Bulk Order Details'!O308,#REF!,#REF!))</f>
        <v/>
      </c>
      <c r="AI298" s="179" t="str">
        <f aca="false">IF('Bulk Order Details'!P308="","","-"&amp;LOOKUP('Bulk Order Details'!P308,#REF!,#REF!))</f>
        <v/>
      </c>
      <c r="AJ298" s="179" t="str">
        <f aca="false">IF('Bulk Order Details'!Q308="","","-"&amp;LOOKUP('Bulk Order Details'!Q308,#REF!,#REF!))</f>
        <v/>
      </c>
      <c r="AK298" s="179" t="str">
        <f aca="false">IF('Bulk Order Details'!R308="","","-"&amp;LOOKUP('Bulk Order Details'!R308,#REF!,#REF!))</f>
        <v/>
      </c>
      <c r="AL298" s="179" t="str">
        <f aca="false">IF('Bulk Order Details'!S308="","","-"&amp;LOOKUP('Bulk Order Details'!S308,#REF!,#REF!))</f>
        <v/>
      </c>
      <c r="AM298" s="179" t="str">
        <f aca="false">IF(_xlfn.CONCAT(AH298:AL298)="","","Lo"&amp;_xlfn.CONCAT(AH298:AL298))</f>
        <v/>
      </c>
      <c r="AN298" s="179" t="str">
        <f aca="false">IF('Bulk Order Details'!K308="","","Na-"&amp;'Bulk Order Details'!K308)</f>
        <v/>
      </c>
      <c r="AO298" s="179" t="str">
        <f aca="false">IF('Bulk Order Details'!N308="","","Fo-"&amp;'Bulk Order Details'!N308)</f>
        <v/>
      </c>
      <c r="AP298" s="179" t="str">
        <f aca="false">IF(AE298="","",AE298&amp;"_"&amp;AF298&amp;"_"&amp;AG298&amp;IF(AM298="","","_"&amp;AM298)&amp;IF(AN298="","","_"&amp;AN298)&amp;IF(AO298="","","_"&amp;AO298))</f>
        <v/>
      </c>
      <c r="AQ298" s="218" t="str">
        <f aca="false">IF(X298="","",X298)</f>
        <v/>
      </c>
    </row>
    <row r="299" customFormat="false" ht="15" hidden="false" customHeight="true" outlineLevel="0" collapsed="false">
      <c r="B299" s="209" t="n">
        <f aca="false">'Bulk Order Details'!B309</f>
        <v>296</v>
      </c>
      <c r="C299" s="209" t="e">
        <f aca="false">IF('bulk order details'!#ref!="","",'bulk order details'!#ref!&amp;" "&amp;'bulk order details'!#ref!)</f>
        <v>#VALUE!</v>
      </c>
      <c r="D299" s="210" t="str">
        <f aca="false">IF('Bulk Order Details'!J309="","",VLOOKUP(1,Price[],3))</f>
        <v/>
      </c>
      <c r="E299" s="211" t="str">
        <f aca="false">IF('Bulk Order Details'!J309="","",Summary!$D$9)</f>
        <v/>
      </c>
      <c r="F299" s="212" t="str">
        <f aca="false">IF('Bulk Order Details'!F309="","",_xlfn.xlookup('Bulk Order Details'!F309,Size[Display],Size[Price]))</f>
        <v/>
      </c>
      <c r="G299" s="212" t="str">
        <f aca="false">IF('Bulk Order Details'!G309="","",_xlfn.xlookup('Bulk Order Details'!G309,Length[Display],Length[Price]))</f>
        <v/>
      </c>
      <c r="H299" s="212" t="str">
        <f aca="false">IF('Bulk Order Details'!H309="","",_xlfn.xlookup('Bulk Order Details'!H309,Collection[Display],Collection[Price]))</f>
        <v/>
      </c>
      <c r="I299" s="212" t="str">
        <f aca="false">IF('Bulk Order Details'!I309="","",_xlfn.xlookup('Bulk Order Details'!I309,Sleeve[Display],Sleeve[Price]))</f>
        <v/>
      </c>
      <c r="J299" s="212" t="str">
        <f aca="false">IF('Bulk Order Details'!J309="","",_xlfn.xlookup('Bulk Order Details'!J309,Collar[Display],Collar[Price]))</f>
        <v/>
      </c>
      <c r="K299" s="212" t="str">
        <f aca="false">IF('Bulk Order Details'!K309="","",_xlfn.xlookup("Name",Name[Name],Name[Price]))</f>
        <v/>
      </c>
      <c r="L299" s="213" t="str">
        <f aca="false">IFERROR(IF('Bulk Order Details'!O309="","",IF(_xlfn.xlookup('Bulk Order Details'!O309,Logos[Display],Logos[Use])="Flat",_xlfn.xlookup('Bulk Order Details'!O309,Logos[Display],Logos[Flat]),ROUND(_xlfn.xlookup('Bulk Order Details'!O309,Logos[Display],Logos[Pct])*$E299,2))),"")</f>
        <v/>
      </c>
      <c r="M299" s="222" t="str">
        <f aca="false">IFERROR(IF('Bulk Order Details'!P309="","",IF(_xlfn.xlookup('Bulk Order Details'!P309,Chest[Display],Chest[Use])="Flat",_xlfn.xlookup('Bulk Order Details'!P309,Chest[Display],Chest[Flat]),ROUND(_xlfn.xlookup('Bulk Order Details'!P309,Chest[Display],Chest[Pct])*$E299,2))),"")</f>
        <v/>
      </c>
      <c r="N299" s="222" t="str">
        <f aca="false">IFERROR(IF('Bulk Order Details'!Q309="","",IF(_xlfn.xlookup('Bulk Order Details'!Q309,Chest[Display],Chest[Use])="Flat",_xlfn.xlookup('Bulk Order Details'!Q309,Chest[Display],Chest[Flat]),ROUND(_xlfn.xlookup('Bulk Order Details'!Q309,Chest[Display],Chest[Pct])*$E299,2))),"")</f>
        <v/>
      </c>
      <c r="O299" s="222" t="str">
        <f aca="false">IFERROR(IF('Bulk Order Details'!R309="","",IF(_xlfn.xlookup('Bulk Order Details'!R309,LeftSleeve[Display],LeftSleeve[Use])="Flat",_xlfn.xlookup('Bulk Order Details'!R309,LeftSleeve[Display],LeftSleeve[Flat]),ROUND(_xlfn.xlookup('Bulk Order Details'!R309,LeftSleeve[Display],LeftSleeve[Pct])*$E299,2))),"")</f>
        <v/>
      </c>
      <c r="P299" s="222" t="str">
        <f aca="false">IFERROR(IF('Bulk Order Details'!S309="","",IF(_xlfn.xlookup('Bulk Order Details'!S309,RightSleeve[Display],RightSleeve[Use])="Flat",_xlfn.xlookup('Bulk Order Details'!S309,RightSleeve[Display],RightSleeve[Flat]),ROUND(_xlfn.xlookup('Bulk Order Details'!S309,RightSleeve[Display],RightSleeve[Pct])*$E299,2))),"")</f>
        <v/>
      </c>
      <c r="Q299" s="214" t="str">
        <f aca="false">IF('Bulk Order Details'!J309="","",SUM(F299:P299))</f>
        <v/>
      </c>
      <c r="R299" s="213" t="str">
        <f aca="false">IFERROR(E299-D299,"")</f>
        <v/>
      </c>
      <c r="S299" s="215" t="str">
        <f aca="false">IFERROR(MIN(IF(Summary!$D$11="Yes",-J299,0),IF(H299&gt;0,-J299,0)),"")</f>
        <v/>
      </c>
      <c r="T299" s="212" t="str">
        <f aca="false">IFERROR(IF(Summary!$D$10="Yes",-K299,""),"")</f>
        <v/>
      </c>
      <c r="U299" s="213" t="str">
        <f aca="false">IFERROR(IF(Summary!$D$12="Yes",-L299,""),"")</f>
        <v/>
      </c>
      <c r="V299" s="216" t="str">
        <f aca="false">IF('Bulk Order Details'!J309="","",SUM(R299:U299))</f>
        <v/>
      </c>
      <c r="W299" s="217" t="str">
        <f aca="false">IF('Bulk Order Details'!J309="","",D299+Q299)</f>
        <v/>
      </c>
      <c r="X299" s="218" t="str">
        <f aca="false">IF('Bulk Order Details'!J309="","",D299+Q299+V299)</f>
        <v/>
      </c>
      <c r="Y299" s="219" t="str">
        <f aca="false">IFERROR((W299-X299)/W299,"")</f>
        <v/>
      </c>
      <c r="Z299" s="220" t="str">
        <f aca="false">IF('Bulk Order Details'!J309="","",MAX(1,'Bulk Order Details'!D309))</f>
        <v/>
      </c>
      <c r="AA299" s="217" t="str">
        <f aca="false">IF(Pricing_Details[[#This Row],[Quantity]]="","",Pricing_Details[[#This Row],[Retail Price]]*Pricing_Details[[#This Row],[Quantity]])</f>
        <v/>
      </c>
      <c r="AB299" s="217" t="str">
        <f aca="false">IF(Pricing_Details[[#This Row],[Quantity]]="","",Pricing_Details[[#This Row],[Total Discount]]*Pricing_Details[[#This Row],[Quantity]])</f>
        <v/>
      </c>
      <c r="AC299" s="221" t="str">
        <f aca="false">IFERROR(ROUND(Pricing_Details[[#This Row],[Actual Price]]*Pricing_Details[[#This Row],[Quantity]],2),"")</f>
        <v/>
      </c>
      <c r="AE299" s="179" t="str">
        <f aca="false">IF('Bulk Order Details'!J309="","",VLOOKUP('Bulk Order Details'!H309,Collection[],3)&amp;VLOOKUP('Bulk Order Details'!J309,Collar[],4)&amp;VLOOKUP('Bulk Order Details'!I309,Sleeve[],4))</f>
        <v/>
      </c>
      <c r="AF299" s="179" t="str">
        <f aca="false">IF('Bulk Order Details'!J309="","",LOOKUP('Bulk Order Details'!E309,Cut[Display],Cut[Code])&amp;LOOKUP('Bulk Order Details'!F309,#REF!,#REF!)&amp;IF('Bulk Order Details'!G309="","",LOOKUP('Bulk Order Details'!G309,Length[Display],Length[Code])))</f>
        <v/>
      </c>
      <c r="AG299" s="179" t="str">
        <f aca="false">IF('Bulk Order Details'!J309="","",IF('Bulk Order Details'!C309="","",'Bulk Order Details'!C309))</f>
        <v/>
      </c>
      <c r="AH299" s="179" t="str">
        <f aca="false">IF('Bulk Order Details'!O309="","","-"&amp;LOOKUP('Bulk Order Details'!O309,#REF!,#REF!))</f>
        <v/>
      </c>
      <c r="AI299" s="179" t="str">
        <f aca="false">IF('Bulk Order Details'!P309="","","-"&amp;LOOKUP('Bulk Order Details'!P309,#REF!,#REF!))</f>
        <v/>
      </c>
      <c r="AJ299" s="179" t="str">
        <f aca="false">IF('Bulk Order Details'!Q309="","","-"&amp;LOOKUP('Bulk Order Details'!Q309,#REF!,#REF!))</f>
        <v/>
      </c>
      <c r="AK299" s="179" t="str">
        <f aca="false">IF('Bulk Order Details'!R309="","","-"&amp;LOOKUP('Bulk Order Details'!R309,#REF!,#REF!))</f>
        <v/>
      </c>
      <c r="AL299" s="179" t="str">
        <f aca="false">IF('Bulk Order Details'!S309="","","-"&amp;LOOKUP('Bulk Order Details'!S309,#REF!,#REF!))</f>
        <v/>
      </c>
      <c r="AM299" s="179" t="str">
        <f aca="false">IF(_xlfn.CONCAT(AH299:AL299)="","","Lo"&amp;_xlfn.CONCAT(AH299:AL299))</f>
        <v/>
      </c>
      <c r="AN299" s="179" t="str">
        <f aca="false">IF('Bulk Order Details'!K309="","","Na-"&amp;'Bulk Order Details'!K309)</f>
        <v/>
      </c>
      <c r="AO299" s="179" t="str">
        <f aca="false">IF('Bulk Order Details'!N309="","","Fo-"&amp;'Bulk Order Details'!N309)</f>
        <v/>
      </c>
      <c r="AP299" s="179" t="str">
        <f aca="false">IF(AE299="","",AE299&amp;"_"&amp;AF299&amp;"_"&amp;AG299&amp;IF(AM299="","","_"&amp;AM299)&amp;IF(AN299="","","_"&amp;AN299)&amp;IF(AO299="","","_"&amp;AO299))</f>
        <v/>
      </c>
      <c r="AQ299" s="218" t="str">
        <f aca="false">IF(X299="","",X299)</f>
        <v/>
      </c>
    </row>
    <row r="300" customFormat="false" ht="15" hidden="false" customHeight="true" outlineLevel="0" collapsed="false">
      <c r="B300" s="209" t="n">
        <f aca="false">'Bulk Order Details'!B310</f>
        <v>297</v>
      </c>
      <c r="C300" s="209" t="e">
        <f aca="false">IF('bulk order details'!#ref!="","",'bulk order details'!#ref!&amp;" "&amp;'bulk order details'!#ref!)</f>
        <v>#VALUE!</v>
      </c>
      <c r="D300" s="210" t="str">
        <f aca="false">IF('Bulk Order Details'!J310="","",VLOOKUP(1,Price[],3))</f>
        <v/>
      </c>
      <c r="E300" s="211" t="str">
        <f aca="false">IF('Bulk Order Details'!J310="","",Summary!$D$9)</f>
        <v/>
      </c>
      <c r="F300" s="212" t="str">
        <f aca="false">IF('Bulk Order Details'!F310="","",_xlfn.xlookup('Bulk Order Details'!F310,Size[Display],Size[Price]))</f>
        <v/>
      </c>
      <c r="G300" s="212" t="str">
        <f aca="false">IF('Bulk Order Details'!G310="","",_xlfn.xlookup('Bulk Order Details'!G310,Length[Display],Length[Price]))</f>
        <v/>
      </c>
      <c r="H300" s="212" t="str">
        <f aca="false">IF('Bulk Order Details'!H310="","",_xlfn.xlookup('Bulk Order Details'!H310,Collection[Display],Collection[Price]))</f>
        <v/>
      </c>
      <c r="I300" s="212" t="str">
        <f aca="false">IF('Bulk Order Details'!I310="","",_xlfn.xlookup('Bulk Order Details'!I310,Sleeve[Display],Sleeve[Price]))</f>
        <v/>
      </c>
      <c r="J300" s="212" t="str">
        <f aca="false">IF('Bulk Order Details'!J310="","",_xlfn.xlookup('Bulk Order Details'!J310,Collar[Display],Collar[Price]))</f>
        <v/>
      </c>
      <c r="K300" s="212" t="str">
        <f aca="false">IF('Bulk Order Details'!K310="","",_xlfn.xlookup("Name",Name[Name],Name[Price]))</f>
        <v/>
      </c>
      <c r="L300" s="213" t="str">
        <f aca="false">IFERROR(IF('Bulk Order Details'!O310="","",IF(_xlfn.xlookup('Bulk Order Details'!O310,Logos[Display],Logos[Use])="Flat",_xlfn.xlookup('Bulk Order Details'!O310,Logos[Display],Logos[Flat]),ROUND(_xlfn.xlookup('Bulk Order Details'!O310,Logos[Display],Logos[Pct])*$E300,2))),"")</f>
        <v/>
      </c>
      <c r="M300" s="222" t="str">
        <f aca="false">IFERROR(IF('Bulk Order Details'!P310="","",IF(_xlfn.xlookup('Bulk Order Details'!P310,Chest[Display],Chest[Use])="Flat",_xlfn.xlookup('Bulk Order Details'!P310,Chest[Display],Chest[Flat]),ROUND(_xlfn.xlookup('Bulk Order Details'!P310,Chest[Display],Chest[Pct])*$E300,2))),"")</f>
        <v/>
      </c>
      <c r="N300" s="222" t="str">
        <f aca="false">IFERROR(IF('Bulk Order Details'!Q310="","",IF(_xlfn.xlookup('Bulk Order Details'!Q310,Chest[Display],Chest[Use])="Flat",_xlfn.xlookup('Bulk Order Details'!Q310,Chest[Display],Chest[Flat]),ROUND(_xlfn.xlookup('Bulk Order Details'!Q310,Chest[Display],Chest[Pct])*$E300,2))),"")</f>
        <v/>
      </c>
      <c r="O300" s="222" t="str">
        <f aca="false">IFERROR(IF('Bulk Order Details'!R310="","",IF(_xlfn.xlookup('Bulk Order Details'!R310,LeftSleeve[Display],LeftSleeve[Use])="Flat",_xlfn.xlookup('Bulk Order Details'!R310,LeftSleeve[Display],LeftSleeve[Flat]),ROUND(_xlfn.xlookup('Bulk Order Details'!R310,LeftSleeve[Display],LeftSleeve[Pct])*$E300,2))),"")</f>
        <v/>
      </c>
      <c r="P300" s="222" t="str">
        <f aca="false">IFERROR(IF('Bulk Order Details'!S310="","",IF(_xlfn.xlookup('Bulk Order Details'!S310,RightSleeve[Display],RightSleeve[Use])="Flat",_xlfn.xlookup('Bulk Order Details'!S310,RightSleeve[Display],RightSleeve[Flat]),ROUND(_xlfn.xlookup('Bulk Order Details'!S310,RightSleeve[Display],RightSleeve[Pct])*$E300,2))),"")</f>
        <v/>
      </c>
      <c r="Q300" s="214" t="str">
        <f aca="false">IF('Bulk Order Details'!J310="","",SUM(F300:P300))</f>
        <v/>
      </c>
      <c r="R300" s="213" t="str">
        <f aca="false">IFERROR(E300-D300,"")</f>
        <v/>
      </c>
      <c r="S300" s="215" t="str">
        <f aca="false">IFERROR(MIN(IF(Summary!$D$11="Yes",-J300,0),IF(H300&gt;0,-J300,0)),"")</f>
        <v/>
      </c>
      <c r="T300" s="212" t="str">
        <f aca="false">IFERROR(IF(Summary!$D$10="Yes",-K300,""),"")</f>
        <v/>
      </c>
      <c r="U300" s="213" t="str">
        <f aca="false">IFERROR(IF(Summary!$D$12="Yes",-L300,""),"")</f>
        <v/>
      </c>
      <c r="V300" s="216" t="str">
        <f aca="false">IF('Bulk Order Details'!J310="","",SUM(R300:U300))</f>
        <v/>
      </c>
      <c r="W300" s="217" t="str">
        <f aca="false">IF('Bulk Order Details'!J310="","",D300+Q300)</f>
        <v/>
      </c>
      <c r="X300" s="218" t="str">
        <f aca="false">IF('Bulk Order Details'!J310="","",D300+Q300+V300)</f>
        <v/>
      </c>
      <c r="Y300" s="219" t="str">
        <f aca="false">IFERROR((W300-X300)/W300,"")</f>
        <v/>
      </c>
      <c r="Z300" s="220" t="str">
        <f aca="false">IF('Bulk Order Details'!J310="","",MAX(1,'Bulk Order Details'!D310))</f>
        <v/>
      </c>
      <c r="AA300" s="217" t="str">
        <f aca="false">IF(Pricing_Details[[#This Row],[Quantity]]="","",Pricing_Details[[#This Row],[Retail Price]]*Pricing_Details[[#This Row],[Quantity]])</f>
        <v/>
      </c>
      <c r="AB300" s="217" t="str">
        <f aca="false">IF(Pricing_Details[[#This Row],[Quantity]]="","",Pricing_Details[[#This Row],[Total Discount]]*Pricing_Details[[#This Row],[Quantity]])</f>
        <v/>
      </c>
      <c r="AC300" s="221" t="str">
        <f aca="false">IFERROR(ROUND(Pricing_Details[[#This Row],[Actual Price]]*Pricing_Details[[#This Row],[Quantity]],2),"")</f>
        <v/>
      </c>
      <c r="AE300" s="179" t="str">
        <f aca="false">IF('Bulk Order Details'!J310="","",VLOOKUP('Bulk Order Details'!H310,Collection[],3)&amp;VLOOKUP('Bulk Order Details'!J310,Collar[],4)&amp;VLOOKUP('Bulk Order Details'!I310,Sleeve[],4))</f>
        <v/>
      </c>
      <c r="AF300" s="179" t="str">
        <f aca="false">IF('Bulk Order Details'!J310="","",LOOKUP('Bulk Order Details'!E310,Cut[Display],Cut[Code])&amp;LOOKUP('Bulk Order Details'!F310,#REF!,#REF!)&amp;IF('Bulk Order Details'!G310="","",LOOKUP('Bulk Order Details'!G310,Length[Display],Length[Code])))</f>
        <v/>
      </c>
      <c r="AG300" s="179" t="str">
        <f aca="false">IF('Bulk Order Details'!J310="","",IF('Bulk Order Details'!C310="","",'Bulk Order Details'!C310))</f>
        <v/>
      </c>
      <c r="AH300" s="179" t="str">
        <f aca="false">IF('Bulk Order Details'!O310="","","-"&amp;LOOKUP('Bulk Order Details'!O310,#REF!,#REF!))</f>
        <v/>
      </c>
      <c r="AI300" s="179" t="str">
        <f aca="false">IF('Bulk Order Details'!P310="","","-"&amp;LOOKUP('Bulk Order Details'!P310,#REF!,#REF!))</f>
        <v/>
      </c>
      <c r="AJ300" s="179" t="str">
        <f aca="false">IF('Bulk Order Details'!Q310="","","-"&amp;LOOKUP('Bulk Order Details'!Q310,#REF!,#REF!))</f>
        <v/>
      </c>
      <c r="AK300" s="179" t="str">
        <f aca="false">IF('Bulk Order Details'!R310="","","-"&amp;LOOKUP('Bulk Order Details'!R310,#REF!,#REF!))</f>
        <v/>
      </c>
      <c r="AL300" s="179" t="str">
        <f aca="false">IF('Bulk Order Details'!S310="","","-"&amp;LOOKUP('Bulk Order Details'!S310,#REF!,#REF!))</f>
        <v/>
      </c>
      <c r="AM300" s="179" t="str">
        <f aca="false">IF(_xlfn.CONCAT(AH300:AL300)="","","Lo"&amp;_xlfn.CONCAT(AH300:AL300))</f>
        <v/>
      </c>
      <c r="AN300" s="179" t="str">
        <f aca="false">IF('Bulk Order Details'!K310="","","Na-"&amp;'Bulk Order Details'!K310)</f>
        <v/>
      </c>
      <c r="AO300" s="179" t="str">
        <f aca="false">IF('Bulk Order Details'!N310="","","Fo-"&amp;'Bulk Order Details'!N310)</f>
        <v/>
      </c>
      <c r="AP300" s="179" t="str">
        <f aca="false">IF(AE300="","",AE300&amp;"_"&amp;AF300&amp;"_"&amp;AG300&amp;IF(AM300="","","_"&amp;AM300)&amp;IF(AN300="","","_"&amp;AN300)&amp;IF(AO300="","","_"&amp;AO300))</f>
        <v/>
      </c>
      <c r="AQ300" s="218" t="str">
        <f aca="false">IF(X300="","",X300)</f>
        <v/>
      </c>
    </row>
    <row r="301" customFormat="false" ht="15" hidden="false" customHeight="true" outlineLevel="0" collapsed="false">
      <c r="B301" s="209" t="n">
        <f aca="false">'Bulk Order Details'!B311</f>
        <v>298</v>
      </c>
      <c r="C301" s="209" t="e">
        <f aca="false">IF('bulk order details'!#ref!="","",'bulk order details'!#ref!&amp;" "&amp;'bulk order details'!#ref!)</f>
        <v>#VALUE!</v>
      </c>
      <c r="D301" s="210" t="str">
        <f aca="false">IF('Bulk Order Details'!J311="","",VLOOKUP(1,Price[],3))</f>
        <v/>
      </c>
      <c r="E301" s="211" t="str">
        <f aca="false">IF('Bulk Order Details'!J311="","",Summary!$D$9)</f>
        <v/>
      </c>
      <c r="F301" s="212" t="str">
        <f aca="false">IF('Bulk Order Details'!F311="","",_xlfn.xlookup('Bulk Order Details'!F311,Size[Display],Size[Price]))</f>
        <v/>
      </c>
      <c r="G301" s="212" t="str">
        <f aca="false">IF('Bulk Order Details'!G311="","",_xlfn.xlookup('Bulk Order Details'!G311,Length[Display],Length[Price]))</f>
        <v/>
      </c>
      <c r="H301" s="212" t="str">
        <f aca="false">IF('Bulk Order Details'!H311="","",_xlfn.xlookup('Bulk Order Details'!H311,Collection[Display],Collection[Price]))</f>
        <v/>
      </c>
      <c r="I301" s="212" t="str">
        <f aca="false">IF('Bulk Order Details'!I311="","",_xlfn.xlookup('Bulk Order Details'!I311,Sleeve[Display],Sleeve[Price]))</f>
        <v/>
      </c>
      <c r="J301" s="212" t="str">
        <f aca="false">IF('Bulk Order Details'!J311="","",_xlfn.xlookup('Bulk Order Details'!J311,Collar[Display],Collar[Price]))</f>
        <v/>
      </c>
      <c r="K301" s="212" t="str">
        <f aca="false">IF('Bulk Order Details'!K311="","",_xlfn.xlookup("Name",Name[Name],Name[Price]))</f>
        <v/>
      </c>
      <c r="L301" s="213" t="str">
        <f aca="false">IFERROR(IF('Bulk Order Details'!O311="","",IF(_xlfn.xlookup('Bulk Order Details'!O311,Logos[Display],Logos[Use])="Flat",_xlfn.xlookup('Bulk Order Details'!O311,Logos[Display],Logos[Flat]),ROUND(_xlfn.xlookup('Bulk Order Details'!O311,Logos[Display],Logos[Pct])*$E301,2))),"")</f>
        <v/>
      </c>
      <c r="M301" s="222" t="str">
        <f aca="false">IFERROR(IF('Bulk Order Details'!P311="","",IF(_xlfn.xlookup('Bulk Order Details'!P311,Chest[Display],Chest[Use])="Flat",_xlfn.xlookup('Bulk Order Details'!P311,Chest[Display],Chest[Flat]),ROUND(_xlfn.xlookup('Bulk Order Details'!P311,Chest[Display],Chest[Pct])*$E301,2))),"")</f>
        <v/>
      </c>
      <c r="N301" s="222" t="str">
        <f aca="false">IFERROR(IF('Bulk Order Details'!Q311="","",IF(_xlfn.xlookup('Bulk Order Details'!Q311,Chest[Display],Chest[Use])="Flat",_xlfn.xlookup('Bulk Order Details'!Q311,Chest[Display],Chest[Flat]),ROUND(_xlfn.xlookup('Bulk Order Details'!Q311,Chest[Display],Chest[Pct])*$E301,2))),"")</f>
        <v/>
      </c>
      <c r="O301" s="222" t="str">
        <f aca="false">IFERROR(IF('Bulk Order Details'!R311="","",IF(_xlfn.xlookup('Bulk Order Details'!R311,LeftSleeve[Display],LeftSleeve[Use])="Flat",_xlfn.xlookup('Bulk Order Details'!R311,LeftSleeve[Display],LeftSleeve[Flat]),ROUND(_xlfn.xlookup('Bulk Order Details'!R311,LeftSleeve[Display],LeftSleeve[Pct])*$E301,2))),"")</f>
        <v/>
      </c>
      <c r="P301" s="222" t="str">
        <f aca="false">IFERROR(IF('Bulk Order Details'!S311="","",IF(_xlfn.xlookup('Bulk Order Details'!S311,RightSleeve[Display],RightSleeve[Use])="Flat",_xlfn.xlookup('Bulk Order Details'!S311,RightSleeve[Display],RightSleeve[Flat]),ROUND(_xlfn.xlookup('Bulk Order Details'!S311,RightSleeve[Display],RightSleeve[Pct])*$E301,2))),"")</f>
        <v/>
      </c>
      <c r="Q301" s="214" t="str">
        <f aca="false">IF('Bulk Order Details'!J311="","",SUM(F301:P301))</f>
        <v/>
      </c>
      <c r="R301" s="213" t="str">
        <f aca="false">IFERROR(E301-D301,"")</f>
        <v/>
      </c>
      <c r="S301" s="215" t="str">
        <f aca="false">IFERROR(MIN(IF(Summary!$D$11="Yes",-J301,0),IF(H301&gt;0,-J301,0)),"")</f>
        <v/>
      </c>
      <c r="T301" s="212" t="str">
        <f aca="false">IFERROR(IF(Summary!$D$10="Yes",-K301,""),"")</f>
        <v/>
      </c>
      <c r="U301" s="213" t="str">
        <f aca="false">IFERROR(IF(Summary!$D$12="Yes",-L301,""),"")</f>
        <v/>
      </c>
      <c r="V301" s="216" t="str">
        <f aca="false">IF('Bulk Order Details'!J311="","",SUM(R301:U301))</f>
        <v/>
      </c>
      <c r="W301" s="217" t="str">
        <f aca="false">IF('Bulk Order Details'!J311="","",D301+Q301)</f>
        <v/>
      </c>
      <c r="X301" s="218" t="str">
        <f aca="false">IF('Bulk Order Details'!J311="","",D301+Q301+V301)</f>
        <v/>
      </c>
      <c r="Y301" s="219" t="str">
        <f aca="false">IFERROR((W301-X301)/W301,"")</f>
        <v/>
      </c>
      <c r="Z301" s="220" t="str">
        <f aca="false">IF('Bulk Order Details'!J311="","",MAX(1,'Bulk Order Details'!D311))</f>
        <v/>
      </c>
      <c r="AA301" s="217" t="str">
        <f aca="false">IF(Pricing_Details[[#This Row],[Quantity]]="","",Pricing_Details[[#This Row],[Retail Price]]*Pricing_Details[[#This Row],[Quantity]])</f>
        <v/>
      </c>
      <c r="AB301" s="217" t="str">
        <f aca="false">IF(Pricing_Details[[#This Row],[Quantity]]="","",Pricing_Details[[#This Row],[Total Discount]]*Pricing_Details[[#This Row],[Quantity]])</f>
        <v/>
      </c>
      <c r="AC301" s="221" t="str">
        <f aca="false">IFERROR(ROUND(Pricing_Details[[#This Row],[Actual Price]]*Pricing_Details[[#This Row],[Quantity]],2),"")</f>
        <v/>
      </c>
      <c r="AE301" s="179" t="str">
        <f aca="false">IF('Bulk Order Details'!J311="","",VLOOKUP('Bulk Order Details'!H311,Collection[],3)&amp;VLOOKUP('Bulk Order Details'!J311,Collar[],4)&amp;VLOOKUP('Bulk Order Details'!I311,Sleeve[],4))</f>
        <v/>
      </c>
      <c r="AF301" s="179" t="str">
        <f aca="false">IF('Bulk Order Details'!J311="","",LOOKUP('Bulk Order Details'!E311,Cut[Display],Cut[Code])&amp;LOOKUP('Bulk Order Details'!F311,#REF!,#REF!)&amp;IF('Bulk Order Details'!G311="","",LOOKUP('Bulk Order Details'!G311,Length[Display],Length[Code])))</f>
        <v/>
      </c>
      <c r="AG301" s="179" t="str">
        <f aca="false">IF('Bulk Order Details'!J311="","",IF('Bulk Order Details'!C311="","",'Bulk Order Details'!C311))</f>
        <v/>
      </c>
      <c r="AH301" s="179" t="str">
        <f aca="false">IF('Bulk Order Details'!O311="","","-"&amp;LOOKUP('Bulk Order Details'!O311,#REF!,#REF!))</f>
        <v/>
      </c>
      <c r="AI301" s="179" t="str">
        <f aca="false">IF('Bulk Order Details'!P311="","","-"&amp;LOOKUP('Bulk Order Details'!P311,#REF!,#REF!))</f>
        <v/>
      </c>
      <c r="AJ301" s="179" t="str">
        <f aca="false">IF('Bulk Order Details'!Q311="","","-"&amp;LOOKUP('Bulk Order Details'!Q311,#REF!,#REF!))</f>
        <v/>
      </c>
      <c r="AK301" s="179" t="str">
        <f aca="false">IF('Bulk Order Details'!R311="","","-"&amp;LOOKUP('Bulk Order Details'!R311,#REF!,#REF!))</f>
        <v/>
      </c>
      <c r="AL301" s="179" t="str">
        <f aca="false">IF('Bulk Order Details'!S311="","","-"&amp;LOOKUP('Bulk Order Details'!S311,#REF!,#REF!))</f>
        <v/>
      </c>
      <c r="AM301" s="179" t="str">
        <f aca="false">IF(_xlfn.CONCAT(AH301:AL301)="","","Lo"&amp;_xlfn.CONCAT(AH301:AL301))</f>
        <v/>
      </c>
      <c r="AN301" s="179" t="str">
        <f aca="false">IF('Bulk Order Details'!K311="","","Na-"&amp;'Bulk Order Details'!K311)</f>
        <v/>
      </c>
      <c r="AO301" s="179" t="str">
        <f aca="false">IF('Bulk Order Details'!N311="","","Fo-"&amp;'Bulk Order Details'!N311)</f>
        <v/>
      </c>
      <c r="AP301" s="179" t="str">
        <f aca="false">IF(AE301="","",AE301&amp;"_"&amp;AF301&amp;"_"&amp;AG301&amp;IF(AM301="","","_"&amp;AM301)&amp;IF(AN301="","","_"&amp;AN301)&amp;IF(AO301="","","_"&amp;AO301))</f>
        <v/>
      </c>
      <c r="AQ301" s="218" t="str">
        <f aca="false">IF(X301="","",X301)</f>
        <v/>
      </c>
    </row>
    <row r="302" customFormat="false" ht="15" hidden="false" customHeight="true" outlineLevel="0" collapsed="false">
      <c r="B302" s="209" t="n">
        <f aca="false">'Bulk Order Details'!B312</f>
        <v>299</v>
      </c>
      <c r="C302" s="209" t="e">
        <f aca="false">IF('bulk order details'!#ref!="","",'bulk order details'!#ref!&amp;" "&amp;'bulk order details'!#ref!)</f>
        <v>#VALUE!</v>
      </c>
      <c r="D302" s="210" t="str">
        <f aca="false">IF('Bulk Order Details'!J312="","",VLOOKUP(1,Price[],3))</f>
        <v/>
      </c>
      <c r="E302" s="211" t="str">
        <f aca="false">IF('Bulk Order Details'!J312="","",Summary!$D$9)</f>
        <v/>
      </c>
      <c r="F302" s="212" t="str">
        <f aca="false">IF('Bulk Order Details'!F312="","",_xlfn.xlookup('Bulk Order Details'!F312,Size[Display],Size[Price]))</f>
        <v/>
      </c>
      <c r="G302" s="212" t="str">
        <f aca="false">IF('Bulk Order Details'!G312="","",_xlfn.xlookup('Bulk Order Details'!G312,Length[Display],Length[Price]))</f>
        <v/>
      </c>
      <c r="H302" s="212" t="str">
        <f aca="false">IF('Bulk Order Details'!H312="","",_xlfn.xlookup('Bulk Order Details'!H312,Collection[Display],Collection[Price]))</f>
        <v/>
      </c>
      <c r="I302" s="212" t="str">
        <f aca="false">IF('Bulk Order Details'!I312="","",_xlfn.xlookup('Bulk Order Details'!I312,Sleeve[Display],Sleeve[Price]))</f>
        <v/>
      </c>
      <c r="J302" s="212" t="str">
        <f aca="false">IF('Bulk Order Details'!J312="","",_xlfn.xlookup('Bulk Order Details'!J312,Collar[Display],Collar[Price]))</f>
        <v/>
      </c>
      <c r="K302" s="212" t="str">
        <f aca="false">IF('Bulk Order Details'!K312="","",_xlfn.xlookup("Name",Name[Name],Name[Price]))</f>
        <v/>
      </c>
      <c r="L302" s="213" t="str">
        <f aca="false">IFERROR(IF('Bulk Order Details'!O312="","",IF(_xlfn.xlookup('Bulk Order Details'!O312,Logos[Display],Logos[Use])="Flat",_xlfn.xlookup('Bulk Order Details'!O312,Logos[Display],Logos[Flat]),ROUND(_xlfn.xlookup('Bulk Order Details'!O312,Logos[Display],Logos[Pct])*$E302,2))),"")</f>
        <v/>
      </c>
      <c r="M302" s="222" t="str">
        <f aca="false">IFERROR(IF('Bulk Order Details'!P312="","",IF(_xlfn.xlookup('Bulk Order Details'!P312,Chest[Display],Chest[Use])="Flat",_xlfn.xlookup('Bulk Order Details'!P312,Chest[Display],Chest[Flat]),ROUND(_xlfn.xlookup('Bulk Order Details'!P312,Chest[Display],Chest[Pct])*$E302,2))),"")</f>
        <v/>
      </c>
      <c r="N302" s="222" t="str">
        <f aca="false">IFERROR(IF('Bulk Order Details'!Q312="","",IF(_xlfn.xlookup('Bulk Order Details'!Q312,Chest[Display],Chest[Use])="Flat",_xlfn.xlookup('Bulk Order Details'!Q312,Chest[Display],Chest[Flat]),ROUND(_xlfn.xlookup('Bulk Order Details'!Q312,Chest[Display],Chest[Pct])*$E302,2))),"")</f>
        <v/>
      </c>
      <c r="O302" s="222" t="str">
        <f aca="false">IFERROR(IF('Bulk Order Details'!R312="","",IF(_xlfn.xlookup('Bulk Order Details'!R312,LeftSleeve[Display],LeftSleeve[Use])="Flat",_xlfn.xlookup('Bulk Order Details'!R312,LeftSleeve[Display],LeftSleeve[Flat]),ROUND(_xlfn.xlookup('Bulk Order Details'!R312,LeftSleeve[Display],LeftSleeve[Pct])*$E302,2))),"")</f>
        <v/>
      </c>
      <c r="P302" s="222" t="str">
        <f aca="false">IFERROR(IF('Bulk Order Details'!S312="","",IF(_xlfn.xlookup('Bulk Order Details'!S312,RightSleeve[Display],RightSleeve[Use])="Flat",_xlfn.xlookup('Bulk Order Details'!S312,RightSleeve[Display],RightSleeve[Flat]),ROUND(_xlfn.xlookup('Bulk Order Details'!S312,RightSleeve[Display],RightSleeve[Pct])*$E302,2))),"")</f>
        <v/>
      </c>
      <c r="Q302" s="214" t="str">
        <f aca="false">IF('Bulk Order Details'!J312="","",SUM(F302:P302))</f>
        <v/>
      </c>
      <c r="R302" s="213" t="str">
        <f aca="false">IFERROR(E302-D302,"")</f>
        <v/>
      </c>
      <c r="S302" s="215" t="str">
        <f aca="false">IFERROR(MIN(IF(Summary!$D$11="Yes",-J302,0),IF(H302&gt;0,-J302,0)),"")</f>
        <v/>
      </c>
      <c r="T302" s="212" t="str">
        <f aca="false">IFERROR(IF(Summary!$D$10="Yes",-K302,""),"")</f>
        <v/>
      </c>
      <c r="U302" s="213" t="str">
        <f aca="false">IFERROR(IF(Summary!$D$12="Yes",-L302,""),"")</f>
        <v/>
      </c>
      <c r="V302" s="216" t="str">
        <f aca="false">IF('Bulk Order Details'!J312="","",SUM(R302:U302))</f>
        <v/>
      </c>
      <c r="W302" s="217" t="str">
        <f aca="false">IF('Bulk Order Details'!J312="","",D302+Q302)</f>
        <v/>
      </c>
      <c r="X302" s="218" t="str">
        <f aca="false">IF('Bulk Order Details'!J312="","",D302+Q302+V302)</f>
        <v/>
      </c>
      <c r="Y302" s="219" t="str">
        <f aca="false">IFERROR((W302-X302)/W302,"")</f>
        <v/>
      </c>
      <c r="Z302" s="220" t="str">
        <f aca="false">IF('Bulk Order Details'!J312="","",MAX(1,'Bulk Order Details'!D312))</f>
        <v/>
      </c>
      <c r="AA302" s="217" t="str">
        <f aca="false">IF(Pricing_Details[[#This Row],[Quantity]]="","",Pricing_Details[[#This Row],[Retail Price]]*Pricing_Details[[#This Row],[Quantity]])</f>
        <v/>
      </c>
      <c r="AB302" s="217" t="str">
        <f aca="false">IF(Pricing_Details[[#This Row],[Quantity]]="","",Pricing_Details[[#This Row],[Total Discount]]*Pricing_Details[[#This Row],[Quantity]])</f>
        <v/>
      </c>
      <c r="AC302" s="221" t="str">
        <f aca="false">IFERROR(ROUND(Pricing_Details[[#This Row],[Actual Price]]*Pricing_Details[[#This Row],[Quantity]],2),"")</f>
        <v/>
      </c>
      <c r="AE302" s="179" t="str">
        <f aca="false">IF('Bulk Order Details'!J312="","",VLOOKUP('Bulk Order Details'!H312,Collection[],3)&amp;VLOOKUP('Bulk Order Details'!J312,Collar[],4)&amp;VLOOKUP('Bulk Order Details'!I312,Sleeve[],4))</f>
        <v/>
      </c>
      <c r="AF302" s="179" t="str">
        <f aca="false">IF('Bulk Order Details'!J312="","",LOOKUP('Bulk Order Details'!E312,Cut[Display],Cut[Code])&amp;LOOKUP('Bulk Order Details'!F312,#REF!,#REF!)&amp;IF('Bulk Order Details'!G312="","",LOOKUP('Bulk Order Details'!G312,Length[Display],Length[Code])))</f>
        <v/>
      </c>
      <c r="AG302" s="179" t="str">
        <f aca="false">IF('Bulk Order Details'!J312="","",IF('Bulk Order Details'!C312="","",'Bulk Order Details'!C312))</f>
        <v/>
      </c>
      <c r="AH302" s="179" t="str">
        <f aca="false">IF('Bulk Order Details'!O312="","","-"&amp;LOOKUP('Bulk Order Details'!O312,#REF!,#REF!))</f>
        <v/>
      </c>
      <c r="AI302" s="179" t="str">
        <f aca="false">IF('Bulk Order Details'!P312="","","-"&amp;LOOKUP('Bulk Order Details'!P312,#REF!,#REF!))</f>
        <v/>
      </c>
      <c r="AJ302" s="179" t="str">
        <f aca="false">IF('Bulk Order Details'!Q312="","","-"&amp;LOOKUP('Bulk Order Details'!Q312,#REF!,#REF!))</f>
        <v/>
      </c>
      <c r="AK302" s="179" t="str">
        <f aca="false">IF('Bulk Order Details'!R312="","","-"&amp;LOOKUP('Bulk Order Details'!R312,#REF!,#REF!))</f>
        <v/>
      </c>
      <c r="AL302" s="179" t="str">
        <f aca="false">IF('Bulk Order Details'!S312="","","-"&amp;LOOKUP('Bulk Order Details'!S312,#REF!,#REF!))</f>
        <v/>
      </c>
      <c r="AM302" s="179" t="str">
        <f aca="false">IF(_xlfn.CONCAT(AH302:AL302)="","","Lo"&amp;_xlfn.CONCAT(AH302:AL302))</f>
        <v/>
      </c>
      <c r="AN302" s="179" t="str">
        <f aca="false">IF('Bulk Order Details'!K312="","","Na-"&amp;'Bulk Order Details'!K312)</f>
        <v/>
      </c>
      <c r="AO302" s="179" t="str">
        <f aca="false">IF('Bulk Order Details'!N312="","","Fo-"&amp;'Bulk Order Details'!N312)</f>
        <v/>
      </c>
      <c r="AP302" s="179" t="str">
        <f aca="false">IF(AE302="","",AE302&amp;"_"&amp;AF302&amp;"_"&amp;AG302&amp;IF(AM302="","","_"&amp;AM302)&amp;IF(AN302="","","_"&amp;AN302)&amp;IF(AO302="","","_"&amp;AO302))</f>
        <v/>
      </c>
      <c r="AQ302" s="218" t="str">
        <f aca="false">IF(X302="","",X302)</f>
        <v/>
      </c>
    </row>
    <row r="303" customFormat="false" ht="15" hidden="false" customHeight="true" outlineLevel="0" collapsed="false">
      <c r="B303" s="209" t="n">
        <f aca="false">'Bulk Order Details'!B313</f>
        <v>300</v>
      </c>
      <c r="C303" s="209" t="e">
        <f aca="false">IF('bulk order details'!#ref!="","",'bulk order details'!#ref!&amp;" "&amp;'bulk order details'!#ref!)</f>
        <v>#VALUE!</v>
      </c>
      <c r="D303" s="210" t="str">
        <f aca="false">IF('Bulk Order Details'!J313="","",VLOOKUP(1,Price[],3))</f>
        <v/>
      </c>
      <c r="E303" s="211" t="str">
        <f aca="false">IF('Bulk Order Details'!J313="","",Summary!$D$9)</f>
        <v/>
      </c>
      <c r="F303" s="212" t="str">
        <f aca="false">IF('Bulk Order Details'!F313="","",_xlfn.xlookup('Bulk Order Details'!F313,Size[Display],Size[Price]))</f>
        <v/>
      </c>
      <c r="G303" s="212" t="str">
        <f aca="false">IF('Bulk Order Details'!G313="","",_xlfn.xlookup('Bulk Order Details'!G313,Length[Display],Length[Price]))</f>
        <v/>
      </c>
      <c r="H303" s="212" t="str">
        <f aca="false">IF('Bulk Order Details'!H313="","",_xlfn.xlookup('Bulk Order Details'!H313,Collection[Display],Collection[Price]))</f>
        <v/>
      </c>
      <c r="I303" s="212" t="str">
        <f aca="false">IF('Bulk Order Details'!I313="","",_xlfn.xlookup('Bulk Order Details'!I313,Sleeve[Display],Sleeve[Price]))</f>
        <v/>
      </c>
      <c r="J303" s="212" t="str">
        <f aca="false">IF('Bulk Order Details'!J313="","",_xlfn.xlookup('Bulk Order Details'!J313,Collar[Display],Collar[Price]))</f>
        <v/>
      </c>
      <c r="K303" s="212" t="str">
        <f aca="false">IF('Bulk Order Details'!K313="","",_xlfn.xlookup("Name",Name[Name],Name[Price]))</f>
        <v/>
      </c>
      <c r="L303" s="213" t="str">
        <f aca="false">IFERROR(IF('Bulk Order Details'!O313="","",IF(_xlfn.xlookup('Bulk Order Details'!O313,Logos[Display],Logos[Use])="Flat",_xlfn.xlookup('Bulk Order Details'!O313,Logos[Display],Logos[Flat]),ROUND(_xlfn.xlookup('Bulk Order Details'!O313,Logos[Display],Logos[Pct])*$E303,2))),"")</f>
        <v/>
      </c>
      <c r="M303" s="222" t="str">
        <f aca="false">IFERROR(IF('Bulk Order Details'!P313="","",IF(_xlfn.xlookup('Bulk Order Details'!P313,Chest[Display],Chest[Use])="Flat",_xlfn.xlookup('Bulk Order Details'!P313,Chest[Display],Chest[Flat]),ROUND(_xlfn.xlookup('Bulk Order Details'!P313,Chest[Display],Chest[Pct])*$E303,2))),"")</f>
        <v/>
      </c>
      <c r="N303" s="222" t="str">
        <f aca="false">IFERROR(IF('Bulk Order Details'!Q313="","",IF(_xlfn.xlookup('Bulk Order Details'!Q313,Chest[Display],Chest[Use])="Flat",_xlfn.xlookup('Bulk Order Details'!Q313,Chest[Display],Chest[Flat]),ROUND(_xlfn.xlookup('Bulk Order Details'!Q313,Chest[Display],Chest[Pct])*$E303,2))),"")</f>
        <v/>
      </c>
      <c r="O303" s="222" t="str">
        <f aca="false">IFERROR(IF('Bulk Order Details'!R313="","",IF(_xlfn.xlookup('Bulk Order Details'!R313,LeftSleeve[Display],LeftSleeve[Use])="Flat",_xlfn.xlookup('Bulk Order Details'!R313,LeftSleeve[Display],LeftSleeve[Flat]),ROUND(_xlfn.xlookup('Bulk Order Details'!R313,LeftSleeve[Display],LeftSleeve[Pct])*$E303,2))),"")</f>
        <v/>
      </c>
      <c r="P303" s="222" t="str">
        <f aca="false">IFERROR(IF('Bulk Order Details'!S313="","",IF(_xlfn.xlookup('Bulk Order Details'!S313,RightSleeve[Display],RightSleeve[Use])="Flat",_xlfn.xlookup('Bulk Order Details'!S313,RightSleeve[Display],RightSleeve[Flat]),ROUND(_xlfn.xlookup('Bulk Order Details'!S313,RightSleeve[Display],RightSleeve[Pct])*$E303,2))),"")</f>
        <v/>
      </c>
      <c r="Q303" s="214" t="str">
        <f aca="false">IF('Bulk Order Details'!J313="","",SUM(F303:P303))</f>
        <v/>
      </c>
      <c r="R303" s="213" t="str">
        <f aca="false">IFERROR(E303-D303,"")</f>
        <v/>
      </c>
      <c r="S303" s="215" t="str">
        <f aca="false">IFERROR(MIN(IF(Summary!$D$11="Yes",-J303,0),IF(H303&gt;0,-J303,0)),"")</f>
        <v/>
      </c>
      <c r="T303" s="212" t="str">
        <f aca="false">IFERROR(IF(Summary!$D$10="Yes",-K303,""),"")</f>
        <v/>
      </c>
      <c r="U303" s="213" t="str">
        <f aca="false">IFERROR(IF(Summary!$D$12="Yes",-L303,""),"")</f>
        <v/>
      </c>
      <c r="V303" s="216" t="str">
        <f aca="false">IF('Bulk Order Details'!J313="","",SUM(R303:U303))</f>
        <v/>
      </c>
      <c r="W303" s="217" t="str">
        <f aca="false">IF('Bulk Order Details'!J313="","",D303+Q303)</f>
        <v/>
      </c>
      <c r="X303" s="218" t="str">
        <f aca="false">IF('Bulk Order Details'!J313="","",D303+Q303+V303)</f>
        <v/>
      </c>
      <c r="Y303" s="219" t="str">
        <f aca="false">IFERROR((W303-X303)/W303,"")</f>
        <v/>
      </c>
      <c r="Z303" s="220" t="str">
        <f aca="false">IF('Bulk Order Details'!J313="","",MAX(1,'Bulk Order Details'!D313))</f>
        <v/>
      </c>
      <c r="AA303" s="217" t="str">
        <f aca="false">IF(Pricing_Details[[#This Row],[Quantity]]="","",Pricing_Details[[#This Row],[Retail Price]]*Pricing_Details[[#This Row],[Quantity]])</f>
        <v/>
      </c>
      <c r="AB303" s="217" t="str">
        <f aca="false">IF(Pricing_Details[[#This Row],[Quantity]]="","",Pricing_Details[[#This Row],[Total Discount]]*Pricing_Details[[#This Row],[Quantity]])</f>
        <v/>
      </c>
      <c r="AC303" s="221" t="str">
        <f aca="false">IFERROR(ROUND(Pricing_Details[[#This Row],[Actual Price]]*Pricing_Details[[#This Row],[Quantity]],2),"")</f>
        <v/>
      </c>
      <c r="AE303" s="179" t="str">
        <f aca="false">IF('Bulk Order Details'!J313="","",VLOOKUP('Bulk Order Details'!H313,Collection[],3)&amp;VLOOKUP('Bulk Order Details'!J313,Collar[],4)&amp;VLOOKUP('Bulk Order Details'!I313,Sleeve[],4))</f>
        <v/>
      </c>
      <c r="AF303" s="179" t="str">
        <f aca="false">IF('Bulk Order Details'!J313="","",LOOKUP('Bulk Order Details'!E313,Cut[Display],Cut[Code])&amp;LOOKUP('Bulk Order Details'!F313,#REF!,#REF!)&amp;IF('Bulk Order Details'!G313="","",LOOKUP('Bulk Order Details'!G313,Length[Display],Length[Code])))</f>
        <v/>
      </c>
      <c r="AG303" s="179" t="str">
        <f aca="false">IF('Bulk Order Details'!J313="","",IF('Bulk Order Details'!C313="","",'Bulk Order Details'!C313))</f>
        <v/>
      </c>
      <c r="AH303" s="179" t="str">
        <f aca="false">IF('Bulk Order Details'!O313="","","-"&amp;LOOKUP('Bulk Order Details'!O313,#REF!,#REF!))</f>
        <v/>
      </c>
      <c r="AI303" s="179" t="str">
        <f aca="false">IF('Bulk Order Details'!P313="","","-"&amp;LOOKUP('Bulk Order Details'!P313,#REF!,#REF!))</f>
        <v/>
      </c>
      <c r="AJ303" s="179" t="str">
        <f aca="false">IF('Bulk Order Details'!Q313="","","-"&amp;LOOKUP('Bulk Order Details'!Q313,#REF!,#REF!))</f>
        <v/>
      </c>
      <c r="AK303" s="179" t="str">
        <f aca="false">IF('Bulk Order Details'!R313="","","-"&amp;LOOKUP('Bulk Order Details'!R313,#REF!,#REF!))</f>
        <v/>
      </c>
      <c r="AL303" s="179" t="str">
        <f aca="false">IF('Bulk Order Details'!S313="","","-"&amp;LOOKUP('Bulk Order Details'!S313,#REF!,#REF!))</f>
        <v/>
      </c>
      <c r="AM303" s="179" t="str">
        <f aca="false">IF(_xlfn.CONCAT(AH303:AL303)="","","Lo"&amp;_xlfn.CONCAT(AH303:AL303))</f>
        <v/>
      </c>
      <c r="AN303" s="179" t="str">
        <f aca="false">IF('Bulk Order Details'!K313="","","Na-"&amp;'Bulk Order Details'!K313)</f>
        <v/>
      </c>
      <c r="AO303" s="179" t="str">
        <f aca="false">IF('Bulk Order Details'!N313="","","Fo-"&amp;'Bulk Order Details'!N313)</f>
        <v/>
      </c>
      <c r="AP303" s="179" t="str">
        <f aca="false">IF(AE303="","",AE303&amp;"_"&amp;AF303&amp;"_"&amp;AG303&amp;IF(AM303="","","_"&amp;AM303)&amp;IF(AN303="","","_"&amp;AN303)&amp;IF(AO303="","","_"&amp;AO303))</f>
        <v/>
      </c>
      <c r="AQ303" s="218" t="str">
        <f aca="false">IF(X303="","",X303)</f>
        <v/>
      </c>
    </row>
    <row r="304" s="4" customFormat="true" ht="15" hidden="false" customHeight="true" outlineLevel="0" collapsed="false">
      <c r="B304" s="180"/>
      <c r="C304" s="180"/>
      <c r="D304" s="181"/>
      <c r="E304" s="182"/>
      <c r="F304" s="82"/>
      <c r="G304" s="82"/>
      <c r="H304" s="82"/>
      <c r="I304" s="82"/>
      <c r="J304" s="82"/>
      <c r="K304" s="82"/>
      <c r="L304" s="183"/>
      <c r="M304" s="183"/>
      <c r="N304" s="183"/>
      <c r="O304" s="183"/>
      <c r="P304" s="183"/>
      <c r="Q304" s="184"/>
      <c r="R304" s="183"/>
      <c r="S304" s="183"/>
      <c r="T304" s="183"/>
      <c r="U304" s="183"/>
      <c r="V304" s="184"/>
      <c r="W304" s="184"/>
      <c r="X304" s="182"/>
      <c r="Y304" s="185"/>
      <c r="Z304" s="186"/>
      <c r="AA304" s="186"/>
      <c r="AB304" s="186"/>
      <c r="AC304" s="184"/>
      <c r="AE304" s="187"/>
      <c r="AF304" s="187"/>
      <c r="AG304" s="187"/>
      <c r="AH304" s="187"/>
      <c r="AI304" s="187"/>
      <c r="AJ304" s="187"/>
      <c r="AK304" s="187"/>
      <c r="AL304" s="187"/>
      <c r="AM304" s="187"/>
      <c r="AN304" s="187"/>
      <c r="AO304" s="187"/>
      <c r="AP304" s="187"/>
    </row>
  </sheetData>
  <sheetProtection algorithmName="SHA-512" hashValue="d2K3XpGhJkiyX2rVf92gsj9Yw/Xf11Rrot0zrlMepExdCREwEStJtJA0lOKw0w55OnITRYIlFmdU/rYO+814VQ==" saltValue="reFP47Lnl18vD/eq1odiTQ==" spinCount="100000" sheet="true" objects="true" scenarios="true"/>
  <mergeCells count="4">
    <mergeCell ref="D2:E2"/>
    <mergeCell ref="F2:Q2"/>
    <mergeCell ref="R2:V2"/>
    <mergeCell ref="W2:Y2"/>
  </mergeCells>
  <printOptions headings="false" gridLines="false" gridLinesSet="true" horizontalCentered="false" verticalCentered="false"/>
  <pageMargins left="0" right="0" top="0" bottom="0" header="0.511811023622047" footer="0"/>
  <pageSetup paperSize="1" scale="80" fitToWidth="1" fitToHeight="1" pageOrder="downThenOver" orientation="landscape" blackAndWhite="false" draft="false" cellComments="none" horizontalDpi="300" verticalDpi="300" copies="1"/>
  <headerFooter differentFirst="false" differentOddEven="false">
    <oddHeader/>
    <oddFooter>&amp;C&amp;"Helvetica Neue,Regular"&amp;12&amp;K000000&amp;P</oddFooter>
  </headerFooter>
  <tableParts>
    <tablePart r:id="rId1"/>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A110"/>
  <sheetViews>
    <sheetView showFormulas="false" showGridLines="true" showRowColHeaders="true" showZeros="true" rightToLeft="false" tabSelected="false" showOutlineSymbols="true" defaultGridColor="true" view="normal" topLeftCell="XFD1" colorId="64" zoomScale="100" zoomScaleNormal="100" zoomScalePageLayoutView="100" workbookViewId="0">
      <selection pane="topLeft" activeCell="A2" activeCellId="0" sqref="A2"/>
    </sheetView>
  </sheetViews>
  <sheetFormatPr defaultColWidth="8.73046875" defaultRowHeight="14.25" zeroHeight="false" outlineLevelRow="0" outlineLevelCol="0"/>
  <cols>
    <col collapsed="false" customWidth="true" hidden="true" outlineLevel="0" max="1" min="1" style="2" width="10.45"/>
    <col collapsed="false" customWidth="true" hidden="true" outlineLevel="0" max="2" min="2" style="223" width="10.45"/>
    <col collapsed="false" customWidth="true" hidden="true" outlineLevel="0" max="3" min="3" style="224" width="6.73"/>
    <col collapsed="false" customWidth="false" hidden="true" outlineLevel="0" max="5" min="4" style="2" width="8.73"/>
    <col collapsed="false" customWidth="true" hidden="true" outlineLevel="0" max="6" min="6" style="75" width="7.27"/>
    <col collapsed="false" customWidth="true" hidden="true" outlineLevel="0" max="7" min="7" style="224" width="6.73"/>
    <col collapsed="false" customWidth="true" hidden="true" outlineLevel="0" max="8" min="8" style="224" width="8.36"/>
    <col collapsed="false" customWidth="true" hidden="true" outlineLevel="0" max="9" min="9" style="224" width="11.09"/>
    <col collapsed="false" customWidth="true" hidden="true" outlineLevel="0" max="10" min="10" style="224" width="8.36"/>
    <col collapsed="false" customWidth="true" hidden="true" outlineLevel="0" max="12" min="11" style="224" width="17.18"/>
    <col collapsed="false" customWidth="true" hidden="true" outlineLevel="0" max="14" min="13" style="224" width="15.64"/>
    <col collapsed="false" customWidth="false" hidden="true" outlineLevel="0" max="15" min="15" style="2" width="8.73"/>
    <col collapsed="false" customWidth="true" hidden="true" outlineLevel="0" max="16" min="16" style="2" width="15.73"/>
    <col collapsed="false" customWidth="true" hidden="true" outlineLevel="0" max="17" min="17" style="2" width="17.27"/>
    <col collapsed="false" customWidth="true" hidden="true" outlineLevel="0" max="18" min="18" style="2" width="7.27"/>
    <col collapsed="false" customWidth="true" hidden="true" outlineLevel="0" max="19" min="19" style="224" width="6.73"/>
    <col collapsed="false" customWidth="true" hidden="true" outlineLevel="0" max="20" min="20" style="224" width="11.54"/>
    <col collapsed="false" customWidth="true" hidden="true" outlineLevel="0" max="21" min="21" style="224" width="5.9"/>
    <col collapsed="false" customWidth="true" hidden="true" outlineLevel="0" max="22" min="22" style="2" width="15.64"/>
    <col collapsed="false" customWidth="false" hidden="true" outlineLevel="0" max="23" min="23" style="2" width="8.73"/>
    <col collapsed="false" customWidth="true" hidden="true" outlineLevel="0" max="24" min="24" style="2" width="13.09"/>
    <col collapsed="false" customWidth="true" hidden="true" outlineLevel="0" max="25" min="25" style="2" width="7.37"/>
    <col collapsed="false" customWidth="true" hidden="true" outlineLevel="0" max="26" min="26" style="2" width="7.18"/>
    <col collapsed="false" customWidth="true" hidden="true" outlineLevel="0" max="27" min="27" style="2" width="15.64"/>
    <col collapsed="false" customWidth="false" hidden="true" outlineLevel="0" max="28" min="28" style="2" width="8.73"/>
    <col collapsed="false" customWidth="true" hidden="true" outlineLevel="0" max="29" min="29" style="2" width="11.64"/>
    <col collapsed="false" customWidth="false" hidden="true" outlineLevel="0" max="31" min="30" style="2" width="8.73"/>
    <col collapsed="false" customWidth="true" hidden="true" outlineLevel="0" max="32" min="32" style="2" width="14.64"/>
    <col collapsed="false" customWidth="true" hidden="true" outlineLevel="0" max="33" min="33" style="2" width="10.73"/>
    <col collapsed="false" customWidth="true" hidden="true" outlineLevel="0" max="34" min="34" style="2" width="22.09"/>
    <col collapsed="false" customWidth="true" hidden="true" outlineLevel="0" max="35" min="35" style="225" width="9.73"/>
    <col collapsed="false" customWidth="true" hidden="true" outlineLevel="0" max="36" min="36" style="224" width="7.18"/>
    <col collapsed="false" customWidth="true" hidden="true" outlineLevel="0" max="37" min="37" style="2" width="10.27"/>
    <col collapsed="false" customWidth="true" hidden="true" outlineLevel="0" max="38" min="38" style="2" width="15.64"/>
    <col collapsed="false" customWidth="true" hidden="true" outlineLevel="0" max="39" min="39" style="2" width="24.18"/>
    <col collapsed="false" customWidth="true" hidden="true" outlineLevel="0" max="40" min="40" style="2" width="11.54"/>
    <col collapsed="false" customWidth="true" hidden="true" outlineLevel="0" max="42" min="41" style="2" width="25.36"/>
    <col collapsed="false" customWidth="true" hidden="true" outlineLevel="0" max="43" min="43" style="2" width="31.64"/>
    <col collapsed="false" customWidth="true" hidden="true" outlineLevel="0" max="44" min="44" style="2" width="22.09"/>
    <col collapsed="false" customWidth="true" hidden="true" outlineLevel="0" max="45" min="45" style="2" width="19.27"/>
    <col collapsed="false" customWidth="false" hidden="true" outlineLevel="0" max="46" min="46" style="2" width="8.73"/>
    <col collapsed="false" customWidth="false" hidden="true" outlineLevel="0" max="48" min="47" style="226" width="8.73"/>
    <col collapsed="false" customWidth="true" hidden="true" outlineLevel="0" max="49" min="49" style="1" width="16.27"/>
    <col collapsed="false" customWidth="false" hidden="true" outlineLevel="0" max="50" min="50" style="225" width="8.73"/>
    <col collapsed="false" customWidth="false" hidden="true" outlineLevel="0" max="53" min="51" style="224" width="8.73"/>
    <col collapsed="false" customWidth="true" hidden="true" outlineLevel="0" max="55" min="54" style="224" width="16.27"/>
    <col collapsed="false" customWidth="true" hidden="true" outlineLevel="0" max="56" min="56" style="224" width="7.82"/>
    <col collapsed="false" customWidth="true" hidden="true" outlineLevel="0" max="57" min="57" style="224" width="7.27"/>
    <col collapsed="false" customWidth="false" hidden="true" outlineLevel="0" max="58" min="58" style="2" width="8.73"/>
    <col collapsed="false" customWidth="false" hidden="true" outlineLevel="0" max="59" min="59" style="226" width="8.73"/>
    <col collapsed="false" customWidth="true" hidden="true" outlineLevel="0" max="60" min="60" style="226" width="10.18"/>
    <col collapsed="false" customWidth="false" hidden="true" outlineLevel="0" max="61" min="61" style="75" width="8.73"/>
    <col collapsed="false" customWidth="true" hidden="true" outlineLevel="0" max="62" min="62" style="224" width="6.73"/>
    <col collapsed="false" customWidth="false" hidden="true" outlineLevel="0" max="63" min="63" style="2" width="8.73"/>
    <col collapsed="false" customWidth="true" hidden="true" outlineLevel="0" max="64" min="64" style="2" width="13.45"/>
    <col collapsed="false" customWidth="true" hidden="true" outlineLevel="0" max="65" min="65" style="2" width="8"/>
    <col collapsed="false" customWidth="true" hidden="true" outlineLevel="0" max="66" min="66" style="2" width="20.63"/>
    <col collapsed="false" customWidth="true" hidden="true" outlineLevel="0" max="67" min="67" style="2" width="13.45"/>
    <col collapsed="false" customWidth="true" hidden="true" outlineLevel="0" max="68" min="68" style="2" width="6.73"/>
    <col collapsed="false" customWidth="true" hidden="true" outlineLevel="0" max="69" min="69" style="224" width="6.73"/>
    <col collapsed="false" customWidth="true" hidden="true" outlineLevel="0" max="70" min="70" style="2" width="6.73"/>
    <col collapsed="false" customWidth="false" hidden="true" outlineLevel="0" max="71" min="71" style="2" width="8.73"/>
    <col collapsed="false" customWidth="true" hidden="true" outlineLevel="0" max="72" min="72" style="2" width="20.54"/>
    <col collapsed="false" customWidth="true" hidden="true" outlineLevel="0" max="73" min="73" style="2" width="8"/>
    <col collapsed="false" customWidth="true" hidden="true" outlineLevel="0" max="74" min="74" style="2" width="20.63"/>
    <col collapsed="false" customWidth="true" hidden="true" outlineLevel="0" max="75" min="75" style="1" width="16.09"/>
    <col collapsed="false" customWidth="true" hidden="true" outlineLevel="0" max="76" min="76" style="2" width="6.73"/>
    <col collapsed="false" customWidth="true" hidden="true" outlineLevel="0" max="77" min="77" style="224" width="6.73"/>
    <col collapsed="false" customWidth="true" hidden="true" outlineLevel="0" max="78" min="78" style="2" width="6.73"/>
    <col collapsed="false" customWidth="false" hidden="true" outlineLevel="0" max="79" min="79" style="2" width="8.73"/>
    <col collapsed="false" customWidth="true" hidden="true" outlineLevel="0" max="80" min="80" style="2" width="20.54"/>
    <col collapsed="false" customWidth="true" hidden="true" outlineLevel="0" max="81" min="81" style="2" width="13.45"/>
    <col collapsed="false" customWidth="true" hidden="true" outlineLevel="0" max="82" min="82" style="2" width="20.54"/>
    <col collapsed="false" customWidth="true" hidden="true" outlineLevel="0" max="83" min="83" style="2" width="16.09"/>
    <col collapsed="false" customWidth="true" hidden="true" outlineLevel="0" max="84" min="84" style="2" width="6.73"/>
    <col collapsed="false" customWidth="true" hidden="true" outlineLevel="0" max="85" min="85" style="224" width="6.73"/>
    <col collapsed="false" customWidth="false" hidden="true" outlineLevel="0" max="87" min="86" style="2" width="8.73"/>
    <col collapsed="false" customWidth="true" hidden="true" outlineLevel="0" max="89" min="88" style="2" width="13.45"/>
    <col collapsed="false" customWidth="true" hidden="true" outlineLevel="0" max="90" min="90" style="2" width="30.18"/>
    <col collapsed="false" customWidth="true" hidden="true" outlineLevel="0" max="91" min="91" style="2" width="13.45"/>
    <col collapsed="false" customWidth="true" hidden="true" outlineLevel="0" max="93" min="92" style="2" width="6.73"/>
    <col collapsed="false" customWidth="false" hidden="true" outlineLevel="0" max="96" min="94" style="2" width="8.73"/>
    <col collapsed="false" customWidth="false" hidden="true" outlineLevel="0" max="97" min="97" style="224" width="8.73"/>
    <col collapsed="false" customWidth="false" hidden="true" outlineLevel="0" max="98" min="98" style="2" width="8.73"/>
    <col collapsed="false" customWidth="true" hidden="true" outlineLevel="0" max="99" min="99" style="2" width="15.27"/>
    <col collapsed="false" customWidth="false" hidden="true" outlineLevel="0" max="100" min="100" style="2" width="8.73"/>
    <col collapsed="false" customWidth="true" hidden="true" outlineLevel="0" max="101" min="101" style="2" width="15.73"/>
    <col collapsed="false" customWidth="false" hidden="true" outlineLevel="0" max="102" min="102" style="2" width="8.73"/>
    <col collapsed="false" customWidth="true" hidden="true" outlineLevel="0" max="103" min="103" style="2" width="12.27"/>
    <col collapsed="false" customWidth="false" hidden="true" outlineLevel="0" max="104" min="104" style="2" width="8.73"/>
    <col collapsed="false" customWidth="false" hidden="true" outlineLevel="0" max="105" min="105" style="224" width="8.73"/>
    <col collapsed="false" customWidth="false" hidden="true" outlineLevel="0" max="106" min="106" style="2" width="8.73"/>
    <col collapsed="false" customWidth="true" hidden="true" outlineLevel="0" max="107" min="107" style="2" width="23.27"/>
    <col collapsed="false" customWidth="true" hidden="true" outlineLevel="0" max="108" min="108" style="2" width="53.27"/>
    <col collapsed="false" customWidth="true" hidden="true" outlineLevel="0" max="110" min="109" style="2" width="8.54"/>
    <col collapsed="false" customWidth="true" hidden="true" outlineLevel="0" max="111" min="111" style="224" width="8.54"/>
    <col collapsed="false" customWidth="true" hidden="true" outlineLevel="0" max="112" min="112" style="223" width="8.54"/>
    <col collapsed="false" customWidth="true" hidden="true" outlineLevel="0" max="113" min="113" style="224" width="8.54"/>
    <col collapsed="false" customWidth="true" hidden="true" outlineLevel="0" max="114" min="114" style="75" width="10.45"/>
    <col collapsed="false" customWidth="true" hidden="true" outlineLevel="0" max="115" min="115" style="179" width="27.27"/>
    <col collapsed="false" customWidth="false" hidden="true" outlineLevel="0" max="119" min="116" style="2" width="8.73"/>
    <col collapsed="false" customWidth="true" hidden="true" outlineLevel="0" max="120" min="120" style="2" width="16.18"/>
    <col collapsed="false" customWidth="false" hidden="true" outlineLevel="0" max="121" min="121" style="2" width="8.73"/>
    <col collapsed="false" customWidth="true" hidden="true" outlineLevel="0" max="122" min="122" style="75" width="13.27"/>
    <col collapsed="false" customWidth="true" hidden="true" outlineLevel="0" max="123" min="123" style="2" width="13.73"/>
    <col collapsed="false" customWidth="false" hidden="true" outlineLevel="0" max="124" min="124" style="2" width="8.73"/>
    <col collapsed="false" customWidth="true" hidden="true" outlineLevel="0" max="125" min="125" style="2" width="13.27"/>
    <col collapsed="false" customWidth="true" hidden="true" outlineLevel="0" max="126" min="126" style="2" width="16.54"/>
    <col collapsed="false" customWidth="false" hidden="true" outlineLevel="0" max="127" min="127" style="2" width="8.73"/>
    <col collapsed="false" customWidth="true" hidden="true" outlineLevel="0" max="128" min="128" style="2" width="13.27"/>
    <col collapsed="false" customWidth="true" hidden="true" outlineLevel="0" max="129" min="129" style="2" width="16.54"/>
    <col collapsed="false" customWidth="true" hidden="true" outlineLevel="0" max="130" min="130" style="2" width="11.73"/>
    <col collapsed="false" customWidth="false" hidden="true" outlineLevel="0" max="131" min="131" style="2" width="8.73"/>
    <col collapsed="false" customWidth="true" hidden="true" outlineLevel="0" max="132" min="132" style="2" width="12.18"/>
    <col collapsed="false" customWidth="true" hidden="true" outlineLevel="0" max="133" min="133" style="227" width="12.18"/>
    <col collapsed="false" customWidth="true" hidden="true" outlineLevel="0" max="135" min="134" style="2" width="14.73"/>
    <col collapsed="false" customWidth="true" hidden="true" outlineLevel="0" max="136" min="136" style="2" width="26.27"/>
    <col collapsed="false" customWidth="true" hidden="true" outlineLevel="0" max="137" min="137" style="2" width="13.73"/>
    <col collapsed="false" customWidth="true" hidden="true" outlineLevel="0" max="138" min="138" style="2" width="14.18"/>
    <col collapsed="false" customWidth="true" hidden="true" outlineLevel="0" max="139" min="139" style="228" width="14"/>
    <col collapsed="false" customWidth="true" hidden="true" outlineLevel="0" max="141" min="140" style="2" width="17.82"/>
    <col collapsed="false" customWidth="true" hidden="true" outlineLevel="0" max="142" min="142" style="179" width="114.45"/>
    <col collapsed="false" customWidth="true" hidden="true" outlineLevel="0" max="143" min="143" style="2" width="4.82"/>
    <col collapsed="false" customWidth="true" hidden="true" outlineLevel="0" max="144" min="144" style="75" width="17.9"/>
    <col collapsed="false" customWidth="true" hidden="true" outlineLevel="0" max="145" min="145" style="75" width="12.73"/>
    <col collapsed="false" customWidth="true" hidden="true" outlineLevel="0" max="146" min="146" style="75" width="12.36"/>
    <col collapsed="false" customWidth="true" hidden="true" outlineLevel="0" max="147" min="147" style="75" width="10.27"/>
    <col collapsed="false" customWidth="true" hidden="true" outlineLevel="0" max="148" min="148" style="2" width="10.18"/>
    <col collapsed="false" customWidth="true" hidden="true" outlineLevel="0" max="149" min="149" style="2" width="13.36"/>
    <col collapsed="false" customWidth="true" hidden="true" outlineLevel="0" max="150" min="150" style="2" width="10"/>
    <col collapsed="false" customWidth="true" hidden="true" outlineLevel="0" max="151" min="151" style="2" width="13.54"/>
    <col collapsed="false" customWidth="true" hidden="true" outlineLevel="0" max="152" min="152" style="2" width="13.9"/>
    <col collapsed="false" customWidth="true" hidden="true" outlineLevel="0" max="153" min="153" style="2" width="12.45"/>
    <col collapsed="false" customWidth="true" hidden="true" outlineLevel="0" max="155" min="154" style="2" width="10.27"/>
    <col collapsed="false" customWidth="true" hidden="true" outlineLevel="0" max="156" min="156" style="2" width="11.73"/>
    <col collapsed="false" customWidth="true" hidden="true" outlineLevel="0" max="157" min="157" style="2" width="10.16"/>
    <col collapsed="false" customWidth="false" hidden="true" outlineLevel="0" max="16384" min="158" style="2" width="8.73"/>
  </cols>
  <sheetData>
    <row r="1" customFormat="false" ht="24" hidden="false" customHeight="false" outlineLevel="0" collapsed="false">
      <c r="A1" s="229" t="s">
        <v>129</v>
      </c>
      <c r="B1" s="229"/>
      <c r="C1" s="229"/>
      <c r="E1" s="229" t="s">
        <v>130</v>
      </c>
      <c r="F1" s="229"/>
      <c r="G1" s="229"/>
      <c r="H1" s="229"/>
      <c r="I1" s="229"/>
      <c r="J1" s="229"/>
      <c r="K1" s="229"/>
      <c r="L1" s="229"/>
      <c r="M1" s="229"/>
      <c r="N1" s="229"/>
      <c r="P1" s="229" t="s">
        <v>131</v>
      </c>
      <c r="Q1" s="229"/>
      <c r="R1" s="229"/>
      <c r="S1" s="229"/>
      <c r="T1" s="229"/>
      <c r="V1" s="229" t="s">
        <v>132</v>
      </c>
      <c r="W1" s="229"/>
      <c r="X1" s="229"/>
      <c r="Y1" s="229"/>
      <c r="Z1" s="229"/>
      <c r="AA1" s="229"/>
      <c r="AB1" s="229"/>
      <c r="AC1" s="229"/>
      <c r="AD1" s="229"/>
      <c r="AF1" s="229" t="s">
        <v>133</v>
      </c>
      <c r="AG1" s="229"/>
      <c r="AH1" s="229"/>
      <c r="AI1" s="229"/>
      <c r="AJ1" s="229"/>
      <c r="AK1" s="229"/>
      <c r="AL1" s="229"/>
      <c r="AM1" s="229"/>
      <c r="AN1" s="229"/>
      <c r="AO1" s="229"/>
      <c r="AP1" s="229"/>
      <c r="AQ1" s="229"/>
      <c r="AR1" s="229"/>
      <c r="AS1" s="229"/>
      <c r="AU1" s="229" t="s">
        <v>134</v>
      </c>
      <c r="AV1" s="229"/>
      <c r="AW1" s="229"/>
      <c r="AX1" s="229"/>
      <c r="AY1" s="229"/>
      <c r="AZ1" s="229"/>
      <c r="BA1" s="229"/>
      <c r="BB1" s="229"/>
      <c r="BC1" s="229"/>
      <c r="BD1" s="229"/>
      <c r="BE1" s="229"/>
      <c r="BF1" s="229"/>
      <c r="BG1" s="229"/>
      <c r="BH1" s="229"/>
      <c r="BI1" s="229"/>
      <c r="BJ1" s="229"/>
      <c r="BL1" s="229" t="s">
        <v>135</v>
      </c>
      <c r="BM1" s="229"/>
      <c r="BN1" s="229"/>
      <c r="BO1" s="229"/>
      <c r="BP1" s="229"/>
      <c r="BQ1" s="229"/>
      <c r="BR1" s="229"/>
      <c r="BT1" s="229" t="s">
        <v>136</v>
      </c>
      <c r="BU1" s="229"/>
      <c r="BV1" s="229"/>
      <c r="BW1" s="229"/>
      <c r="BX1" s="229"/>
      <c r="BY1" s="229"/>
      <c r="BZ1" s="229"/>
      <c r="CB1" s="229" t="s">
        <v>137</v>
      </c>
      <c r="CC1" s="229"/>
      <c r="CD1" s="229"/>
      <c r="CE1" s="229"/>
      <c r="CF1" s="229"/>
      <c r="CG1" s="229"/>
      <c r="CH1" s="229"/>
      <c r="CJ1" s="229" t="s">
        <v>138</v>
      </c>
      <c r="CK1" s="229"/>
      <c r="CL1" s="229"/>
      <c r="CM1" s="229"/>
      <c r="CN1" s="229"/>
      <c r="CO1" s="229"/>
      <c r="CP1" s="229"/>
      <c r="CR1" s="229" t="s">
        <v>139</v>
      </c>
      <c r="CS1" s="229"/>
      <c r="CT1" s="229"/>
      <c r="CU1" s="229"/>
      <c r="CV1" s="229"/>
      <c r="CW1" s="229"/>
      <c r="CX1" s="229"/>
      <c r="CY1" s="229"/>
      <c r="CZ1" s="229"/>
      <c r="DA1" s="229"/>
      <c r="DC1" s="229" t="s">
        <v>140</v>
      </c>
      <c r="DD1" s="229"/>
      <c r="DE1" s="229"/>
      <c r="DF1" s="229"/>
      <c r="DG1" s="229"/>
      <c r="DH1" s="229"/>
      <c r="DI1" s="229"/>
      <c r="DJ1" s="229"/>
      <c r="DK1" s="229"/>
      <c r="DL1" s="229"/>
      <c r="DM1" s="229"/>
      <c r="DN1" s="229"/>
      <c r="DP1" s="230" t="s">
        <v>141</v>
      </c>
      <c r="DR1" s="229" t="s">
        <v>142</v>
      </c>
      <c r="DS1" s="229"/>
      <c r="DT1" s="229"/>
      <c r="DU1" s="229"/>
      <c r="DV1" s="229"/>
      <c r="DW1" s="229"/>
      <c r="DX1" s="229"/>
      <c r="DY1" s="229"/>
      <c r="DZ1" s="229"/>
      <c r="EA1" s="229"/>
      <c r="EB1" s="229"/>
      <c r="EC1" s="229"/>
      <c r="ED1" s="229"/>
      <c r="EE1" s="229"/>
      <c r="EF1" s="229"/>
      <c r="EG1" s="229"/>
      <c r="EH1" s="229"/>
      <c r="EI1" s="229"/>
      <c r="EJ1" s="229"/>
      <c r="EK1" s="229"/>
      <c r="EL1" s="229"/>
      <c r="EM1" s="1"/>
      <c r="EN1" s="229" t="s">
        <v>143</v>
      </c>
      <c r="EO1" s="229"/>
      <c r="EP1" s="229"/>
      <c r="EQ1" s="229"/>
      <c r="ER1" s="229"/>
      <c r="ES1" s="229"/>
      <c r="ET1" s="229"/>
      <c r="EU1" s="229"/>
      <c r="EV1" s="229"/>
      <c r="EW1" s="229"/>
      <c r="EX1" s="229"/>
      <c r="EZ1" s="1"/>
      <c r="FA1" s="1"/>
    </row>
    <row r="2" customFormat="false" ht="43.5" hidden="false" customHeight="false" outlineLevel="0" collapsed="false">
      <c r="A2" s="231" t="s">
        <v>112</v>
      </c>
      <c r="B2" s="232" t="s">
        <v>114</v>
      </c>
      <c r="C2" s="233" t="s">
        <v>144</v>
      </c>
      <c r="E2" s="231" t="s">
        <v>145</v>
      </c>
      <c r="F2" s="234" t="s">
        <v>146</v>
      </c>
      <c r="G2" s="233" t="s">
        <v>147</v>
      </c>
      <c r="H2" s="233" t="s">
        <v>148</v>
      </c>
      <c r="I2" s="233" t="s">
        <v>149</v>
      </c>
      <c r="J2" s="233"/>
      <c r="K2" s="235" t="s">
        <v>150</v>
      </c>
      <c r="L2" s="235" t="s">
        <v>151</v>
      </c>
      <c r="M2" s="235" t="s">
        <v>152</v>
      </c>
      <c r="N2" s="235" t="s">
        <v>153</v>
      </c>
      <c r="P2" s="231" t="s">
        <v>58</v>
      </c>
      <c r="Q2" s="231" t="s">
        <v>145</v>
      </c>
      <c r="R2" s="231" t="s">
        <v>146</v>
      </c>
      <c r="S2" s="233" t="s">
        <v>147</v>
      </c>
      <c r="T2" s="233" t="s">
        <v>149</v>
      </c>
      <c r="U2" s="233"/>
      <c r="V2" s="231" t="s">
        <v>95</v>
      </c>
      <c r="W2" s="231" t="s">
        <v>154</v>
      </c>
      <c r="X2" s="231" t="s">
        <v>145</v>
      </c>
      <c r="Y2" s="231" t="s">
        <v>146</v>
      </c>
      <c r="Z2" s="233" t="s">
        <v>147</v>
      </c>
      <c r="AA2" s="231" t="s">
        <v>149</v>
      </c>
      <c r="AC2" s="235" t="s">
        <v>155</v>
      </c>
      <c r="AD2" s="235" t="s">
        <v>156</v>
      </c>
      <c r="AF2" s="231" t="s">
        <v>96</v>
      </c>
      <c r="AG2" s="231" t="s">
        <v>154</v>
      </c>
      <c r="AH2" s="231" t="s">
        <v>145</v>
      </c>
      <c r="AI2" s="236" t="s">
        <v>146</v>
      </c>
      <c r="AJ2" s="233" t="s">
        <v>147</v>
      </c>
      <c r="AK2" s="231" t="s">
        <v>95</v>
      </c>
      <c r="AL2" s="231" t="s">
        <v>58</v>
      </c>
      <c r="AM2" s="231" t="s">
        <v>157</v>
      </c>
      <c r="AO2" s="235" t="s">
        <v>158</v>
      </c>
      <c r="AP2" s="235" t="s">
        <v>159</v>
      </c>
      <c r="AQ2" s="235" t="s">
        <v>160</v>
      </c>
      <c r="AR2" s="235" t="s">
        <v>161</v>
      </c>
      <c r="AS2" s="235" t="s">
        <v>162</v>
      </c>
      <c r="AU2" s="237" t="s">
        <v>93</v>
      </c>
      <c r="AV2" s="237" t="s">
        <v>154</v>
      </c>
      <c r="AW2" s="231" t="s">
        <v>145</v>
      </c>
      <c r="AX2" s="236" t="s">
        <v>146</v>
      </c>
      <c r="AY2" s="233" t="s">
        <v>147</v>
      </c>
      <c r="AZ2" s="237" t="s">
        <v>148</v>
      </c>
      <c r="BA2" s="233"/>
      <c r="BB2" s="238" t="s">
        <v>76</v>
      </c>
      <c r="BC2" s="238" t="s">
        <v>163</v>
      </c>
      <c r="BD2" s="238" t="s">
        <v>152</v>
      </c>
      <c r="BE2" s="238" t="s">
        <v>153</v>
      </c>
      <c r="BG2" s="237" t="s">
        <v>94</v>
      </c>
      <c r="BH2" s="237" t="s">
        <v>145</v>
      </c>
      <c r="BI2" s="234" t="s">
        <v>146</v>
      </c>
      <c r="BJ2" s="233" t="s">
        <v>147</v>
      </c>
      <c r="BL2" s="231" t="s">
        <v>164</v>
      </c>
      <c r="BM2" s="231" t="s">
        <v>154</v>
      </c>
      <c r="BN2" s="231" t="s">
        <v>145</v>
      </c>
      <c r="BO2" s="231" t="s">
        <v>146</v>
      </c>
      <c r="BP2" s="233" t="s">
        <v>165</v>
      </c>
      <c r="BQ2" s="233" t="s">
        <v>166</v>
      </c>
      <c r="BR2" s="233" t="s">
        <v>167</v>
      </c>
      <c r="BT2" s="231" t="s">
        <v>164</v>
      </c>
      <c r="BU2" s="231" t="s">
        <v>154</v>
      </c>
      <c r="BV2" s="231" t="s">
        <v>145</v>
      </c>
      <c r="BW2" s="231" t="s">
        <v>146</v>
      </c>
      <c r="BX2" s="233" t="s">
        <v>165</v>
      </c>
      <c r="BY2" s="233" t="s">
        <v>166</v>
      </c>
      <c r="BZ2" s="233" t="s">
        <v>167</v>
      </c>
      <c r="CB2" s="231" t="s">
        <v>164</v>
      </c>
      <c r="CC2" s="231" t="s">
        <v>154</v>
      </c>
      <c r="CD2" s="231" t="s">
        <v>145</v>
      </c>
      <c r="CE2" s="231" t="s">
        <v>146</v>
      </c>
      <c r="CF2" s="233" t="s">
        <v>165</v>
      </c>
      <c r="CG2" s="233" t="s">
        <v>166</v>
      </c>
      <c r="CH2" s="233" t="s">
        <v>167</v>
      </c>
      <c r="CI2" s="233"/>
      <c r="CJ2" s="231" t="s">
        <v>164</v>
      </c>
      <c r="CK2" s="231" t="s">
        <v>154</v>
      </c>
      <c r="CL2" s="231" t="s">
        <v>145</v>
      </c>
      <c r="CM2" s="231" t="s">
        <v>146</v>
      </c>
      <c r="CN2" s="233" t="s">
        <v>165</v>
      </c>
      <c r="CO2" s="233" t="s">
        <v>166</v>
      </c>
      <c r="CP2" s="233" t="s">
        <v>167</v>
      </c>
      <c r="CQ2" s="233"/>
      <c r="CR2" s="231" t="s">
        <v>90</v>
      </c>
      <c r="CS2" s="233" t="s">
        <v>147</v>
      </c>
      <c r="CU2" s="231" t="s">
        <v>62</v>
      </c>
      <c r="CW2" s="231" t="s">
        <v>168</v>
      </c>
      <c r="CY2" s="231" t="s">
        <v>63</v>
      </c>
      <c r="CZ2" s="231" t="s">
        <v>146</v>
      </c>
      <c r="DA2" s="233" t="s">
        <v>147</v>
      </c>
      <c r="DC2" s="231" t="s">
        <v>169</v>
      </c>
      <c r="DD2" s="231" t="s">
        <v>145</v>
      </c>
      <c r="DE2" s="233" t="s">
        <v>147</v>
      </c>
      <c r="DF2" s="233" t="s">
        <v>170</v>
      </c>
      <c r="DG2" s="233" t="s">
        <v>171</v>
      </c>
      <c r="DH2" s="232" t="s">
        <v>172</v>
      </c>
      <c r="DI2" s="233" t="s">
        <v>173</v>
      </c>
      <c r="DJ2" s="234"/>
      <c r="DK2" s="239" t="s">
        <v>174</v>
      </c>
      <c r="DL2" s="231" t="s">
        <v>3</v>
      </c>
      <c r="DM2" s="231" t="s">
        <v>175</v>
      </c>
      <c r="DN2" s="231" t="s">
        <v>176</v>
      </c>
      <c r="DP2" s="231" t="s">
        <v>177</v>
      </c>
      <c r="DR2" s="234" t="s">
        <v>178</v>
      </c>
      <c r="DS2" s="231" t="s">
        <v>30</v>
      </c>
      <c r="DU2" s="234" t="s">
        <v>179</v>
      </c>
      <c r="DV2" s="231" t="s">
        <v>180</v>
      </c>
      <c r="DX2" s="234" t="s">
        <v>181</v>
      </c>
      <c r="DY2" s="231" t="s">
        <v>180</v>
      </c>
      <c r="DZ2" s="240" t="s">
        <v>182</v>
      </c>
      <c r="EB2" s="231" t="s">
        <v>183</v>
      </c>
      <c r="EC2" s="241" t="s">
        <v>176</v>
      </c>
      <c r="ED2" s="231" t="s">
        <v>184</v>
      </c>
      <c r="EE2" s="231" t="s">
        <v>185</v>
      </c>
      <c r="EF2" s="231" t="s">
        <v>6</v>
      </c>
      <c r="EG2" s="242" t="s">
        <v>186</v>
      </c>
      <c r="EH2" s="231" t="s">
        <v>187</v>
      </c>
      <c r="EI2" s="243" t="s">
        <v>188</v>
      </c>
      <c r="EJ2" s="168" t="s">
        <v>23</v>
      </c>
      <c r="EK2" s="168" t="s">
        <v>169</v>
      </c>
      <c r="EL2" s="239" t="s">
        <v>189</v>
      </c>
      <c r="EM2" s="244"/>
      <c r="EN2" s="245" t="s">
        <v>190</v>
      </c>
      <c r="EO2" s="246" t="s">
        <v>19</v>
      </c>
      <c r="EP2" s="246" t="s">
        <v>191</v>
      </c>
      <c r="EQ2" s="246" t="s">
        <v>8</v>
      </c>
      <c r="ER2" s="246" t="s">
        <v>9</v>
      </c>
      <c r="ES2" s="246" t="s">
        <v>10</v>
      </c>
      <c r="ET2" s="246" t="s">
        <v>17</v>
      </c>
      <c r="EU2" s="246" t="s">
        <v>12</v>
      </c>
      <c r="EV2" s="246" t="s">
        <v>192</v>
      </c>
      <c r="EW2" s="246" t="s">
        <v>13</v>
      </c>
      <c r="EX2" s="246" t="s">
        <v>193</v>
      </c>
      <c r="EZ2" s="244"/>
      <c r="FA2" s="1"/>
    </row>
    <row r="3" customFormat="false" ht="14.25" hidden="false" customHeight="false" outlineLevel="0" collapsed="false">
      <c r="A3" s="2" t="n">
        <v>1</v>
      </c>
      <c r="B3" s="223" t="n">
        <v>0</v>
      </c>
      <c r="C3" s="224" t="n">
        <v>49</v>
      </c>
      <c r="E3" s="231" t="s">
        <v>76</v>
      </c>
      <c r="F3" s="234" t="s">
        <v>194</v>
      </c>
      <c r="G3" s="233"/>
      <c r="H3" s="233" t="s">
        <v>150</v>
      </c>
      <c r="I3" s="233" t="s">
        <v>195</v>
      </c>
      <c r="J3" s="233"/>
      <c r="K3" s="247" t="str">
        <f aca="false">Collection[[#This Row],[Collection]]&amp;IF(Collection[[#This Row],[Price]]="",""," (+"&amp;TEXT(Collection[[#This Row],[Price]],"$0.00"&amp;")"))</f>
        <v>Performance-Line</v>
      </c>
      <c r="L3" s="247" t="str">
        <f aca="false">Collection[[#This Row],[Collection]]&amp;IF(Collection[[#This Row],[Price]]="",""," (+"&amp;TEXT(Collection[[#This Row],[Price]],"$0.00"&amp;")"))</f>
        <v>Performance-Line</v>
      </c>
      <c r="M3" s="247" t="str">
        <f aca="false">Collection[[#This Row],[Collection]]&amp;IF(Collection[[#This Row],[Price]]="",""," (+"&amp;TEXT(Collection[[#This Row],[Price]],"$0.00"&amp;")"))</f>
        <v>Performance-Line</v>
      </c>
      <c r="N3" s="247" t="str">
        <f aca="false">Collection[[#This Row],[Collection]]&amp;IF(Collection[[#This Row],[Price]]="",""," (+"&amp;TEXT(Collection[[#This Row],[Price]],"$0.00"&amp;")"))</f>
        <v>Performance-Line</v>
      </c>
      <c r="P3" s="231" t="s">
        <v>79</v>
      </c>
      <c r="Q3" s="231" t="str">
        <f aca="false">Collection[[#This Row],[Collection]]&amp;IF(Collection[[#This Row],[Price]]="",""," (+"&amp;TEXT(Collection[[#This Row],[Price]],"$0.00"&amp;")"))</f>
        <v>Performance-Line</v>
      </c>
      <c r="R3" s="231" t="s">
        <v>196</v>
      </c>
      <c r="T3" s="224" t="s">
        <v>155</v>
      </c>
      <c r="V3" s="231" t="s">
        <v>80</v>
      </c>
      <c r="W3" s="231" t="n">
        <v>1</v>
      </c>
      <c r="X3" s="231" t="str">
        <f aca="false">Sleeve[[#This Row],[Sleeve]]&amp;IF(Sleeve[[#This Row],[Price]]="",""," (+"&amp;TEXT(Sleeve[[#This Row],[Price]],"$0.00"&amp;")"))</f>
        <v>Short</v>
      </c>
      <c r="Y3" s="231" t="s">
        <v>197</v>
      </c>
      <c r="Z3" s="224"/>
      <c r="AA3" s="248" t="s">
        <v>155</v>
      </c>
      <c r="AC3" s="2" t="e">
        <f aca="false" t="array" ref="AC3:AC5">_xlfn._xlws.filter(Sleeve[Sleeve],Sleeve[Line]=AC2)</f>
        <v>#NAME?</v>
      </c>
      <c r="AD3" s="2" t="e">
        <f aca="false" t="array" ref="AD3:AD4">_xlfn._xlws.filter(Sleeve[Sleeve],Sleeve[Line]=AD2)</f>
        <v>#NAME?</v>
      </c>
      <c r="AF3" s="249" t="s">
        <v>198</v>
      </c>
      <c r="AG3" s="249"/>
      <c r="AH3" s="231" t="str">
        <f aca="false">Collar[[#This Row],[Collar]]&amp;IF(Collar[[#This Row],[Price]]="",""," (+"&amp;TEXT(Collar[[#This Row],[Price]],"$0.00"&amp;")"))</f>
        <v>1/4 Zip Sash (+$10.00)</v>
      </c>
      <c r="AI3" s="250" t="s">
        <v>199</v>
      </c>
      <c r="AJ3" s="251" t="n">
        <v>10</v>
      </c>
      <c r="AK3" s="247" t="s">
        <v>80</v>
      </c>
      <c r="AL3" s="252" t="s">
        <v>155</v>
      </c>
      <c r="AM3" s="247" t="str">
        <f aca="false">Collar[[#This Row],[Collection]]&amp;Collar[[#This Row],[Sleeve]]</f>
        <v>PerformanceShort</v>
      </c>
      <c r="AO3" s="2" t="e">
        <f aca="false" t="array" ref="AO3:AO12">_xlfn._xlws.filter(Collar[Display],Collar[C&amp;S]=AO$2)</f>
        <v>#NAME?</v>
      </c>
      <c r="AP3" s="2" t="e">
        <f aca="false" t="array" ref="AP3:AP7">_xlfn._xlws.filter(Collar[Display],Collar[C&amp;S]=AP$2)</f>
        <v>#NAME?</v>
      </c>
      <c r="AQ3" s="2" t="e">
        <f aca="false" t="array" ref="AQ3:AQ10">_xlfn._xlws.filter(Collar[Display],Collar[C&amp;S]=AQ$2)</f>
        <v>#NAME?</v>
      </c>
      <c r="AR3" s="2" t="e">
        <f aca="false" t="array" ref="AR3:AR10">_xlfn._xlws.filter(Collar[Display],Collar[C&amp;S]=AR$2)</f>
        <v>#NAME?</v>
      </c>
      <c r="AS3" s="2" t="e">
        <f aca="false" t="array" ref="AS3:AS7">_xlfn._xlws.filter(Collar[Display],Collar[C&amp;S]=AS$2)</f>
        <v>#NAME?</v>
      </c>
      <c r="AU3" s="237" t="s">
        <v>200</v>
      </c>
      <c r="AV3" s="231" t="n">
        <v>1</v>
      </c>
      <c r="AW3" s="231" t="str">
        <f aca="false">Size[[#This Row],[Size]]&amp;IF(Size[[#This Row],[Price]]="",""," (+"&amp;TEXT(Size[[#This Row],[Price]],"$0.00")&amp;")")</f>
        <v>X-Small</v>
      </c>
      <c r="AX3" s="236" t="s">
        <v>201</v>
      </c>
      <c r="AZ3" s="224" t="s">
        <v>76</v>
      </c>
      <c r="BB3" s="224" t="e">
        <f aca="false" t="array" ref="BB3:BB13">_xlfn._xlws.filter(Size[Display],Size[Cut]=BB$2)</f>
        <v>#NAME?</v>
      </c>
      <c r="BC3" s="224" t="e">
        <f aca="false" t="array" ref="BC3:BC13">_xlfn._xlws.filter(Size[Display],Size[Cut]=BC$2)</f>
        <v>#NAME?</v>
      </c>
      <c r="BD3" s="224" t="e">
        <f aca="false" t="array" ref="BD3:BD7">_xlfn._xlws.filter(Size[Display],Size[Cut]=BD$2)</f>
        <v>#NAME?</v>
      </c>
      <c r="BE3" s="224" t="e">
        <f aca="false" t="array" ref="BE3:BE6">_xlfn._xlws.filter(Size[Display],Size[Cut]=BE$2)</f>
        <v>#NAME?</v>
      </c>
      <c r="BG3" s="237" t="s">
        <v>202</v>
      </c>
      <c r="BH3" s="231" t="str">
        <f aca="false">Length[[#This Row],[Length]]&amp;IF(Length[[#This Row],[Price]]="",""," (+"&amp;TEXT(Length[[#This Row],[Price]],"$0.00"&amp;")"))</f>
        <v>+2 (+$3.00)</v>
      </c>
      <c r="BI3" s="236" t="s">
        <v>202</v>
      </c>
      <c r="BJ3" s="224" t="n">
        <v>3</v>
      </c>
      <c r="BL3" s="231" t="s">
        <v>203</v>
      </c>
      <c r="BM3" s="231" t="n">
        <v>1</v>
      </c>
      <c r="BN3" s="231" t="str">
        <f aca="false">Logos[[#This Row],[Logos]]&amp;" ($30 Per Order)"</f>
        <v>Custom ($30 Per Order)</v>
      </c>
      <c r="BO3" s="231" t="s">
        <v>203</v>
      </c>
      <c r="BP3" s="224"/>
      <c r="BQ3" s="233"/>
      <c r="BR3" s="233"/>
      <c r="BT3" s="231" t="s">
        <v>204</v>
      </c>
      <c r="BU3" s="231" t="n">
        <v>1</v>
      </c>
      <c r="BV3" s="231" t="str">
        <f aca="false">Chest[[#This Row],[Logos]]&amp;IF(BZ3="","",IF(Chest[[#This Row],[Use]]="Flat"," (+"&amp;TEXT(Chest[[#This Row],[Flat]],"$0.00")&amp;")"," (+"&amp;TEXT(Chest[[#This Row],[Pct]],"0%")&amp;" of base price)"))</f>
        <v>Creating The Difference</v>
      </c>
      <c r="BW3" s="253" t="s">
        <v>205</v>
      </c>
      <c r="BX3" s="224"/>
      <c r="BY3" s="233"/>
      <c r="BZ3" s="231"/>
      <c r="CB3" s="231" t="s">
        <v>204</v>
      </c>
      <c r="CC3" s="231" t="n">
        <v>1</v>
      </c>
      <c r="CD3" s="231" t="str">
        <f aca="false">LeftSleeve[[#This Row],[Logos]]&amp;IF(LeftSleeve[[#This Row],[Use]]="","",IF(LeftSleeve[[#This Row],[Use]]="Flat"," (+"&amp;TEXT(LeftSleeve[[#This Row],[Flat]],"$0.00")&amp;")"," (+"&amp;TEXT(LeftSleeve[[#This Row],[Pct]],"0%")&amp;" of base price)"))</f>
        <v>Creating The Difference</v>
      </c>
      <c r="CE3" s="253" t="s">
        <v>205</v>
      </c>
      <c r="CF3" s="224"/>
      <c r="CG3" s="233"/>
      <c r="CH3" s="231"/>
      <c r="CI3" s="231"/>
      <c r="CJ3" s="231" t="s">
        <v>206</v>
      </c>
      <c r="CK3" s="231" t="n">
        <v>1</v>
      </c>
      <c r="CL3" s="231" t="str">
        <f aca="false">RightSleeve[[#This Row],[Logos]]</f>
        <v>PBA</v>
      </c>
      <c r="CM3" s="231" t="s">
        <v>206</v>
      </c>
      <c r="CN3" s="233"/>
      <c r="CO3" s="233"/>
      <c r="CP3" s="231"/>
      <c r="CQ3" s="231"/>
      <c r="CR3" s="231" t="s">
        <v>90</v>
      </c>
      <c r="CS3" s="224" t="n">
        <v>8</v>
      </c>
      <c r="CU3" s="231" t="s">
        <v>207</v>
      </c>
      <c r="CW3" s="231" t="s">
        <v>83</v>
      </c>
      <c r="CY3" s="231" t="s">
        <v>208</v>
      </c>
      <c r="CZ3" s="231" t="s">
        <v>209</v>
      </c>
      <c r="DC3" s="231" t="s">
        <v>35</v>
      </c>
      <c r="DD3" s="231" t="str">
        <f aca="false">ProductionPriority[[#This Row],[Production]]&amp;IF(ProductionPriority[[#This Row],[Price]]="",""," +"&amp;TEXT(ProductionPriority[[#This Row],[Price]],"00%"))</f>
        <v>Standard (approx 3 weeks)</v>
      </c>
      <c r="DH3" s="223" t="n">
        <f aca="false">IF(_xlfn.xlookup(CustGroup,CustomerGroup[Customer Groups],CustomerGroup[Free Express Production])="Yes",ProductionPriority[[#This Row],[Upgrade]],ProductionPriority[[#This Row],[Price]])</f>
        <v>0</v>
      </c>
      <c r="DI3" s="224" t="n">
        <f aca="false">ROUNDUP(IF(ProductionPriority[[#This Row],[Actual]]&gt;0,MAX(ProductionPriority[[#This Row],[Minimum]],BOD_Subtotal*ProductionPriority[[#This Row],[Actual]]),0),2)</f>
        <v>0</v>
      </c>
      <c r="DJ3" s="234"/>
      <c r="DK3" s="239" t="s">
        <v>210</v>
      </c>
      <c r="DL3" s="254" t="n">
        <f aca="false">MAX(Summary!$D$23*SUMIF(ProductionPriority[Display],PriorityProduction[[#This Row],[Priority Production]],ProductionPriority[Price]),25)</f>
        <v>81.375</v>
      </c>
      <c r="DM3" s="2" t="n">
        <v>0</v>
      </c>
      <c r="DN3" s="2" t="n">
        <v>9</v>
      </c>
      <c r="DP3" s="231" t="s">
        <v>175</v>
      </c>
      <c r="DR3" s="75" t="n">
        <v>1</v>
      </c>
      <c r="DS3" s="231" t="s">
        <v>211</v>
      </c>
      <c r="DU3" s="75" t="n">
        <v>1</v>
      </c>
      <c r="DV3" s="231" t="s">
        <v>212</v>
      </c>
      <c r="DX3" s="255" t="n">
        <v>0</v>
      </c>
      <c r="DY3" s="231"/>
      <c r="EB3" s="256" t="n">
        <f aca="true">INT(NOW()+1)</f>
        <v>46107</v>
      </c>
      <c r="EC3" s="257" t="n">
        <f aca="false">(7-WEEKDAY(IHD_Calc[[#This Row],[Order Date]],15))</f>
        <v>0</v>
      </c>
      <c r="ED3" s="256" t="n">
        <f aca="false">IHD_Calc[[#This Row],[Order Date]]+(7-WEEKDAY(IHD_Calc[[#This Row],[Order Date]],15))+IF(IHD_Calc[[#This Row],[Days]]&lt;3,7,0)</f>
        <v>46114</v>
      </c>
      <c r="EE3" s="256" t="n">
        <f aca="false">IHD_Calc[[#This Row],[Approval Date]]-5</f>
        <v>46109</v>
      </c>
      <c r="EF3" s="258"/>
      <c r="EG3" s="256" t="str">
        <f aca="false">IFERROR(IHD_Calc[[#This Row],[Approval Date]]+VLOOKUP(IHD_Calc[[#This Row],[Production Priority]],PriorityProduction[],4),"")</f>
        <v/>
      </c>
      <c r="EH3" s="256" t="str">
        <f aca="false">IFERROR(IHD_Calc[[#This Row],[In Transit]]+3,"")</f>
        <v/>
      </c>
      <c r="EI3" s="228" t="n">
        <f aca="false">IFERROR(IHD_Calc[[#This Row],[Est Ship Date]]+_xlfn.xlookup(IHD_Calc[[#This Row],[Shipping]],ShipDays[Shipping Service],ShipDays[Ship Days]),0)</f>
        <v>0</v>
      </c>
      <c r="EJ3" s="259"/>
      <c r="EK3" s="259"/>
      <c r="EL3" s="260" t="s">
        <v>213</v>
      </c>
      <c r="EM3" s="10"/>
      <c r="EN3" s="231" t="s">
        <v>214</v>
      </c>
      <c r="EO3" s="234"/>
      <c r="EP3" s="75" t="n">
        <v>0.2</v>
      </c>
      <c r="EQ3" s="75" t="s">
        <v>3</v>
      </c>
      <c r="ER3" s="75" t="s">
        <v>3</v>
      </c>
      <c r="ES3" s="75" t="s">
        <v>3</v>
      </c>
      <c r="ET3" s="75" t="s">
        <v>3</v>
      </c>
      <c r="EU3" s="75" t="s">
        <v>3</v>
      </c>
      <c r="EV3" s="234"/>
      <c r="EW3" s="234"/>
      <c r="EX3" s="234" t="n">
        <v>49</v>
      </c>
      <c r="EZ3" s="10"/>
      <c r="FA3" s="1"/>
    </row>
    <row r="4" customFormat="false" ht="15" hidden="false" customHeight="false" outlineLevel="0" collapsed="false">
      <c r="A4" s="2" t="n">
        <v>2</v>
      </c>
      <c r="B4" s="223" t="n">
        <v>0.05</v>
      </c>
      <c r="C4" s="224" t="n">
        <f aca="false">$C$3*(1-B4)</f>
        <v>46.55</v>
      </c>
      <c r="E4" s="231" t="s">
        <v>163</v>
      </c>
      <c r="F4" s="234" t="s">
        <v>215</v>
      </c>
      <c r="G4" s="233"/>
      <c r="H4" s="233" t="s">
        <v>151</v>
      </c>
      <c r="I4" s="233" t="s">
        <v>216</v>
      </c>
      <c r="J4" s="233"/>
      <c r="K4" s="261" t="str">
        <f aca="false">Collection[[#This Row],[Collection]]&amp;IF(Collection[[#This Row],[Price]]="",""," (+"&amp;TEXT(Collection[[#This Row],[Price]],"$0.00"&amp;")"))</f>
        <v>Tour-Line (+$15.00)</v>
      </c>
      <c r="L4" s="261" t="str">
        <f aca="false">Collection[[#This Row],[Collection]]&amp;IF(Collection[[#This Row],[Price]]="",""," (+"&amp;TEXT(Collection[[#This Row],[Price]],"$0.00"&amp;")"))</f>
        <v>Tour-Line (+$15.00)</v>
      </c>
      <c r="M4" s="261"/>
      <c r="N4" s="261"/>
      <c r="P4" s="231" t="s">
        <v>217</v>
      </c>
      <c r="Q4" s="231" t="str">
        <f aca="false">Collection[[#This Row],[Collection]]&amp;IF(Collection[[#This Row],[Price]]="",""," (+"&amp;TEXT(Collection[[#This Row],[Price]],"$0.00"&amp;")"))</f>
        <v>Tour-Line (+$15.00)</v>
      </c>
      <c r="R4" s="231" t="s">
        <v>218</v>
      </c>
      <c r="S4" s="224" t="n">
        <v>15</v>
      </c>
      <c r="T4" s="224" t="s">
        <v>156</v>
      </c>
      <c r="V4" s="231" t="s">
        <v>219</v>
      </c>
      <c r="W4" s="231" t="n">
        <v>2</v>
      </c>
      <c r="X4" s="231" t="str">
        <f aca="false">Sleeve[[#This Row],[Sleeve]]&amp;IF(Sleeve[[#This Row],[Price]]="",""," (+"&amp;TEXT(Sleeve[[#This Row],[Price]],"$0.00"&amp;")"))</f>
        <v>Sleeveless</v>
      </c>
      <c r="Y4" s="231" t="s">
        <v>220</v>
      </c>
      <c r="Z4" s="224"/>
      <c r="AA4" s="248" t="s">
        <v>155</v>
      </c>
      <c r="AC4" s="2" t="e">
        <v>#NAME?</v>
      </c>
      <c r="AD4" s="2" t="e">
        <v>#NAME?</v>
      </c>
      <c r="AF4" s="231" t="s">
        <v>221</v>
      </c>
      <c r="AG4" s="231"/>
      <c r="AH4" s="231" t="str">
        <f aca="false">Collar[[#This Row],[Collar]]&amp;IF(Collar[[#This Row],[Price]]="",""," (+"&amp;TEXT(Collar[[#This Row],[Price]],"$0.00"&amp;")"))</f>
        <v>Polo (+$10.00)</v>
      </c>
      <c r="AI4" s="236" t="s">
        <v>222</v>
      </c>
      <c r="AJ4" s="262" t="n">
        <v>10</v>
      </c>
      <c r="AK4" s="252" t="s">
        <v>80</v>
      </c>
      <c r="AL4" s="252" t="s">
        <v>155</v>
      </c>
      <c r="AM4" s="252" t="str">
        <f aca="false">Collar[[#This Row],[Collection]]&amp;Collar[[#This Row],[Sleeve]]</f>
        <v>PerformanceShort</v>
      </c>
      <c r="AO4" s="2" t="e">
        <v>#NAME?</v>
      </c>
      <c r="AP4" s="2" t="e">
        <v>#NAME?</v>
      </c>
      <c r="AQ4" s="2" t="e">
        <v>#NAME?</v>
      </c>
      <c r="AR4" s="2" t="e">
        <v>#NAME?</v>
      </c>
      <c r="AS4" s="2" t="e">
        <v>#NAME?</v>
      </c>
      <c r="AU4" s="237" t="s">
        <v>223</v>
      </c>
      <c r="AV4" s="231" t="n">
        <v>2</v>
      </c>
      <c r="AW4" s="231" t="str">
        <f aca="false">Size[[#This Row],[Size]]&amp;IF(Size[[#This Row],[Price]]="",""," (+"&amp;TEXT(Size[[#This Row],[Price]],"$0.00")&amp;")")</f>
        <v>Small</v>
      </c>
      <c r="AX4" s="236" t="s">
        <v>197</v>
      </c>
      <c r="AZ4" s="224" t="s">
        <v>76</v>
      </c>
      <c r="BB4" s="224" t="e">
        <v>#NAME?</v>
      </c>
      <c r="BC4" s="224" t="e">
        <v>#NAME?</v>
      </c>
      <c r="BD4" s="224" t="e">
        <v>#NAME?</v>
      </c>
      <c r="BE4" s="224" t="e">
        <v>#NAME?</v>
      </c>
      <c r="BG4" s="237" t="s">
        <v>224</v>
      </c>
      <c r="BH4" s="231" t="str">
        <f aca="false">Length[[#This Row],[Length]]&amp;IF(Length[[#This Row],[Price]]="",""," (+"&amp;TEXT(Length[[#This Row],[Price]],"$0.00"&amp;")"))</f>
        <v>+4 (+$6.00)</v>
      </c>
      <c r="BI4" s="236" t="s">
        <v>224</v>
      </c>
      <c r="BJ4" s="224" t="n">
        <v>6</v>
      </c>
      <c r="BL4" s="231" t="s">
        <v>225</v>
      </c>
      <c r="BM4" s="231" t="n">
        <v>2</v>
      </c>
      <c r="BN4" s="231" t="str">
        <f aca="false">Logos[[#This Row],[Logos]]&amp;" (FREE)"</f>
        <v>Custom On File (FREE)</v>
      </c>
      <c r="BO4" s="231" t="s">
        <v>225</v>
      </c>
      <c r="BP4" s="224"/>
      <c r="BQ4" s="233"/>
      <c r="BR4" s="233"/>
      <c r="BT4" s="231" t="s">
        <v>226</v>
      </c>
      <c r="BU4" s="231" t="n">
        <v>2</v>
      </c>
      <c r="BV4" s="231" t="str">
        <f aca="false">Chest[[#This Row],[Logos]]&amp;IF(BZ4="","",IF(Chest[[#This Row],[Use]]="Flat"," (+"&amp;TEXT(Chest[[#This Row],[Flat]],"$0.00")&amp;")"," (+"&amp;TEXT(Chest[[#This Row],[Pct]],"0%")&amp;" of base price)"))</f>
        <v>Genesis (+$15.00)</v>
      </c>
      <c r="BW4" s="253" t="s">
        <v>226</v>
      </c>
      <c r="BX4" s="224"/>
      <c r="BY4" s="233" t="n">
        <v>15</v>
      </c>
      <c r="BZ4" s="231" t="s">
        <v>166</v>
      </c>
      <c r="CB4" s="231" t="s">
        <v>226</v>
      </c>
      <c r="CC4" s="231" t="n">
        <v>2</v>
      </c>
      <c r="CD4" s="231" t="str">
        <f aca="false">LeftSleeve[[#This Row],[Logos]]&amp;IF(LeftSleeve[[#This Row],[Use]]="","",IF(LeftSleeve[[#This Row],[Use]]="Flat"," (+"&amp;TEXT(LeftSleeve[[#This Row],[Flat]],"$0.00")&amp;")"," (+"&amp;TEXT(LeftSleeve[[#This Row],[Pct]],"0%")&amp;" of base price)"))</f>
        <v>Genesis (+$15.00)</v>
      </c>
      <c r="CE4" s="253" t="s">
        <v>226</v>
      </c>
      <c r="CF4" s="224"/>
      <c r="CG4" s="233" t="n">
        <v>15</v>
      </c>
      <c r="CH4" s="231" t="s">
        <v>166</v>
      </c>
      <c r="CI4" s="231"/>
      <c r="CJ4" s="231" t="s">
        <v>227</v>
      </c>
      <c r="CK4" s="231" t="n">
        <v>2</v>
      </c>
      <c r="CL4" s="231" t="str">
        <f aca="false">RightSleeve[[#This Row],[Logos]]</f>
        <v>PBA50</v>
      </c>
      <c r="CM4" s="231" t="s">
        <v>227</v>
      </c>
      <c r="CN4" s="233"/>
      <c r="CO4" s="233"/>
      <c r="CP4" s="231"/>
      <c r="CQ4" s="231"/>
      <c r="CU4" s="231" t="s">
        <v>84</v>
      </c>
      <c r="CW4" s="231" t="s">
        <v>228</v>
      </c>
      <c r="CY4" s="231" t="s">
        <v>229</v>
      </c>
      <c r="CZ4" s="231" t="s">
        <v>230</v>
      </c>
      <c r="DC4" s="231" t="s">
        <v>231</v>
      </c>
      <c r="DD4" s="231" t="str">
        <f aca="false">ProductionPriority[[#This Row],[Production]]&amp;IF(ProductionPriority[[#This Row],[Price]]="",""," +"&amp;TEXT(ProductionPriority[[#This Row],[Price]],"00%"))</f>
        <v>Express (approx 2 weeks) +25%</v>
      </c>
      <c r="DE4" s="263" t="n">
        <v>0.25</v>
      </c>
      <c r="DF4" s="263" t="n">
        <v>0</v>
      </c>
      <c r="DG4" s="224" t="n">
        <v>25</v>
      </c>
      <c r="DH4" s="223" t="n">
        <f aca="false">IF(_xlfn.xlookup(CustGroup,CustomerGroup[Customer Groups],CustomerGroup[Free Express Production])="Yes",ProductionPriority[[#This Row],[Upgrade]],ProductionPriority[[#This Row],[Price]])</f>
        <v>0.25</v>
      </c>
      <c r="DI4" s="224" t="n">
        <f aca="false">ROUNDUP(IF(ProductionPriority[[#This Row],[Actual]]&gt;0,MAX(ProductionPriority[[#This Row],[Minimum]],BOD_Subtotal*ProductionPriority[[#This Row],[Actual]]),0),2)</f>
        <v>81.38</v>
      </c>
      <c r="DJ4" s="234"/>
      <c r="DK4" s="239" t="s">
        <v>232</v>
      </c>
      <c r="DL4" s="254" t="n">
        <f aca="false">MAX(Summary!$D$23*SUMIF(ProductionPriority[Display],PriorityProduction[[#This Row],[Priority Production]],ProductionPriority[Price]),35)</f>
        <v>113.925</v>
      </c>
      <c r="DM4" s="224" t="n">
        <f aca="false">DL4-DL3</f>
        <v>32.55</v>
      </c>
      <c r="DN4" s="2" t="n">
        <v>2</v>
      </c>
      <c r="DP4" s="231" t="s">
        <v>3</v>
      </c>
      <c r="DR4" s="75" t="n">
        <v>2</v>
      </c>
      <c r="DS4" s="231" t="s">
        <v>233</v>
      </c>
      <c r="DU4" s="75" t="n">
        <v>2</v>
      </c>
      <c r="DV4" s="231" t="s">
        <v>234</v>
      </c>
      <c r="DX4" s="264" t="n">
        <v>45624</v>
      </c>
      <c r="DY4" s="231" t="s">
        <v>235</v>
      </c>
      <c r="EB4" s="256" t="n">
        <f aca="true">INT(NOW()+1)</f>
        <v>46107</v>
      </c>
      <c r="EC4" s="257" t="n">
        <f aca="false">(7-WEEKDAY(IHD_Calc[[#This Row],[Order Date]],15))</f>
        <v>0</v>
      </c>
      <c r="ED4" s="256" t="n">
        <f aca="false">IHD_Calc[[#This Row],[Order Date]]+(7-WEEKDAY(IHD_Calc[[#This Row],[Order Date]],15))+IF(IHD_Calc[[#This Row],[Days]]&lt;3,7,0)</f>
        <v>46114</v>
      </c>
      <c r="EE4" s="256" t="n">
        <f aca="false">IHD_Calc[[#This Row],[Approval Date]]-5</f>
        <v>46109</v>
      </c>
      <c r="EF4" s="258" t="s">
        <v>232</v>
      </c>
      <c r="EG4" s="256" t="n">
        <f aca="false">IFERROR(IHD_Calc[[#This Row],[Approval Date]]+VLOOKUP(IHD_Calc[[#This Row],[Production Priority]],PriorityProduction[],4),"")</f>
        <v>46116</v>
      </c>
      <c r="EH4" s="256" t="n">
        <f aca="false">IFERROR(IHD_Calc[[#This Row],[In Transit]]+3,"")</f>
        <v>46119</v>
      </c>
      <c r="EI4" s="228" t="n">
        <f aca="false">IFERROR(IHD_Calc[[#This Row],[Est Ship Date]]+_xlfn.xlookup(IHD_Calc[[#This Row],[Shipping]],ShipDays[Shipping Service],ShipDays[Ship Days]),0)</f>
        <v>0</v>
      </c>
      <c r="EJ4" s="259" t="s">
        <v>212</v>
      </c>
      <c r="EK4" s="259" t="s">
        <v>236</v>
      </c>
      <c r="EL4" s="260" t="str">
        <f aca="false">"To meet your in hand date it may require "&amp;IHD_Calc[[#This Row],[Production]]&amp;" production and UPS "&amp;UPPER(IHD_Calc[[#This Row],[Shipping]])&amp;" delivery service."</f>
        <v>To meet your in hand date it may require PRIORITY production and UPS OVERNIGHT delivery service.</v>
      </c>
      <c r="EM4" s="259"/>
      <c r="EN4" s="231" t="s">
        <v>237</v>
      </c>
      <c r="EO4" s="234" t="n">
        <v>0.35</v>
      </c>
      <c r="EQ4" s="75" t="s">
        <v>3</v>
      </c>
      <c r="ER4" s="75" t="s">
        <v>3</v>
      </c>
      <c r="ES4" s="75" t="s">
        <v>3</v>
      </c>
      <c r="ET4" s="75" t="s">
        <v>3</v>
      </c>
      <c r="EU4" s="75" t="s">
        <v>175</v>
      </c>
      <c r="EV4" s="234"/>
      <c r="EW4" s="234" t="n">
        <v>250</v>
      </c>
      <c r="EX4" s="234" t="n">
        <v>49</v>
      </c>
      <c r="EZ4" s="259"/>
      <c r="FA4" s="1"/>
    </row>
    <row r="5" customFormat="false" ht="14.25" hidden="false" customHeight="false" outlineLevel="0" collapsed="false">
      <c r="A5" s="2" t="n">
        <v>4</v>
      </c>
      <c r="B5" s="223" t="n">
        <v>0.1</v>
      </c>
      <c r="C5" s="224" t="n">
        <f aca="false">$C$3*(1-B5)</f>
        <v>44.1</v>
      </c>
      <c r="E5" s="231" t="s">
        <v>152</v>
      </c>
      <c r="F5" s="234" t="s">
        <v>238</v>
      </c>
      <c r="G5" s="233"/>
      <c r="H5" s="233" t="s">
        <v>152</v>
      </c>
      <c r="I5" s="233" t="s">
        <v>239</v>
      </c>
      <c r="J5" s="233"/>
      <c r="K5" s="233"/>
      <c r="L5" s="233"/>
      <c r="M5" s="233"/>
      <c r="N5" s="233"/>
      <c r="V5" s="231" t="s">
        <v>240</v>
      </c>
      <c r="W5" s="231" t="n">
        <v>3</v>
      </c>
      <c r="X5" s="231" t="str">
        <f aca="false">Sleeve[[#This Row],[Sleeve]]&amp;IF(Sleeve[[#This Row],[Price]]="",""," (+"&amp;TEXT(Sleeve[[#This Row],[Price]],"$0.00"&amp;")"))</f>
        <v>Long (+$10.00)</v>
      </c>
      <c r="Y5" s="231" t="s">
        <v>241</v>
      </c>
      <c r="Z5" s="224" t="n">
        <v>10</v>
      </c>
      <c r="AA5" s="248" t="s">
        <v>155</v>
      </c>
      <c r="AC5" s="2" t="e">
        <v>#NAME?</v>
      </c>
      <c r="AF5" s="249" t="s">
        <v>242</v>
      </c>
      <c r="AG5" s="249"/>
      <c r="AH5" s="231" t="str">
        <f aca="false">Collar[[#This Row],[Collar]]&amp;IF(Collar[[#This Row],[Price]]="",""," (+"&amp;TEXT(Collar[[#This Row],[Price]],"$0.00"&amp;")"))</f>
        <v>V-Neck</v>
      </c>
      <c r="AI5" s="250" t="s">
        <v>243</v>
      </c>
      <c r="AJ5" s="251"/>
      <c r="AK5" s="247" t="s">
        <v>80</v>
      </c>
      <c r="AL5" s="252" t="s">
        <v>155</v>
      </c>
      <c r="AM5" s="247" t="str">
        <f aca="false">Collar[[#This Row],[Collection]]&amp;Collar[[#This Row],[Sleeve]]</f>
        <v>PerformanceShort</v>
      </c>
      <c r="AO5" s="2" t="e">
        <v>#NAME?</v>
      </c>
      <c r="AP5" s="2" t="e">
        <v>#NAME?</v>
      </c>
      <c r="AQ5" s="2" t="e">
        <v>#NAME?</v>
      </c>
      <c r="AR5" s="2" t="e">
        <v>#NAME?</v>
      </c>
      <c r="AS5" s="2" t="e">
        <v>#NAME?</v>
      </c>
      <c r="AU5" s="237" t="s">
        <v>244</v>
      </c>
      <c r="AV5" s="231" t="n">
        <v>3</v>
      </c>
      <c r="AW5" s="231" t="str">
        <f aca="false">Size[[#This Row],[Size]]&amp;IF(Size[[#This Row],[Price]]="",""," (+"&amp;TEXT(Size[[#This Row],[Price]],"$0.00")&amp;")")</f>
        <v>Medium</v>
      </c>
      <c r="AX5" s="236" t="s">
        <v>194</v>
      </c>
      <c r="AZ5" s="224" t="s">
        <v>76</v>
      </c>
      <c r="BB5" s="224" t="e">
        <v>#NAME?</v>
      </c>
      <c r="BC5" s="224" t="e">
        <v>#NAME?</v>
      </c>
      <c r="BD5" s="224" t="e">
        <v>#NAME?</v>
      </c>
      <c r="BE5" s="224" t="e">
        <v>#NAME?</v>
      </c>
      <c r="BG5" s="237" t="s">
        <v>245</v>
      </c>
      <c r="BH5" s="231" t="str">
        <f aca="false">Length[[#This Row],[Length]]&amp;IF(Length[[#This Row],[Price]]="",""," (+"&amp;TEXT(Length[[#This Row],[Price]],"$0.00"&amp;")"))</f>
        <v>+6 (+$9.00)</v>
      </c>
      <c r="BI5" s="236" t="s">
        <v>245</v>
      </c>
      <c r="BJ5" s="224" t="n">
        <v>9</v>
      </c>
      <c r="BL5" s="231" t="s">
        <v>246</v>
      </c>
      <c r="BM5" s="231" t="n">
        <v>3</v>
      </c>
      <c r="BN5" s="231" t="str">
        <f aca="false">Logos[[#This Row],[Logos]]&amp;IF(Logos[[#This Row],[Use]]="Flat"," (+"&amp;TEXT(Logos[[#This Row],[Flat]],"$0.00")&amp;")"," (+"&amp;TEXT(Logos[[#This Row],[Pct]],"0%")&amp;" of base price)")</f>
        <v>900 Global (+$5.00)</v>
      </c>
      <c r="BO5" s="231" t="s">
        <v>247</v>
      </c>
      <c r="BP5" s="223" t="n">
        <v>0.1</v>
      </c>
      <c r="BQ5" s="265" t="n">
        <v>5</v>
      </c>
      <c r="BR5" s="232" t="s">
        <v>166</v>
      </c>
      <c r="BT5" s="231" t="s">
        <v>248</v>
      </c>
      <c r="BU5" s="231" t="n">
        <v>3</v>
      </c>
      <c r="BV5" s="231" t="str">
        <f aca="false">Chest[[#This Row],[Logos]]&amp;IF(BZ5="","",IF(Chest[[#This Row],[Use]]="Flat"," (+"&amp;TEXT(Chest[[#This Row],[Flat]],"$0.00")&amp;")"," (+"&amp;TEXT(Chest[[#This Row],[Pct]],"0%")&amp;" of base price)"))</f>
        <v>Master (+$5.00)</v>
      </c>
      <c r="BW5" s="253" t="s">
        <v>248</v>
      </c>
      <c r="BX5" s="224"/>
      <c r="BY5" s="233" t="n">
        <v>5</v>
      </c>
      <c r="BZ5" s="231" t="s">
        <v>166</v>
      </c>
      <c r="CB5" s="231" t="s">
        <v>248</v>
      </c>
      <c r="CC5" s="231" t="n">
        <v>3</v>
      </c>
      <c r="CD5" s="231" t="str">
        <f aca="false">LeftSleeve[[#This Row],[Logos]]&amp;IF(LeftSleeve[[#This Row],[Use]]="","",IF(LeftSleeve[[#This Row],[Use]]="Flat"," (+"&amp;TEXT(LeftSleeve[[#This Row],[Flat]],"$0.00")&amp;")"," (+"&amp;TEXT(LeftSleeve[[#This Row],[Pct]],"0%")&amp;" of base price)"))</f>
        <v>Master (+$5.00)</v>
      </c>
      <c r="CE5" s="253" t="s">
        <v>248</v>
      </c>
      <c r="CF5" s="224"/>
      <c r="CG5" s="233" t="n">
        <v>5</v>
      </c>
      <c r="CH5" s="231" t="s">
        <v>166</v>
      </c>
      <c r="CI5" s="231"/>
      <c r="CJ5" s="231" t="s">
        <v>249</v>
      </c>
      <c r="CK5" s="231"/>
      <c r="CL5" s="231" t="str">
        <f aca="false">RightSleeve[[#This Row],[Logos]]</f>
        <v>PBA Jr</v>
      </c>
      <c r="CM5" s="231" t="s">
        <v>250</v>
      </c>
      <c r="CN5" s="233"/>
      <c r="CO5" s="233"/>
      <c r="CP5" s="231"/>
      <c r="CQ5" s="231"/>
      <c r="CY5" s="231" t="s">
        <v>251</v>
      </c>
      <c r="CZ5" s="231" t="s">
        <v>252</v>
      </c>
      <c r="DC5" s="231" t="s">
        <v>253</v>
      </c>
      <c r="DD5" s="231" t="str">
        <f aca="false">ProductionPriority[[#This Row],[Production]]&amp;IF(ProductionPriority[[#This Row],[Price]]="",""," +"&amp;TEXT(ProductionPriority[[#This Row],[Price]],"00%"))</f>
        <v>Priority (approx 1 week) +35%</v>
      </c>
      <c r="DE5" s="266" t="n">
        <v>0.35</v>
      </c>
      <c r="DF5" s="266" t="n">
        <v>0.1</v>
      </c>
      <c r="DG5" s="224" t="n">
        <v>35</v>
      </c>
      <c r="DH5" s="223" t="n">
        <f aca="false">IF(_xlfn.xlookup(CustGroup,CustomerGroup[Customer Groups],CustomerGroup[Free Express Production])="Yes",ProductionPriority[[#This Row],[Upgrade]],ProductionPriority[[#This Row],[Price]])</f>
        <v>0.35</v>
      </c>
      <c r="DI5" s="224" t="n">
        <f aca="false">ROUNDUP(IF(ProductionPriority[[#This Row],[Actual]]&gt;0,MAX(ProductionPriority[[#This Row],[Minimum]],BOD_Subtotal*ProductionPriority[[#This Row],[Actual]]),0),2)</f>
        <v>113.93</v>
      </c>
      <c r="DJ5" s="234"/>
      <c r="DK5" s="239" t="s">
        <v>35</v>
      </c>
      <c r="DL5" s="254" t="n">
        <v>0</v>
      </c>
      <c r="DM5" s="224" t="n">
        <v>0</v>
      </c>
      <c r="DN5" s="2" t="n">
        <v>16</v>
      </c>
      <c r="DR5" s="75" t="n">
        <v>3</v>
      </c>
      <c r="DS5" s="231" t="s">
        <v>254</v>
      </c>
      <c r="DU5" s="75" t="n">
        <v>3</v>
      </c>
      <c r="DV5" s="231" t="s">
        <v>255</v>
      </c>
      <c r="DX5" s="264" t="n">
        <v>45651</v>
      </c>
      <c r="DY5" s="231" t="s">
        <v>256</v>
      </c>
      <c r="EB5" s="256" t="n">
        <f aca="true">INT(NOW()+1)</f>
        <v>46107</v>
      </c>
      <c r="EC5" s="257" t="n">
        <f aca="false">(7-WEEKDAY(IHD_Calc[[#This Row],[Order Date]],15))</f>
        <v>0</v>
      </c>
      <c r="ED5" s="256" t="n">
        <f aca="false">IHD_Calc[[#This Row],[Order Date]]+(7-WEEKDAY(IHD_Calc[[#This Row],[Order Date]],15))+IF(IHD_Calc[[#This Row],[Days]]&lt;3,7,0)</f>
        <v>46114</v>
      </c>
      <c r="EE5" s="256" t="n">
        <f aca="false">IHD_Calc[[#This Row],[Approval Date]]-5</f>
        <v>46109</v>
      </c>
      <c r="EF5" s="258" t="s">
        <v>232</v>
      </c>
      <c r="EG5" s="256" t="n">
        <f aca="false">IFERROR(IHD_Calc[[#This Row],[Approval Date]]+VLOOKUP(IHD_Calc[[#This Row],[Production Priority]],PriorityProduction[],4),"")</f>
        <v>46116</v>
      </c>
      <c r="EH5" s="256" t="n">
        <f aca="false">IFERROR(IHD_Calc[[#This Row],[In Transit]]+3,"")</f>
        <v>46119</v>
      </c>
      <c r="EI5" s="228" t="n">
        <f aca="false">IFERROR(IHD_Calc[[#This Row],[Est Ship Date]]+_xlfn.xlookup(IHD_Calc[[#This Row],[Shipping]],ShipDays[Shipping Service],ShipDays[Ship Days]),0)</f>
        <v>0</v>
      </c>
      <c r="EJ5" s="259" t="s">
        <v>234</v>
      </c>
      <c r="EK5" s="259" t="s">
        <v>236</v>
      </c>
      <c r="EL5" s="260" t="str">
        <f aca="false">"To meet your in hand date it may require "&amp;IHD_Calc[[#This Row],[Production]]&amp;" production and UPS "&amp;UPPER(IHD_Calc[[#This Row],[Shipping]])&amp;" delivery service."</f>
        <v>To meet your in hand date it may require PRIORITY production and UPS TWO DAY delivery service.</v>
      </c>
      <c r="EM5" s="256"/>
      <c r="EN5" s="231" t="s">
        <v>257</v>
      </c>
      <c r="EP5" s="234" t="n">
        <v>0.3</v>
      </c>
      <c r="EQ5" s="75" t="s">
        <v>3</v>
      </c>
      <c r="ER5" s="75" t="s">
        <v>3</v>
      </c>
      <c r="ES5" s="75" t="s">
        <v>3</v>
      </c>
      <c r="ET5" s="75" t="s">
        <v>3</v>
      </c>
      <c r="EU5" s="75" t="s">
        <v>3</v>
      </c>
      <c r="EV5" s="234"/>
      <c r="EW5" s="234"/>
      <c r="EX5" s="234" t="n">
        <v>49</v>
      </c>
      <c r="EZ5" s="256"/>
      <c r="FA5" s="1"/>
    </row>
    <row r="6" customFormat="false" ht="14.25" hidden="false" customHeight="false" outlineLevel="0" collapsed="false">
      <c r="A6" s="2" t="n">
        <v>25</v>
      </c>
      <c r="B6" s="223" t="n">
        <v>0.15</v>
      </c>
      <c r="C6" s="224" t="n">
        <f aca="false">$C$3*(1-B6)</f>
        <v>41.65</v>
      </c>
      <c r="E6" s="231" t="s">
        <v>153</v>
      </c>
      <c r="F6" s="234" t="s">
        <v>258</v>
      </c>
      <c r="G6" s="233"/>
      <c r="H6" s="233" t="s">
        <v>153</v>
      </c>
      <c r="I6" s="233" t="s">
        <v>259</v>
      </c>
      <c r="J6" s="233"/>
      <c r="K6" s="233"/>
      <c r="L6" s="233"/>
      <c r="M6" s="233"/>
      <c r="N6" s="233"/>
      <c r="V6" s="231" t="s">
        <v>80</v>
      </c>
      <c r="W6" s="231"/>
      <c r="X6" s="231" t="str">
        <f aca="false">Sleeve[[#This Row],[Sleeve]]&amp;IF(Sleeve[[#This Row],[Price]]="",""," (+"&amp;TEXT(Sleeve[[#This Row],[Price]],"$0.00"&amp;")"))</f>
        <v>Short</v>
      </c>
      <c r="Y6" s="231" t="s">
        <v>197</v>
      </c>
      <c r="Z6" s="224"/>
      <c r="AA6" s="267" t="s">
        <v>156</v>
      </c>
      <c r="AF6" s="231" t="s">
        <v>260</v>
      </c>
      <c r="AG6" s="231"/>
      <c r="AH6" s="231" t="str">
        <f aca="false">Collar[[#This Row],[Collar]]&amp;IF(Collar[[#This Row],[Price]]="",""," (+"&amp;TEXT(Collar[[#This Row],[Price]],"$0.00"&amp;")"))</f>
        <v>Crew</v>
      </c>
      <c r="AI6" s="236" t="s">
        <v>261</v>
      </c>
      <c r="AJ6" s="262"/>
      <c r="AK6" s="252" t="s">
        <v>80</v>
      </c>
      <c r="AL6" s="252" t="s">
        <v>155</v>
      </c>
      <c r="AM6" s="252" t="str">
        <f aca="false">Collar[[#This Row],[Collection]]&amp;Collar[[#This Row],[Sleeve]]</f>
        <v>PerformanceShort</v>
      </c>
      <c r="AO6" s="2" t="e">
        <v>#NAME?</v>
      </c>
      <c r="AP6" s="2" t="e">
        <v>#NAME?</v>
      </c>
      <c r="AQ6" s="2" t="e">
        <v>#NAME?</v>
      </c>
      <c r="AR6" s="2" t="e">
        <v>#NAME?</v>
      </c>
      <c r="AS6" s="2" t="e">
        <v>#NAME?</v>
      </c>
      <c r="AU6" s="237" t="s">
        <v>77</v>
      </c>
      <c r="AV6" s="231" t="n">
        <v>4</v>
      </c>
      <c r="AW6" s="231" t="str">
        <f aca="false">Size[[#This Row],[Size]]&amp;IF(Size[[#This Row],[Price]]="",""," (+"&amp;TEXT(Size[[#This Row],[Price]],"$0.00")&amp;")")</f>
        <v>Large</v>
      </c>
      <c r="AX6" s="236" t="s">
        <v>241</v>
      </c>
      <c r="AZ6" s="224" t="s">
        <v>76</v>
      </c>
      <c r="BB6" s="224" t="e">
        <v>#NAME?</v>
      </c>
      <c r="BC6" s="224" t="e">
        <v>#NAME?</v>
      </c>
      <c r="BD6" s="224" t="e">
        <v>#NAME?</v>
      </c>
      <c r="BE6" s="224" t="e">
        <v>#NAME?</v>
      </c>
      <c r="BL6" s="231" t="s">
        <v>262</v>
      </c>
      <c r="BM6" s="231" t="n">
        <v>4</v>
      </c>
      <c r="BN6" s="231" t="str">
        <f aca="false">Logos[[#This Row],[Logos]]&amp;IF(Logos[[#This Row],[Use]]="Flat"," (+"&amp;TEXT(Logos[[#This Row],[Flat]],"$0.00")&amp;")"," (+"&amp;TEXT(Logos[[#This Row],[Pct]],"0%")&amp;" of base price)")</f>
        <v>Brunswick (+$5.00)</v>
      </c>
      <c r="BO6" s="231" t="s">
        <v>262</v>
      </c>
      <c r="BP6" s="223" t="n">
        <v>0.1</v>
      </c>
      <c r="BQ6" s="265" t="n">
        <v>5</v>
      </c>
      <c r="BR6" s="232" t="s">
        <v>166</v>
      </c>
      <c r="BT6" s="231" t="s">
        <v>263</v>
      </c>
      <c r="BU6" s="231" t="n">
        <v>4</v>
      </c>
      <c r="BV6" s="231" t="str">
        <f aca="false">Chest[[#This Row],[Logos]]&amp;IF(BZ6="","",IF(Chest[[#This Row],[Use]]="Flat"," (+"&amp;TEXT(Chest[[#This Row],[Flat]],"$0.00")&amp;")"," (+"&amp;TEXT(Chest[[#This Row],[Pct]],"0%")&amp;" of base price)"))</f>
        <v>Mongoose</v>
      </c>
      <c r="BW6" s="253" t="s">
        <v>263</v>
      </c>
      <c r="BX6" s="224"/>
      <c r="BY6" s="233"/>
      <c r="BZ6" s="231"/>
      <c r="CB6" s="231" t="s">
        <v>263</v>
      </c>
      <c r="CC6" s="231" t="n">
        <v>4</v>
      </c>
      <c r="CD6" s="231" t="str">
        <f aca="false">LeftSleeve[[#This Row],[Logos]]&amp;IF(LeftSleeve[[#This Row],[Use]]="","",IF(LeftSleeve[[#This Row],[Use]]="Flat"," (+"&amp;TEXT(LeftSleeve[[#This Row],[Flat]],"$0.00")&amp;")"," (+"&amp;TEXT(LeftSleeve[[#This Row],[Pct]],"0%")&amp;" of base price)"))</f>
        <v>Mongoose</v>
      </c>
      <c r="CE6" s="253" t="s">
        <v>263</v>
      </c>
      <c r="CF6" s="224"/>
      <c r="CG6" s="233"/>
      <c r="CH6" s="231"/>
      <c r="CI6" s="231"/>
      <c r="CJ6" s="231" t="s">
        <v>264</v>
      </c>
      <c r="CK6" s="231" t="n">
        <v>3</v>
      </c>
      <c r="CL6" s="231" t="str">
        <f aca="false">RightSleeve[[#This Row],[Logos]]</f>
        <v>PWBA</v>
      </c>
      <c r="CM6" s="231" t="s">
        <v>264</v>
      </c>
      <c r="CN6" s="233"/>
      <c r="CO6" s="233"/>
      <c r="CP6" s="231"/>
      <c r="CQ6" s="231"/>
      <c r="CY6" s="231" t="s">
        <v>85</v>
      </c>
      <c r="CZ6" s="231" t="s">
        <v>265</v>
      </c>
      <c r="DR6" s="75" t="n">
        <v>4</v>
      </c>
      <c r="DS6" s="231" t="s">
        <v>266</v>
      </c>
      <c r="DU6" s="75" t="n">
        <v>10</v>
      </c>
      <c r="DV6" s="231" t="s">
        <v>267</v>
      </c>
      <c r="DX6" s="264" t="n">
        <v>45658</v>
      </c>
      <c r="DY6" s="231" t="s">
        <v>268</v>
      </c>
      <c r="EB6" s="256" t="n">
        <f aca="true">INT(NOW()+1)</f>
        <v>46107</v>
      </c>
      <c r="EC6" s="257" t="n">
        <f aca="false">(7-WEEKDAY(IHD_Calc[[#This Row],[Order Date]],15))</f>
        <v>0</v>
      </c>
      <c r="ED6" s="256" t="n">
        <f aca="false">IHD_Calc[[#This Row],[Order Date]]+(7-WEEKDAY(IHD_Calc[[#This Row],[Order Date]],15))+IF(IHD_Calc[[#This Row],[Days]]&lt;3,7,0)</f>
        <v>46114</v>
      </c>
      <c r="EE6" s="256" t="n">
        <f aca="false">IHD_Calc[[#This Row],[Approval Date]]-5</f>
        <v>46109</v>
      </c>
      <c r="EF6" s="258" t="s">
        <v>232</v>
      </c>
      <c r="EG6" s="256" t="n">
        <f aca="false">IFERROR(IHD_Calc[[#This Row],[Approval Date]]+VLOOKUP(IHD_Calc[[#This Row],[Production Priority]],PriorityProduction[],4),"")</f>
        <v>46116</v>
      </c>
      <c r="EH6" s="256" t="n">
        <f aca="false">IFERROR(IHD_Calc[[#This Row],[In Transit]]+3,"")</f>
        <v>46119</v>
      </c>
      <c r="EI6" s="228" t="n">
        <f aca="false">IFERROR(IHD_Calc[[#This Row],[Est Ship Date]]+_xlfn.xlookup(IHD_Calc[[#This Row],[Shipping]],ShipDays[Shipping Service],ShipDays[Ship Days]),0)</f>
        <v>0</v>
      </c>
      <c r="EJ6" s="259" t="s">
        <v>255</v>
      </c>
      <c r="EK6" s="259" t="s">
        <v>236</v>
      </c>
      <c r="EL6" s="260" t="str">
        <f aca="false">"To meet your in hand date it may require "&amp;IHD_Calc[[#This Row],[Production]]&amp;" production and UPS "&amp;UPPER(IHD_Calc[[#This Row],[Shipping]])&amp;" delivery service."</f>
        <v>To meet your in hand date it may require PRIORITY production and UPS 3-DAY SELECT delivery service.</v>
      </c>
      <c r="EM6" s="256"/>
      <c r="EN6" s="231" t="s">
        <v>269</v>
      </c>
      <c r="EO6" s="75" t="n">
        <v>0.4</v>
      </c>
      <c r="EQ6" s="75" t="s">
        <v>3</v>
      </c>
      <c r="ER6" s="75" t="s">
        <v>3</v>
      </c>
      <c r="ES6" s="75" t="s">
        <v>3</v>
      </c>
      <c r="ET6" s="75" t="s">
        <v>3</v>
      </c>
      <c r="EU6" s="75" t="s">
        <v>175</v>
      </c>
      <c r="EV6" s="234"/>
      <c r="EW6" s="234" t="n">
        <v>250</v>
      </c>
      <c r="EX6" s="234" t="n">
        <v>49</v>
      </c>
      <c r="EZ6" s="256"/>
      <c r="FA6" s="1"/>
    </row>
    <row r="7" customFormat="false" ht="14.25" hidden="false" customHeight="false" outlineLevel="0" collapsed="false">
      <c r="A7" s="2" t="n">
        <v>100</v>
      </c>
      <c r="B7" s="223" t="n">
        <v>0.2</v>
      </c>
      <c r="C7" s="224" t="n">
        <f aca="false">$C$3*(1-B7)</f>
        <v>39.2</v>
      </c>
      <c r="V7" s="231" t="s">
        <v>240</v>
      </c>
      <c r="W7" s="231"/>
      <c r="X7" s="231" t="str">
        <f aca="false">Sleeve[[#This Row],[Sleeve]]&amp;IF(Sleeve[[#This Row],[Price]]="",""," (+"&amp;TEXT(Sleeve[[#This Row],[Price]],"$0.00"&amp;")"))</f>
        <v>Long (+$10.00)</v>
      </c>
      <c r="Y7" s="231" t="s">
        <v>241</v>
      </c>
      <c r="Z7" s="224" t="n">
        <v>10</v>
      </c>
      <c r="AA7" s="267" t="s">
        <v>156</v>
      </c>
      <c r="AF7" s="249" t="s">
        <v>270</v>
      </c>
      <c r="AG7" s="249"/>
      <c r="AH7" s="231" t="str">
        <f aca="false">Collar[[#This Row],[Collar]]&amp;IF(Collar[[#This Row],[Price]]="",""," (+"&amp;TEXT(Collar[[#This Row],[Price]],"$0.00"&amp;")"))</f>
        <v>1/4 Zip Blade (+$10.00)</v>
      </c>
      <c r="AI7" s="250" t="s">
        <v>271</v>
      </c>
      <c r="AJ7" s="251" t="n">
        <v>10</v>
      </c>
      <c r="AK7" s="247" t="s">
        <v>80</v>
      </c>
      <c r="AL7" s="252" t="s">
        <v>155</v>
      </c>
      <c r="AM7" s="247" t="str">
        <f aca="false">Collar[[#This Row],[Collection]]&amp;Collar[[#This Row],[Sleeve]]</f>
        <v>PerformanceShort</v>
      </c>
      <c r="AO7" s="2" t="e">
        <v>#NAME?</v>
      </c>
      <c r="AP7" s="2" t="e">
        <v>#NAME?</v>
      </c>
      <c r="AQ7" s="2" t="e">
        <v>#NAME?</v>
      </c>
      <c r="AR7" s="2" t="e">
        <v>#NAME?</v>
      </c>
      <c r="AS7" s="2" t="e">
        <v>#NAME?</v>
      </c>
      <c r="AU7" s="237" t="s">
        <v>272</v>
      </c>
      <c r="AV7" s="231" t="n">
        <v>5</v>
      </c>
      <c r="AW7" s="231" t="str">
        <f aca="false">Size[[#This Row],[Size]]&amp;IF(Size[[#This Row],[Price]]="",""," (+"&amp;TEXT(Size[[#This Row],[Price]],"$0.00")&amp;")")</f>
        <v>X-Large</v>
      </c>
      <c r="AX7" s="236" t="s">
        <v>116</v>
      </c>
      <c r="AZ7" s="224" t="s">
        <v>76</v>
      </c>
      <c r="BB7" s="224" t="e">
        <v>#NAME?</v>
      </c>
      <c r="BC7" s="224" t="e">
        <v>#NAME?</v>
      </c>
      <c r="BD7" s="224" t="e">
        <v>#NAME?</v>
      </c>
      <c r="BL7" s="231" t="s">
        <v>273</v>
      </c>
      <c r="BM7" s="231" t="n">
        <v>5</v>
      </c>
      <c r="BN7" s="231" t="str">
        <f aca="false">Logos[[#This Row],[Logos]]&amp;IF(Logos[[#This Row],[Use]]="Flat"," (+"&amp;TEXT(Logos[[#This Row],[Flat]],"$0.00")&amp;")"," (+"&amp;TEXT(Logos[[#This Row],[Pct]],"0%")&amp;" of base price)")</f>
        <v>Columbia (+$5.00)</v>
      </c>
      <c r="BO7" s="231" t="s">
        <v>273</v>
      </c>
      <c r="BP7" s="223" t="n">
        <v>0.1</v>
      </c>
      <c r="BQ7" s="265" t="n">
        <v>5</v>
      </c>
      <c r="BR7" s="232" t="s">
        <v>166</v>
      </c>
      <c r="BT7" s="231" t="s">
        <v>274</v>
      </c>
      <c r="BU7" s="231" t="n">
        <v>5</v>
      </c>
      <c r="BV7" s="231" t="str">
        <f aca="false">Chest[[#This Row],[Logos]]&amp;IF(BZ7="","",IF(Chest[[#This Row],[Use]]="Flat"," (+"&amp;TEXT(Chest[[#This Row],[Flat]],"$0.00")&amp;")"," (+"&amp;TEXT(Chest[[#This Row],[Pct]],"0%")&amp;" of base price)"))</f>
        <v>Powerhouse (+$5.00)</v>
      </c>
      <c r="BW7" s="253" t="s">
        <v>274</v>
      </c>
      <c r="BX7" s="224"/>
      <c r="BY7" s="233" t="n">
        <v>5</v>
      </c>
      <c r="BZ7" s="231" t="s">
        <v>166</v>
      </c>
      <c r="CB7" s="231" t="s">
        <v>274</v>
      </c>
      <c r="CC7" s="231" t="n">
        <v>5</v>
      </c>
      <c r="CD7" s="231" t="str">
        <f aca="false">LeftSleeve[[#This Row],[Logos]]&amp;IF(LeftSleeve[[#This Row],[Use]]="","",IF(LeftSleeve[[#This Row],[Use]]="Flat"," (+"&amp;TEXT(LeftSleeve[[#This Row],[Flat]],"$0.00")&amp;")"," (+"&amp;TEXT(LeftSleeve[[#This Row],[Pct]],"0%")&amp;" of base price)"))</f>
        <v>Powerhouse (+$5.00)</v>
      </c>
      <c r="CE7" s="253" t="s">
        <v>274</v>
      </c>
      <c r="CF7" s="224"/>
      <c r="CG7" s="233" t="n">
        <v>5</v>
      </c>
      <c r="CH7" s="231" t="s">
        <v>166</v>
      </c>
      <c r="CI7" s="231"/>
      <c r="CJ7" s="231" t="s">
        <v>275</v>
      </c>
      <c r="CK7" s="231"/>
      <c r="CL7" s="231" t="str">
        <f aca="false">RightSleeve[[#This Row],[Logos]]</f>
        <v>9-Tap</v>
      </c>
      <c r="CM7" s="231" t="s">
        <v>276</v>
      </c>
      <c r="CN7" s="231"/>
      <c r="CO7" s="231"/>
      <c r="CP7" s="231"/>
      <c r="CQ7" s="231"/>
      <c r="CY7" s="231" t="s">
        <v>277</v>
      </c>
      <c r="CZ7" s="231" t="s">
        <v>278</v>
      </c>
      <c r="DR7" s="75" t="n">
        <v>5</v>
      </c>
      <c r="DS7" s="231" t="s">
        <v>279</v>
      </c>
      <c r="DX7" s="264" t="n">
        <v>45803</v>
      </c>
      <c r="DY7" s="231" t="s">
        <v>280</v>
      </c>
      <c r="DZ7" s="2" t="s">
        <v>281</v>
      </c>
      <c r="EB7" s="256" t="n">
        <f aca="true">INT(NOW()+1)</f>
        <v>46107</v>
      </c>
      <c r="EC7" s="257" t="n">
        <f aca="false">(7-WEEKDAY(IHD_Calc[[#This Row],[Order Date]],15))</f>
        <v>0</v>
      </c>
      <c r="ED7" s="256" t="n">
        <f aca="false">IHD_Calc[[#This Row],[Order Date]]+(7-WEEKDAY(IHD_Calc[[#This Row],[Order Date]],15))+IF(IHD_Calc[[#This Row],[Days]]&lt;3,7,0)</f>
        <v>46114</v>
      </c>
      <c r="EE7" s="256" t="n">
        <f aca="false">IHD_Calc[[#This Row],[Approval Date]]-5</f>
        <v>46109</v>
      </c>
      <c r="EF7" s="258" t="s">
        <v>210</v>
      </c>
      <c r="EG7" s="256" t="n">
        <f aca="false">IFERROR(IHD_Calc[[#This Row],[Approval Date]]+VLOOKUP(IHD_Calc[[#This Row],[Production Priority]],PriorityProduction[],4),"")</f>
        <v>46123</v>
      </c>
      <c r="EH7" s="256" t="n">
        <f aca="false">IFERROR(IHD_Calc[[#This Row],[In Transit]]+3,"")</f>
        <v>46126</v>
      </c>
      <c r="EI7" s="228" t="n">
        <f aca="false">IFERROR(IHD_Calc[[#This Row],[Est Ship Date]]+_xlfn.xlookup(IHD_Calc[[#This Row],[Shipping]],ShipDays[Shipping Service],ShipDays[Ship Days]),0)</f>
        <v>0</v>
      </c>
      <c r="EJ7" s="259" t="s">
        <v>212</v>
      </c>
      <c r="EK7" s="259" t="s">
        <v>282</v>
      </c>
      <c r="EL7" s="260" t="str">
        <f aca="false">"To meet your in hand date it may require "&amp;IHD_Calc[[#This Row],[Production]]&amp;" production and UPS "&amp;UPPER(IHD_Calc[[#This Row],[Shipping]])&amp;" delivery service."</f>
        <v>To meet your in hand date it may require EXPRESS production and UPS OVERNIGHT delivery service.</v>
      </c>
      <c r="EM7" s="256"/>
      <c r="EN7" s="231" t="s">
        <v>283</v>
      </c>
      <c r="EQ7" s="75" t="s">
        <v>175</v>
      </c>
      <c r="ER7" s="75" t="s">
        <v>175</v>
      </c>
      <c r="ES7" s="75" t="s">
        <v>175</v>
      </c>
      <c r="ET7" s="75" t="s">
        <v>3</v>
      </c>
      <c r="EU7" s="75" t="s">
        <v>3</v>
      </c>
      <c r="EV7" s="234"/>
      <c r="EW7" s="234"/>
      <c r="EX7" s="234" t="n">
        <v>39</v>
      </c>
      <c r="EZ7" s="256"/>
      <c r="FA7" s="1"/>
    </row>
    <row r="8" customFormat="false" ht="14.25" hidden="false" customHeight="false" outlineLevel="0" collapsed="false">
      <c r="AF8" s="231" t="s">
        <v>284</v>
      </c>
      <c r="AG8" s="231"/>
      <c r="AH8" s="231" t="str">
        <f aca="false">Collar[[#This Row],[Collar]]&amp;IF(Collar[[#This Row],[Price]]="",""," (+"&amp;TEXT(Collar[[#This Row],[Price]],"$0.00"&amp;")"))</f>
        <v>3 Button Blade (+$10.00)</v>
      </c>
      <c r="AI8" s="236" t="s">
        <v>285</v>
      </c>
      <c r="AJ8" s="262" t="n">
        <v>10</v>
      </c>
      <c r="AK8" s="252" t="s">
        <v>80</v>
      </c>
      <c r="AL8" s="252" t="s">
        <v>155</v>
      </c>
      <c r="AM8" s="252" t="str">
        <f aca="false">Collar[[#This Row],[Collection]]&amp;Collar[[#This Row],[Sleeve]]</f>
        <v>PerformanceShort</v>
      </c>
      <c r="AO8" s="2" t="e">
        <v>#NAME?</v>
      </c>
      <c r="AQ8" s="2" t="e">
        <v>#NAME?</v>
      </c>
      <c r="AR8" s="2" t="e">
        <v>#NAME?</v>
      </c>
      <c r="AU8" s="237" t="s">
        <v>286</v>
      </c>
      <c r="AV8" s="1" t="n">
        <v>6</v>
      </c>
      <c r="AW8" s="1" t="str">
        <f aca="false">Size[[#This Row],[Size]]&amp;IF(Size[[#This Row],[Price]]="",""," (+"&amp;TEXT(Size[[#This Row],[Price]],"$0.00")&amp;")")</f>
        <v>2X-Large (+$2.00)</v>
      </c>
      <c r="AX8" s="225" t="n">
        <v>2</v>
      </c>
      <c r="AY8" s="224" t="n">
        <v>2</v>
      </c>
      <c r="AZ8" s="224" t="s">
        <v>76</v>
      </c>
      <c r="BB8" s="224" t="e">
        <v>#NAME?</v>
      </c>
      <c r="BC8" s="224" t="e">
        <v>#NAME?</v>
      </c>
      <c r="BL8" s="231" t="s">
        <v>287</v>
      </c>
      <c r="BM8" s="231" t="n">
        <v>6</v>
      </c>
      <c r="BN8" s="231" t="str">
        <f aca="false">Logos[[#This Row],[Logos]]&amp;IF(Logos[[#This Row],[Use]]="Flat"," (+"&amp;TEXT(Logos[[#This Row],[Flat]],"$0.00")&amp;")"," (+"&amp;TEXT(Logos[[#This Row],[Pct]],"0%")&amp;" of base price)")</f>
        <v>DV8 (+$5.00)</v>
      </c>
      <c r="BO8" s="231" t="s">
        <v>287</v>
      </c>
      <c r="BP8" s="223" t="n">
        <v>0.1</v>
      </c>
      <c r="BQ8" s="265" t="n">
        <v>5</v>
      </c>
      <c r="BR8" s="232" t="s">
        <v>166</v>
      </c>
      <c r="BT8" s="231" t="s">
        <v>288</v>
      </c>
      <c r="BU8" s="231" t="n">
        <v>6</v>
      </c>
      <c r="BV8" s="231" t="str">
        <f aca="false">Chest[[#This Row],[Logos]]&amp;IF(BZ8="","",IF(Chest[[#This Row],[Use]]="Flat"," (+"&amp;TEXT(Chest[[#This Row],[Flat]],"$0.00")&amp;")"," (+"&amp;TEXT(Chest[[#This Row],[Pct]],"0%")&amp;" of base price)"))</f>
        <v>Real Bowlers Tape</v>
      </c>
      <c r="BW8" s="253" t="s">
        <v>288</v>
      </c>
      <c r="BX8" s="224"/>
      <c r="BY8" s="233"/>
      <c r="BZ8" s="231"/>
      <c r="CB8" s="231" t="s">
        <v>288</v>
      </c>
      <c r="CC8" s="231" t="n">
        <v>6</v>
      </c>
      <c r="CD8" s="231" t="str">
        <f aca="false">LeftSleeve[[#This Row],[Logos]]&amp;IF(LeftSleeve[[#This Row],[Use]]="","",IF(LeftSleeve[[#This Row],[Use]]="Flat"," (+"&amp;TEXT(LeftSleeve[[#This Row],[Flat]],"$0.00")&amp;")"," (+"&amp;TEXT(LeftSleeve[[#This Row],[Pct]],"0%")&amp;" of base price)"))</f>
        <v>Real Bowlers Tape</v>
      </c>
      <c r="CE8" s="253" t="s">
        <v>288</v>
      </c>
      <c r="CF8" s="224"/>
      <c r="CG8" s="233"/>
      <c r="CH8" s="231"/>
      <c r="CI8" s="231"/>
      <c r="CJ8" s="231" t="s">
        <v>289</v>
      </c>
      <c r="CK8" s="231" t="n">
        <v>4</v>
      </c>
      <c r="CL8" s="231" t="str">
        <f aca="false">RightSleeve[[#This Row],[Logos]]</f>
        <v>Bowl4Life</v>
      </c>
      <c r="CM8" s="231" t="s">
        <v>290</v>
      </c>
      <c r="CN8" s="231"/>
      <c r="CO8" s="231"/>
      <c r="CP8" s="231"/>
      <c r="CQ8" s="231"/>
      <c r="CY8" s="231" t="s">
        <v>291</v>
      </c>
      <c r="CZ8" s="231" t="s">
        <v>292</v>
      </c>
      <c r="DR8" s="75" t="n">
        <v>6</v>
      </c>
      <c r="DS8" s="231" t="s">
        <v>293</v>
      </c>
      <c r="DX8" s="264" t="n">
        <v>45842</v>
      </c>
      <c r="DY8" s="231" t="s">
        <v>294</v>
      </c>
      <c r="EB8" s="256" t="n">
        <f aca="true">INT(NOW()+1)</f>
        <v>46107</v>
      </c>
      <c r="EC8" s="257" t="n">
        <f aca="false">(7-WEEKDAY(IHD_Calc[[#This Row],[Order Date]],15))</f>
        <v>0</v>
      </c>
      <c r="ED8" s="256" t="n">
        <f aca="false">IHD_Calc[[#This Row],[Order Date]]+(7-WEEKDAY(IHD_Calc[[#This Row],[Order Date]],15))+IF(IHD_Calc[[#This Row],[Days]]&lt;3,7,0)</f>
        <v>46114</v>
      </c>
      <c r="EE8" s="256" t="n">
        <f aca="false">IHD_Calc[[#This Row],[Approval Date]]-5</f>
        <v>46109</v>
      </c>
      <c r="EF8" s="258" t="s">
        <v>210</v>
      </c>
      <c r="EG8" s="256" t="n">
        <f aca="false">IFERROR(IHD_Calc[[#This Row],[Approval Date]]+VLOOKUP(IHD_Calc[[#This Row],[Production Priority]],PriorityProduction[],4),"")</f>
        <v>46123</v>
      </c>
      <c r="EH8" s="256" t="n">
        <f aca="false">IFERROR(IHD_Calc[[#This Row],[In Transit]]+3,"")</f>
        <v>46126</v>
      </c>
      <c r="EI8" s="228" t="n">
        <f aca="false">IFERROR(IHD_Calc[[#This Row],[Est Ship Date]]+_xlfn.xlookup(IHD_Calc[[#This Row],[Shipping]],ShipDays[Shipping Service],ShipDays[Ship Days]),0)</f>
        <v>0</v>
      </c>
      <c r="EJ8" s="259" t="s">
        <v>234</v>
      </c>
      <c r="EK8" s="259" t="s">
        <v>282</v>
      </c>
      <c r="EL8" s="260" t="str">
        <f aca="false">"To meet your in hand date it may require "&amp;IHD_Calc[[#This Row],[Production]]&amp;" production and UPS "&amp;UPPER(IHD_Calc[[#This Row],[Shipping]])&amp;" delivery service."</f>
        <v>To meet your in hand date it may require EXPRESS production and UPS TWO DAY delivery service.</v>
      </c>
      <c r="EM8" s="256"/>
      <c r="EN8" s="231" t="s">
        <v>295</v>
      </c>
      <c r="EP8" s="75" t="n">
        <v>0.3</v>
      </c>
      <c r="EQ8" s="75" t="s">
        <v>3</v>
      </c>
      <c r="ER8" s="75" t="s">
        <v>3</v>
      </c>
      <c r="ES8" s="75" t="s">
        <v>3</v>
      </c>
      <c r="ET8" s="75" t="s">
        <v>3</v>
      </c>
      <c r="EU8" s="75" t="s">
        <v>3</v>
      </c>
      <c r="EV8" s="234"/>
      <c r="EW8" s="234"/>
      <c r="EX8" s="234" t="n">
        <v>49</v>
      </c>
      <c r="EZ8" s="259"/>
      <c r="FA8" s="1"/>
    </row>
    <row r="9" customFormat="false" ht="14.25" hidden="false" customHeight="false" outlineLevel="0" collapsed="false">
      <c r="AF9" s="249" t="s">
        <v>296</v>
      </c>
      <c r="AG9" s="249"/>
      <c r="AH9" s="231" t="str">
        <f aca="false">Collar[[#This Row],[Collar]]&amp;IF(Collar[[#This Row],[Price]]="",""," (+"&amp;TEXT(Collar[[#This Row],[Price]],"$0.00"&amp;")"))</f>
        <v>1/4 Zip Polo (+$10.00)</v>
      </c>
      <c r="AI9" s="250" t="s">
        <v>297</v>
      </c>
      <c r="AJ9" s="251" t="n">
        <v>10</v>
      </c>
      <c r="AK9" s="247" t="s">
        <v>80</v>
      </c>
      <c r="AL9" s="252" t="s">
        <v>155</v>
      </c>
      <c r="AM9" s="247" t="str">
        <f aca="false">Collar[[#This Row],[Collection]]&amp;Collar[[#This Row],[Sleeve]]</f>
        <v>PerformanceShort</v>
      </c>
      <c r="AO9" s="2" t="e">
        <v>#NAME?</v>
      </c>
      <c r="AQ9" s="2" t="e">
        <v>#NAME?</v>
      </c>
      <c r="AR9" s="2" t="e">
        <v>#NAME?</v>
      </c>
      <c r="AU9" s="237" t="s">
        <v>298</v>
      </c>
      <c r="AV9" s="231" t="n">
        <v>7</v>
      </c>
      <c r="AW9" s="231" t="str">
        <f aca="false">Size[[#This Row],[Size]]&amp;IF(Size[[#This Row],[Price]]="",""," (+"&amp;TEXT(Size[[#This Row],[Price]],"$0.00")&amp;")")</f>
        <v>3X-Large (+$4.00)</v>
      </c>
      <c r="AX9" s="225" t="n">
        <v>3</v>
      </c>
      <c r="AY9" s="224" t="n">
        <v>4</v>
      </c>
      <c r="AZ9" s="224" t="s">
        <v>76</v>
      </c>
      <c r="BB9" s="224" t="e">
        <v>#NAME?</v>
      </c>
      <c r="BC9" s="224" t="e">
        <v>#NAME?</v>
      </c>
      <c r="BL9" s="231" t="s">
        <v>299</v>
      </c>
      <c r="BM9" s="231" t="n">
        <v>7</v>
      </c>
      <c r="BN9" s="231" t="str">
        <f aca="false">Logos[[#This Row],[Logos]]&amp;IF(Logos[[#This Row],[Use]]="Flat"," (+"&amp;TEXT(Logos[[#This Row],[Flat]],"$0.00")&amp;")"," (+"&amp;TEXT(Logos[[#This Row],[Pct]],"0%")&amp;" of base price)")</f>
        <v>Ebonite (+$5.00)</v>
      </c>
      <c r="BO9" s="231" t="s">
        <v>299</v>
      </c>
      <c r="BP9" s="223" t="n">
        <v>0.1</v>
      </c>
      <c r="BQ9" s="265" t="n">
        <v>5</v>
      </c>
      <c r="BR9" s="232" t="s">
        <v>166</v>
      </c>
      <c r="BT9" s="231" t="s">
        <v>300</v>
      </c>
      <c r="BU9" s="231" t="n">
        <v>7</v>
      </c>
      <c r="BV9" s="231" t="str">
        <f aca="false">Chest[[#This Row],[Logos]]&amp;IF(BZ9="","",IF(Chest[[#This Row],[Use]]="Flat"," (+"&amp;TEXT(Chest[[#This Row],[Flat]],"$0.00")&amp;")"," (+"&amp;TEXT(Chest[[#This Row],[Pct]],"0%")&amp;" of base price)"))</f>
        <v>Robbie's (+$5.00)</v>
      </c>
      <c r="BW9" s="253" t="s">
        <v>301</v>
      </c>
      <c r="BX9" s="224"/>
      <c r="BY9" s="233" t="n">
        <v>5</v>
      </c>
      <c r="BZ9" s="231" t="s">
        <v>166</v>
      </c>
      <c r="CB9" s="231" t="s">
        <v>300</v>
      </c>
      <c r="CC9" s="231" t="n">
        <v>7</v>
      </c>
      <c r="CD9" s="231" t="str">
        <f aca="false">LeftSleeve[[#This Row],[Logos]]&amp;IF(LeftSleeve[[#This Row],[Use]]="","",IF(LeftSleeve[[#This Row],[Use]]="Flat"," (+"&amp;TEXT(LeftSleeve[[#This Row],[Flat]],"$0.00")&amp;")"," (+"&amp;TEXT(LeftSleeve[[#This Row],[Pct]],"0%")&amp;" of base price)"))</f>
        <v>Robbie's (+$5.00)</v>
      </c>
      <c r="CE9" s="253" t="s">
        <v>301</v>
      </c>
      <c r="CF9" s="224"/>
      <c r="CG9" s="233" t="n">
        <v>5</v>
      </c>
      <c r="CH9" s="231" t="s">
        <v>166</v>
      </c>
      <c r="CI9" s="231"/>
      <c r="CQ9" s="231"/>
      <c r="DR9" s="75" t="n">
        <v>7</v>
      </c>
      <c r="DS9" s="231" t="s">
        <v>302</v>
      </c>
      <c r="DX9" s="264" t="n">
        <v>45901</v>
      </c>
      <c r="DY9" s="231" t="s">
        <v>303</v>
      </c>
      <c r="DZ9" s="2" t="s">
        <v>304</v>
      </c>
      <c r="EB9" s="256" t="n">
        <f aca="true">INT(NOW()+1)</f>
        <v>46107</v>
      </c>
      <c r="EC9" s="257" t="n">
        <f aca="false">(7-WEEKDAY(IHD_Calc[[#This Row],[Order Date]],15))</f>
        <v>0</v>
      </c>
      <c r="ED9" s="256" t="n">
        <f aca="false">IHD_Calc[[#This Row],[Order Date]]+(7-WEEKDAY(IHD_Calc[[#This Row],[Order Date]],15))+IF(IHD_Calc[[#This Row],[Days]]&lt;3,7,0)</f>
        <v>46114</v>
      </c>
      <c r="EE9" s="256" t="n">
        <f aca="false">IHD_Calc[[#This Row],[Approval Date]]-5</f>
        <v>46109</v>
      </c>
      <c r="EF9" s="258" t="s">
        <v>210</v>
      </c>
      <c r="EG9" s="256" t="n">
        <f aca="false">IFERROR(IHD_Calc[[#This Row],[Approval Date]]+VLOOKUP(IHD_Calc[[#This Row],[Production Priority]],PriorityProduction[],4),"")</f>
        <v>46123</v>
      </c>
      <c r="EH9" s="256" t="n">
        <f aca="false">IFERROR(IHD_Calc[[#This Row],[In Transit]]+3,"")</f>
        <v>46126</v>
      </c>
      <c r="EI9" s="228" t="n">
        <f aca="false">IFERROR(IHD_Calc[[#This Row],[Est Ship Date]]+_xlfn.xlookup(IHD_Calc[[#This Row],[Shipping]],ShipDays[Shipping Service],ShipDays[Ship Days]),0)</f>
        <v>0</v>
      </c>
      <c r="EJ9" s="259" t="s">
        <v>255</v>
      </c>
      <c r="EK9" s="259" t="s">
        <v>282</v>
      </c>
      <c r="EL9" s="260" t="str">
        <f aca="false">"To meet your in hand date it may require "&amp;IHD_Calc[[#This Row],[Production]]&amp;" production and UPS "&amp;UPPER(IHD_Calc[[#This Row],[Shipping]])&amp;" delivery service."</f>
        <v>To meet your in hand date it may require EXPRESS production and UPS 3-DAY SELECT delivery service.</v>
      </c>
      <c r="EM9" s="1"/>
      <c r="EN9" s="231" t="s">
        <v>305</v>
      </c>
      <c r="EO9" s="75" t="n">
        <v>0.2</v>
      </c>
      <c r="EQ9" s="75" t="s">
        <v>175</v>
      </c>
      <c r="ER9" s="75" t="s">
        <v>3</v>
      </c>
      <c r="ES9" s="75" t="s">
        <v>3</v>
      </c>
      <c r="ET9" s="75" t="n">
        <v>10</v>
      </c>
      <c r="EU9" s="75" t="s">
        <v>175</v>
      </c>
      <c r="EV9" s="234"/>
      <c r="EW9" s="234"/>
      <c r="EX9" s="234" t="n">
        <v>49</v>
      </c>
      <c r="EZ9" s="1"/>
      <c r="FA9" s="1"/>
    </row>
    <row r="10" customFormat="false" ht="14.25" hidden="false" customHeight="false" outlineLevel="0" collapsed="false">
      <c r="AF10" s="231" t="s">
        <v>306</v>
      </c>
      <c r="AG10" s="231"/>
      <c r="AH10" s="231" t="str">
        <f aca="false">Collar[[#This Row],[Collar]]&amp;IF(Collar[[#This Row],[Price]]="",""," (+"&amp;TEXT(Collar[[#This Row],[Price]],"$0.00"&amp;")"))</f>
        <v>Mock Turtleneck (+$5.00)</v>
      </c>
      <c r="AI10" s="236" t="s">
        <v>307</v>
      </c>
      <c r="AJ10" s="262" t="n">
        <v>5</v>
      </c>
      <c r="AK10" s="252" t="s">
        <v>80</v>
      </c>
      <c r="AL10" s="252" t="s">
        <v>155</v>
      </c>
      <c r="AM10" s="252" t="str">
        <f aca="false">Collar[[#This Row],[Collection]]&amp;Collar[[#This Row],[Sleeve]]</f>
        <v>PerformanceShort</v>
      </c>
      <c r="AO10" s="2" t="e">
        <v>#NAME?</v>
      </c>
      <c r="AQ10" s="2" t="e">
        <v>#NAME?</v>
      </c>
      <c r="AR10" s="2" t="e">
        <v>#NAME?</v>
      </c>
      <c r="AU10" s="237" t="s">
        <v>308</v>
      </c>
      <c r="AV10" s="231" t="n">
        <v>8</v>
      </c>
      <c r="AW10" s="231" t="str">
        <f aca="false">Size[[#This Row],[Size]]&amp;IF(Size[[#This Row],[Price]]="",""," (+"&amp;TEXT(Size[[#This Row],[Price]],"$0.00")&amp;")")</f>
        <v>4X-Large (+$6.00)</v>
      </c>
      <c r="AX10" s="225" t="n">
        <v>4</v>
      </c>
      <c r="AY10" s="224" t="n">
        <v>6</v>
      </c>
      <c r="AZ10" s="224" t="s">
        <v>76</v>
      </c>
      <c r="BB10" s="224" t="e">
        <v>#NAME?</v>
      </c>
      <c r="BC10" s="224" t="e">
        <v>#NAME?</v>
      </c>
      <c r="BL10" s="231" t="s">
        <v>309</v>
      </c>
      <c r="BM10" s="231" t="n">
        <v>8</v>
      </c>
      <c r="BN10" s="231" t="str">
        <f aca="false">Logos[[#This Row],[Logos]]&amp;IF(Logos[[#This Row],[Use]]="Flat"," (+"&amp;TEXT(Logos[[#This Row],[Flat]],"$0.00")&amp;")"," (+"&amp;TEXT(Logos[[#This Row],[Pct]],"0%")&amp;" of base price)")</f>
        <v>Hammer (+$5.00)</v>
      </c>
      <c r="BO10" s="231" t="s">
        <v>309</v>
      </c>
      <c r="BP10" s="223" t="n">
        <v>0.1</v>
      </c>
      <c r="BQ10" s="265" t="n">
        <v>5</v>
      </c>
      <c r="BR10" s="232" t="s">
        <v>166</v>
      </c>
      <c r="BT10" s="231" t="s">
        <v>310</v>
      </c>
      <c r="BU10" s="231" t="n">
        <v>8</v>
      </c>
      <c r="BV10" s="231" t="str">
        <f aca="false">Chest[[#This Row],[Logos]]&amp;IF(BZ10="","",IF(Chest[[#This Row],[Use]]="Flat"," (+"&amp;TEXT(Chest[[#This Row],[Flat]],"$0.00")&amp;")"," (+"&amp;TEXT(Chest[[#This Row],[Pct]],"0%")&amp;" of base price)"))</f>
        <v>Turbo</v>
      </c>
      <c r="BW10" s="253" t="s">
        <v>310</v>
      </c>
      <c r="BX10" s="224"/>
      <c r="BY10" s="233"/>
      <c r="BZ10" s="231"/>
      <c r="CB10" s="231" t="s">
        <v>310</v>
      </c>
      <c r="CC10" s="231" t="n">
        <v>8</v>
      </c>
      <c r="CD10" s="231" t="str">
        <f aca="false">LeftSleeve[[#This Row],[Logos]]&amp;IF(LeftSleeve[[#This Row],[Use]]="","",IF(LeftSleeve[[#This Row],[Use]]="Flat"," (+"&amp;TEXT(LeftSleeve[[#This Row],[Flat]],"$0.00")&amp;")"," (+"&amp;TEXT(LeftSleeve[[#This Row],[Pct]],"0%")&amp;" of base price)"))</f>
        <v>Turbo</v>
      </c>
      <c r="CE10" s="253" t="s">
        <v>310</v>
      </c>
      <c r="CF10" s="224"/>
      <c r="CG10" s="233"/>
      <c r="CH10" s="231"/>
      <c r="CI10" s="231"/>
      <c r="CQ10" s="231"/>
      <c r="DX10" s="264" t="n">
        <v>45988</v>
      </c>
      <c r="DY10" s="231" t="s">
        <v>235</v>
      </c>
      <c r="DZ10" s="2" t="s">
        <v>311</v>
      </c>
      <c r="EB10" s="256" t="n">
        <f aca="true">INT(NOW()+1)</f>
        <v>46107</v>
      </c>
      <c r="EC10" s="257" t="n">
        <f aca="false">(7-WEEKDAY(IHD_Calc[[#This Row],[Order Date]],15))</f>
        <v>0</v>
      </c>
      <c r="ED10" s="256" t="n">
        <f aca="false">IHD_Calc[[#This Row],[Order Date]]+(7-WEEKDAY(IHD_Calc[[#This Row],[Order Date]],15))+IF(IHD_Calc[[#This Row],[Days]]&lt;3,7,0)</f>
        <v>46114</v>
      </c>
      <c r="EE10" s="256" t="n">
        <f aca="false">IHD_Calc[[#This Row],[Approval Date]]-5</f>
        <v>46109</v>
      </c>
      <c r="EF10" s="258" t="s">
        <v>35</v>
      </c>
      <c r="EG10" s="256" t="n">
        <f aca="false">IFERROR(IHD_Calc[[#This Row],[Approval Date]]+VLOOKUP(IHD_Calc[[#This Row],[Production Priority]],PriorityProduction[],4),"")</f>
        <v>46130</v>
      </c>
      <c r="EH10" s="256" t="n">
        <f aca="false">IFERROR(IHD_Calc[[#This Row],[In Transit]]+3,"")</f>
        <v>46133</v>
      </c>
      <c r="EI10" s="228" t="n">
        <f aca="false">IFERROR(IHD_Calc[[#This Row],[Est Ship Date]]+_xlfn.xlookup(IHD_Calc[[#This Row],[Shipping]],ShipDays[Shipping Service],ShipDays[Ship Days]),0)</f>
        <v>0</v>
      </c>
      <c r="EJ10" s="259" t="s">
        <v>212</v>
      </c>
      <c r="EK10" s="259" t="s">
        <v>312</v>
      </c>
      <c r="EL10" s="260" t="str">
        <f aca="false">"It appears we can meet your in hand date with "&amp;IHD_Calc[[#This Row],[Production]]&amp;" production, but may be required UPS "&amp;UPPER(IHD_Calc[[#This Row],[Shipping]])&amp;" delivery service."</f>
        <v>It appears we can meet your in hand date with STANDARD production, but may be required UPS OVERNIGHT delivery service.</v>
      </c>
      <c r="EM10" s="1"/>
      <c r="EN10" s="231" t="s">
        <v>313</v>
      </c>
      <c r="EQ10" s="75" t="s">
        <v>175</v>
      </c>
      <c r="ER10" s="75" t="s">
        <v>3</v>
      </c>
      <c r="ES10" s="75" t="s">
        <v>3</v>
      </c>
      <c r="ET10" s="75" t="s">
        <v>3</v>
      </c>
      <c r="EU10" s="75" t="s">
        <v>175</v>
      </c>
      <c r="EV10" s="234"/>
      <c r="EW10" s="234" t="n">
        <v>250</v>
      </c>
      <c r="EX10" s="234" t="n">
        <v>49</v>
      </c>
      <c r="EZ10" s="1"/>
      <c r="FA10" s="1"/>
    </row>
    <row r="11" customFormat="false" ht="14.25" hidden="false" customHeight="false" outlineLevel="0" collapsed="false">
      <c r="AF11" s="249" t="s">
        <v>314</v>
      </c>
      <c r="AG11" s="249"/>
      <c r="AH11" s="231" t="str">
        <f aca="false">Collar[[#This Row],[Collar]]&amp;IF(Collar[[#This Row],[Price]]="",""," (+"&amp;TEXT(Collar[[#This Row],[Price]],"$0.00"&amp;")"))</f>
        <v>BowlRetro (+$20.00)</v>
      </c>
      <c r="AI11" s="250" t="s">
        <v>315</v>
      </c>
      <c r="AJ11" s="251" t="n">
        <v>20</v>
      </c>
      <c r="AK11" s="247" t="s">
        <v>80</v>
      </c>
      <c r="AL11" s="252" t="s">
        <v>155</v>
      </c>
      <c r="AM11" s="247" t="str">
        <f aca="false">Collar[[#This Row],[Collection]]&amp;Collar[[#This Row],[Sleeve]]</f>
        <v>PerformanceShort</v>
      </c>
      <c r="AO11" s="2" t="e">
        <v>#NAME?</v>
      </c>
      <c r="AU11" s="237" t="s">
        <v>316</v>
      </c>
      <c r="AV11" s="231" t="n">
        <v>9</v>
      </c>
      <c r="AW11" s="231" t="str">
        <f aca="false">Size[[#This Row],[Size]]&amp;IF(Size[[#This Row],[Price]]="",""," (+"&amp;TEXT(Size[[#This Row],[Price]],"$0.00")&amp;")")</f>
        <v>5X-Large (+$9.00)</v>
      </c>
      <c r="AX11" s="225" t="n">
        <v>5</v>
      </c>
      <c r="AY11" s="224" t="n">
        <v>9</v>
      </c>
      <c r="AZ11" s="224" t="s">
        <v>76</v>
      </c>
      <c r="BB11" s="224" t="e">
        <v>#NAME?</v>
      </c>
      <c r="BC11" s="224" t="e">
        <v>#NAME?</v>
      </c>
      <c r="BL11" s="231" t="s">
        <v>317</v>
      </c>
      <c r="BM11" s="231" t="n">
        <v>9</v>
      </c>
      <c r="BN11" s="231" t="str">
        <f aca="false">Logos[[#This Row],[Logos]]&amp;IF(Logos[[#This Row],[Use]]="Flat"," (+"&amp;TEXT(Logos[[#This Row],[Flat]],"$0.00")&amp;")"," (+"&amp;TEXT(Logos[[#This Row],[Pct]],"0%")&amp;" of base price)")</f>
        <v>Lane Masters (+$5.00)</v>
      </c>
      <c r="BO11" s="231" t="s">
        <v>318</v>
      </c>
      <c r="BP11" s="223" t="n">
        <v>0.1</v>
      </c>
      <c r="BQ11" s="265" t="n">
        <v>5</v>
      </c>
      <c r="BR11" s="232" t="s">
        <v>166</v>
      </c>
      <c r="BT11" s="231" t="s">
        <v>319</v>
      </c>
      <c r="BU11" s="231" t="n">
        <v>9</v>
      </c>
      <c r="BV11" s="231" t="str">
        <f aca="false">Chest[[#This Row],[Logos]]&amp;IF(BZ11="","",IF(Chest[[#This Row],[Use]]="Flat"," (+"&amp;TEXT(Chest[[#This Row],[Flat]],"$0.00")&amp;")"," (+"&amp;TEXT(Chest[[#This Row],[Pct]],"0%")&amp;" of base price)"))</f>
        <v>Ultimate (+$5.00)</v>
      </c>
      <c r="BW11" s="253" t="s">
        <v>319</v>
      </c>
      <c r="BX11" s="224"/>
      <c r="BY11" s="233" t="n">
        <v>5</v>
      </c>
      <c r="BZ11" s="231" t="s">
        <v>166</v>
      </c>
      <c r="CB11" s="231" t="s">
        <v>319</v>
      </c>
      <c r="CC11" s="231" t="n">
        <v>9</v>
      </c>
      <c r="CD11" s="231" t="str">
        <f aca="false">LeftSleeve[[#This Row],[Logos]]&amp;IF(LeftSleeve[[#This Row],[Use]]="","",IF(LeftSleeve[[#This Row],[Use]]="Flat"," (+"&amp;TEXT(LeftSleeve[[#This Row],[Flat]],"$0.00")&amp;")"," (+"&amp;TEXT(LeftSleeve[[#This Row],[Pct]],"0%")&amp;" of base price)"))</f>
        <v>Ultimate (+$5.00)</v>
      </c>
      <c r="CE11" s="253" t="s">
        <v>319</v>
      </c>
      <c r="CF11" s="224"/>
      <c r="CG11" s="233" t="n">
        <v>5</v>
      </c>
      <c r="CH11" s="231" t="s">
        <v>166</v>
      </c>
      <c r="CI11" s="231"/>
      <c r="CQ11" s="231"/>
      <c r="DX11" s="264" t="n">
        <v>46016</v>
      </c>
      <c r="DY11" s="231" t="s">
        <v>256</v>
      </c>
      <c r="EB11" s="256" t="n">
        <f aca="true">INT(NOW()+1)</f>
        <v>46107</v>
      </c>
      <c r="EC11" s="257" t="n">
        <f aca="false">(7-WEEKDAY(IHD_Calc[[#This Row],[Order Date]],15))</f>
        <v>0</v>
      </c>
      <c r="ED11" s="256" t="n">
        <f aca="false">IHD_Calc[[#This Row],[Order Date]]+(7-WEEKDAY(IHD_Calc[[#This Row],[Order Date]],15))+IF(IHD_Calc[[#This Row],[Days]]&lt;3,7,0)</f>
        <v>46114</v>
      </c>
      <c r="EE11" s="256" t="n">
        <f aca="false">IHD_Calc[[#This Row],[Approval Date]]-5</f>
        <v>46109</v>
      </c>
      <c r="EF11" s="258" t="s">
        <v>35</v>
      </c>
      <c r="EG11" s="256" t="n">
        <f aca="false">IFERROR(IHD_Calc[[#This Row],[Approval Date]]+VLOOKUP(IHD_Calc[[#This Row],[Production Priority]],PriorityProduction[],4),"")</f>
        <v>46130</v>
      </c>
      <c r="EH11" s="256" t="n">
        <f aca="false">IFERROR(IHD_Calc[[#This Row],[In Transit]]+3,"")</f>
        <v>46133</v>
      </c>
      <c r="EI11" s="228" t="n">
        <f aca="false">IFERROR(IHD_Calc[[#This Row],[Est Ship Date]]+_xlfn.xlookup(IHD_Calc[[#This Row],[Shipping]],ShipDays[Shipping Service],ShipDays[Ship Days]),0)</f>
        <v>0</v>
      </c>
      <c r="EJ11" s="259" t="s">
        <v>234</v>
      </c>
      <c r="EK11" s="259" t="s">
        <v>312</v>
      </c>
      <c r="EL11" s="260" t="str">
        <f aca="false">"It appears we can meet your in hand date with "&amp;IHD_Calc[[#This Row],[Production]]&amp;" production, but may be required UPS "&amp;UPPER(IHD_Calc[[#This Row],[Shipping]])&amp;" delivery service."</f>
        <v>It appears we can meet your in hand date with STANDARD production, but may be required UPS TWO DAY delivery service.</v>
      </c>
      <c r="EM11" s="1"/>
      <c r="EN11" s="231" t="s">
        <v>320</v>
      </c>
      <c r="EP11" s="75" t="n">
        <v>0.4</v>
      </c>
      <c r="EQ11" s="75" t="s">
        <v>3</v>
      </c>
      <c r="ER11" s="75" t="s">
        <v>3</v>
      </c>
      <c r="ES11" s="75" t="s">
        <v>3</v>
      </c>
      <c r="ET11" s="75" t="s">
        <v>3</v>
      </c>
      <c r="EU11" s="75" t="s">
        <v>3</v>
      </c>
      <c r="EV11" s="234"/>
      <c r="EW11" s="234"/>
      <c r="EX11" s="234" t="n">
        <v>49</v>
      </c>
      <c r="EZ11" s="1"/>
      <c r="FA11" s="1"/>
    </row>
    <row r="12" customFormat="false" ht="14.25" hidden="false" customHeight="false" outlineLevel="0" collapsed="false">
      <c r="AF12" s="231" t="s">
        <v>321</v>
      </c>
      <c r="AG12" s="231"/>
      <c r="AH12" s="231" t="str">
        <f aca="false">Collar[[#This Row],[Collar]]&amp;IF(Collar[[#This Row],[Price]]="",""," (+"&amp;TEXT(Collar[[#This Row],[Price]],"$0.00"&amp;")"))</f>
        <v>Lightweight Hoodie (+$15.00)</v>
      </c>
      <c r="AI12" s="236" t="s">
        <v>322</v>
      </c>
      <c r="AJ12" s="262" t="n">
        <v>15</v>
      </c>
      <c r="AK12" s="252" t="s">
        <v>80</v>
      </c>
      <c r="AL12" s="252" t="s">
        <v>155</v>
      </c>
      <c r="AM12" s="252" t="str">
        <f aca="false">Collar[[#This Row],[Collection]]&amp;Collar[[#This Row],[Sleeve]]</f>
        <v>PerformanceShort</v>
      </c>
      <c r="AO12" s="2" t="e">
        <v>#NAME?</v>
      </c>
      <c r="AU12" s="237" t="s">
        <v>323</v>
      </c>
      <c r="AV12" s="231" t="n">
        <v>10</v>
      </c>
      <c r="AW12" s="231" t="str">
        <f aca="false">Size[[#This Row],[Size]]&amp;IF(Size[[#This Row],[Price]]="",""," (+"&amp;TEXT(Size[[#This Row],[Price]],"$0.00")&amp;")")</f>
        <v>6X-Large (+$12.00)</v>
      </c>
      <c r="AX12" s="225" t="n">
        <v>6</v>
      </c>
      <c r="AY12" s="224" t="n">
        <v>12</v>
      </c>
      <c r="AZ12" s="224" t="s">
        <v>76</v>
      </c>
      <c r="BB12" s="224" t="e">
        <v>#NAME?</v>
      </c>
      <c r="BC12" s="224" t="e">
        <v>#NAME?</v>
      </c>
      <c r="BL12" s="231" t="s">
        <v>324</v>
      </c>
      <c r="BM12" s="231" t="n">
        <v>10</v>
      </c>
      <c r="BN12" s="231" t="str">
        <f aca="false">Logos[[#This Row],[Logos]]&amp;IF(Logos[[#This Row],[Use]]="Flat"," (+"&amp;TEXT(Logos[[#This Row],[Flat]],"$0.00")&amp;")"," (+"&amp;TEXT(Logos[[#This Row],[Pct]],"0%")&amp;" of base price)")</f>
        <v>Legends (+$5.00)</v>
      </c>
      <c r="BO12" s="231" t="s">
        <v>324</v>
      </c>
      <c r="BP12" s="223" t="n">
        <v>0.1</v>
      </c>
      <c r="BQ12" s="265" t="n">
        <v>5</v>
      </c>
      <c r="BR12" s="232" t="s">
        <v>166</v>
      </c>
      <c r="BT12" s="231" t="s">
        <v>325</v>
      </c>
      <c r="BU12" s="231" t="n">
        <v>10</v>
      </c>
      <c r="BV12" s="231" t="str">
        <f aca="false">Chest[[#This Row],[Logos]]&amp;IF(BZ12="","",IF(Chest[[#This Row],[Use]]="Flat"," (+"&amp;TEXT(Chest[[#This Row],[Flat]],"$0.00")&amp;")"," (+"&amp;TEXT(Chest[[#This Row],[Pct]],"0%")&amp;" of base price)"))</f>
        <v>VISE</v>
      </c>
      <c r="BW12" s="231" t="s">
        <v>325</v>
      </c>
      <c r="BX12" s="224"/>
      <c r="BY12" s="233"/>
      <c r="BZ12" s="231"/>
      <c r="CB12" s="231" t="s">
        <v>325</v>
      </c>
      <c r="CC12" s="231" t="n">
        <v>10</v>
      </c>
      <c r="CD12" s="231" t="str">
        <f aca="false">LeftSleeve[[#This Row],[Logos]]&amp;IF(LeftSleeve[[#This Row],[Use]]="","",IF(LeftSleeve[[#This Row],[Use]]="Flat"," (+"&amp;TEXT(LeftSleeve[[#This Row],[Flat]],"$0.00")&amp;")"," (+"&amp;TEXT(LeftSleeve[[#This Row],[Pct]],"0%")&amp;" of base price)"))</f>
        <v>VISE</v>
      </c>
      <c r="CE12" s="231" t="s">
        <v>325</v>
      </c>
      <c r="CF12" s="224"/>
      <c r="CG12" s="233"/>
      <c r="CH12" s="231"/>
      <c r="CI12" s="231"/>
      <c r="CQ12" s="231"/>
      <c r="EB12" s="256" t="n">
        <f aca="true">INT(NOW()+1)</f>
        <v>46107</v>
      </c>
      <c r="EC12" s="257" t="n">
        <f aca="false">(7-WEEKDAY(IHD_Calc[[#This Row],[Order Date]],15))</f>
        <v>0</v>
      </c>
      <c r="ED12" s="256" t="n">
        <f aca="false">IHD_Calc[[#This Row],[Order Date]]+(7-WEEKDAY(IHD_Calc[[#This Row],[Order Date]],15))+IF(IHD_Calc[[#This Row],[Days]]&lt;3,7,0)</f>
        <v>46114</v>
      </c>
      <c r="EE12" s="256" t="n">
        <f aca="false">IHD_Calc[[#This Row],[Approval Date]]-5</f>
        <v>46109</v>
      </c>
      <c r="EF12" s="258" t="s">
        <v>35</v>
      </c>
      <c r="EG12" s="256" t="n">
        <f aca="false">IFERROR(IHD_Calc[[#This Row],[Approval Date]]+VLOOKUP(IHD_Calc[[#This Row],[Production Priority]],PriorityProduction[],4),"")</f>
        <v>46130</v>
      </c>
      <c r="EH12" s="256" t="n">
        <f aca="false">IFERROR(IHD_Calc[[#This Row],[In Transit]]+3,"")</f>
        <v>46133</v>
      </c>
      <c r="EI12" s="228" t="n">
        <f aca="false">IFERROR(IHD_Calc[[#This Row],[Est Ship Date]]+_xlfn.xlookup(IHD_Calc[[#This Row],[Shipping]],ShipDays[Shipping Service],ShipDays[Ship Days]),0)</f>
        <v>0</v>
      </c>
      <c r="EJ12" s="259" t="s">
        <v>255</v>
      </c>
      <c r="EK12" s="259" t="s">
        <v>312</v>
      </c>
      <c r="EL12" s="260" t="str">
        <f aca="false">"It appears we can meet your in hand date with "&amp;IHD_Calc[[#This Row],[Production]]&amp;" production, but may be required UPS "&amp;UPPER(IHD_Calc[[#This Row],[Shipping]])&amp;" delivery service."</f>
        <v>It appears we can meet your in hand date with STANDARD production, but may be required UPS 3-DAY SELECT delivery service.</v>
      </c>
      <c r="EM12" s="1"/>
      <c r="EN12" s="231" t="s">
        <v>326</v>
      </c>
      <c r="EO12" s="75" t="n">
        <v>0.5</v>
      </c>
      <c r="EQ12" s="75" t="s">
        <v>3</v>
      </c>
      <c r="ER12" s="75" t="s">
        <v>3</v>
      </c>
      <c r="ES12" s="75" t="s">
        <v>3</v>
      </c>
      <c r="ET12" s="75" t="s">
        <v>3</v>
      </c>
      <c r="EU12" s="75" t="s">
        <v>175</v>
      </c>
      <c r="EV12" s="234"/>
      <c r="EW12" s="234" t="n">
        <v>250</v>
      </c>
      <c r="EX12" s="234" t="n">
        <v>49</v>
      </c>
      <c r="EZ12" s="1"/>
      <c r="FA12" s="1"/>
    </row>
    <row r="13" customFormat="false" ht="14.25" hidden="false" customHeight="false" outlineLevel="0" collapsed="false">
      <c r="AF13" s="249" t="s">
        <v>198</v>
      </c>
      <c r="AG13" s="249"/>
      <c r="AH13" s="231" t="str">
        <f aca="false">Collar[[#This Row],[Collar]]&amp;IF(Collar[[#This Row],[Price]]="",""," (+"&amp;TEXT(Collar[[#This Row],[Price]],"$0.00"&amp;")"))</f>
        <v>1/4 Zip Sash (+$5.00)</v>
      </c>
      <c r="AI13" s="250" t="s">
        <v>327</v>
      </c>
      <c r="AJ13" s="251" t="n">
        <v>5</v>
      </c>
      <c r="AK13" s="247" t="s">
        <v>240</v>
      </c>
      <c r="AL13" s="252" t="s">
        <v>155</v>
      </c>
      <c r="AM13" s="247" t="str">
        <f aca="false">Collar[[#This Row],[Collection]]&amp;Collar[[#This Row],[Sleeve]]</f>
        <v>PerformanceLong</v>
      </c>
      <c r="AU13" s="237" t="s">
        <v>328</v>
      </c>
      <c r="AV13" s="231" t="n">
        <v>11</v>
      </c>
      <c r="AW13" s="231" t="str">
        <f aca="false">Size[[#This Row],[Size]]&amp;IF(Size[[#This Row],[Price]]="",""," (+"&amp;TEXT(Size[[#This Row],[Price]],"$0.00")&amp;")")</f>
        <v>7X-Large (+$12.00)</v>
      </c>
      <c r="AX13" s="225" t="n">
        <v>7</v>
      </c>
      <c r="AY13" s="224" t="n">
        <v>12</v>
      </c>
      <c r="AZ13" s="224" t="s">
        <v>76</v>
      </c>
      <c r="BB13" s="224" t="e">
        <v>#NAME?</v>
      </c>
      <c r="BC13" s="224" t="e">
        <v>#NAME?</v>
      </c>
      <c r="BL13" s="231" t="s">
        <v>329</v>
      </c>
      <c r="BM13" s="231" t="n">
        <v>11</v>
      </c>
      <c r="BN13" s="231" t="str">
        <f aca="false">Logos[[#This Row],[Logos]]&amp;IF(Logos[[#This Row],[Use]]="Flat"," (+"&amp;TEXT(Logos[[#This Row],[Flat]],"$0.00")&amp;")"," (+"&amp;TEXT(Logos[[#This Row],[Pct]],"0%")&amp;" of base price)")</f>
        <v>Lord Field (+$5.00)</v>
      </c>
      <c r="BO13" s="231" t="s">
        <v>330</v>
      </c>
      <c r="BP13" s="223" t="n">
        <v>0.1</v>
      </c>
      <c r="BQ13" s="265" t="n">
        <v>5</v>
      </c>
      <c r="BR13" s="232" t="s">
        <v>166</v>
      </c>
      <c r="CB13" s="231" t="s">
        <v>331</v>
      </c>
      <c r="CC13" s="231" t="n">
        <v>11</v>
      </c>
      <c r="CD13" s="231" t="str">
        <f aca="false">LeftSleeve[[#This Row],[Logos]]&amp;IF(LeftSleeve[[#This Row],[Use]]="","",IF(LeftSleeve[[#This Row],[Use]]="Flat"," (+"&amp;TEXT(LeftSleeve[[#This Row],[Flat]],"$0.00")&amp;")"," (+"&amp;TEXT(LeftSleeve[[#This Row],[Pct]],"0%")&amp;" of base price)"))</f>
        <v>US Flag (+$5.00)</v>
      </c>
      <c r="CE13" s="231" t="s">
        <v>332</v>
      </c>
      <c r="CF13" s="224"/>
      <c r="CG13" s="233" t="n">
        <v>5</v>
      </c>
      <c r="CH13" s="231" t="s">
        <v>166</v>
      </c>
      <c r="CI13" s="231"/>
      <c r="CQ13" s="231"/>
      <c r="EB13" s="256" t="n">
        <f aca="true">INT(NOW()+1)</f>
        <v>46107</v>
      </c>
      <c r="EC13" s="257" t="n">
        <f aca="false">(7-WEEKDAY(IHD_Calc[[#This Row],[Order Date]],15))</f>
        <v>0</v>
      </c>
      <c r="ED13" s="256" t="n">
        <f aca="false">IHD_Calc[[#This Row],[Order Date]]+(7-WEEKDAY(IHD_Calc[[#This Row],[Order Date]],15))+IF(IHD_Calc[[#This Row],[Days]]&lt;3,7,0)</f>
        <v>46114</v>
      </c>
      <c r="EE13" s="256" t="n">
        <f aca="false">IHD_Calc[[#This Row],[Approval Date]]-5</f>
        <v>46109</v>
      </c>
      <c r="EF13" s="258" t="s">
        <v>35</v>
      </c>
      <c r="EG13" s="256" t="n">
        <f aca="false">IFERROR(IHD_Calc[[#This Row],[Approval Date]]+VLOOKUP(IHD_Calc[[#This Row],[Production Priority]],PriorityProduction[],4),"")</f>
        <v>46130</v>
      </c>
      <c r="EH13" s="256" t="n">
        <f aca="false">IFERROR(IHD_Calc[[#This Row],[In Transit]]+3,"")</f>
        <v>46133</v>
      </c>
      <c r="EI13" s="228" t="n">
        <f aca="false">IFERROR(IHD_Calc[[#This Row],[Est Ship Date]]+_xlfn.xlookup(IHD_Calc[[#This Row],[Shipping]],ShipDays[Shipping Service],ShipDays[Ship Days]),0)</f>
        <v>0</v>
      </c>
      <c r="EJ13" s="259" t="s">
        <v>267</v>
      </c>
      <c r="EK13" s="259" t="s">
        <v>312</v>
      </c>
      <c r="EL13" s="260" t="str">
        <f aca="false">"It appears we can meet your in hand date with "&amp;IHD_Calc[[#This Row],[Production]]&amp;" production and UPS "&amp;UPPER(IHD_Calc[[#This Row],[Shipping]])&amp;" delivery service."</f>
        <v>It appears we can meet your in hand date with STANDARD production and UPS GROUND delivery service.</v>
      </c>
      <c r="EN13" s="231" t="s">
        <v>333</v>
      </c>
      <c r="EP13" s="75" t="n">
        <v>0.2</v>
      </c>
      <c r="EQ13" s="75" t="s">
        <v>3</v>
      </c>
      <c r="ER13" s="75" t="s">
        <v>3</v>
      </c>
      <c r="ES13" s="75" t="s">
        <v>3</v>
      </c>
      <c r="ET13" s="75" t="s">
        <v>3</v>
      </c>
      <c r="EU13" s="75" t="s">
        <v>3</v>
      </c>
      <c r="EV13" s="234"/>
      <c r="EW13" s="234"/>
      <c r="EX13" s="234" t="n">
        <v>49</v>
      </c>
    </row>
    <row r="14" customFormat="false" ht="14.25" hidden="false" customHeight="false" outlineLevel="0" collapsed="false">
      <c r="AF14" s="231" t="s">
        <v>221</v>
      </c>
      <c r="AG14" s="231"/>
      <c r="AH14" s="231" t="str">
        <f aca="false">Collar[[#This Row],[Collar]]&amp;IF(Collar[[#This Row],[Price]]="",""," (+"&amp;TEXT(Collar[[#This Row],[Price]],"$0.00"&amp;")"))</f>
        <v>Polo (+$5.00)</v>
      </c>
      <c r="AI14" s="236" t="s">
        <v>334</v>
      </c>
      <c r="AJ14" s="262" t="n">
        <v>5</v>
      </c>
      <c r="AK14" s="252" t="s">
        <v>240</v>
      </c>
      <c r="AL14" s="252" t="s">
        <v>155</v>
      </c>
      <c r="AM14" s="252" t="str">
        <f aca="false">Collar[[#This Row],[Collection]]&amp;Collar[[#This Row],[Sleeve]]</f>
        <v>PerformanceLong</v>
      </c>
      <c r="AU14" s="237" t="s">
        <v>200</v>
      </c>
      <c r="AV14" s="231" t="n">
        <v>12</v>
      </c>
      <c r="AW14" s="231" t="str">
        <f aca="false">Size[[#This Row],[Size]]&amp;IF(Size[[#This Row],[Price]]="",""," (+"&amp;TEXT(Size[[#This Row],[Price]],"$0.00")&amp;")")</f>
        <v>X-Small</v>
      </c>
      <c r="AX14" s="236" t="s">
        <v>201</v>
      </c>
      <c r="AZ14" s="224" t="s">
        <v>163</v>
      </c>
      <c r="BL14" s="231" t="s">
        <v>248</v>
      </c>
      <c r="BM14" s="231" t="n">
        <v>12</v>
      </c>
      <c r="BN14" s="231" t="str">
        <f aca="false">Logos[[#This Row],[Logos]]&amp;IF(Logos[[#This Row],[Use]]="Flat"," (+"&amp;TEXT(Logos[[#This Row],[Flat]],"$0.00")&amp;")"," (+"&amp;TEXT(Logos[[#This Row],[Pct]],"0%")&amp;" of base price)")</f>
        <v>Master (+$5.00)</v>
      </c>
      <c r="BO14" s="231" t="s">
        <v>248</v>
      </c>
      <c r="BP14" s="223" t="n">
        <v>0.1</v>
      </c>
      <c r="BQ14" s="265" t="n">
        <v>5</v>
      </c>
      <c r="BR14" s="232" t="s">
        <v>166</v>
      </c>
      <c r="CB14" s="231" t="s">
        <v>335</v>
      </c>
      <c r="CC14" s="231" t="n">
        <v>12</v>
      </c>
      <c r="CD14" s="231" t="str">
        <f aca="false">LeftSleeve[[#This Row],[Logos]]&amp;IF(LeftSleeve[[#This Row],[Use]]="","",IF(LeftSleeve[[#This Row],[Use]]="Flat"," (+"&amp;TEXT(LeftSleeve[[#This Row],[Flat]],"$0.00")&amp;")"," (+"&amp;TEXT(LeftSleeve[[#This Row],[Pct]],"0%")&amp;" of base price)"))</f>
        <v>Canada Flag (+$5.00)</v>
      </c>
      <c r="CE14" s="231" t="s">
        <v>336</v>
      </c>
      <c r="CF14" s="224"/>
      <c r="CG14" s="233" t="n">
        <v>5</v>
      </c>
      <c r="CH14" s="231" t="s">
        <v>166</v>
      </c>
      <c r="CI14" s="231"/>
      <c r="CQ14" s="231"/>
      <c r="EB14" s="1"/>
      <c r="ED14" s="1"/>
      <c r="EE14" s="1"/>
      <c r="EF14" s="1"/>
      <c r="EG14" s="228"/>
      <c r="EH14" s="1"/>
      <c r="EJ14" s="1"/>
      <c r="EK14" s="1"/>
      <c r="EL14" s="260"/>
      <c r="EN14" s="231" t="s">
        <v>337</v>
      </c>
      <c r="EO14" s="75" t="n">
        <v>0.3</v>
      </c>
      <c r="EQ14" s="75" t="s">
        <v>175</v>
      </c>
      <c r="ER14" s="75" t="s">
        <v>3</v>
      </c>
      <c r="ES14" s="75" t="s">
        <v>3</v>
      </c>
      <c r="ET14" s="75" t="s">
        <v>3</v>
      </c>
      <c r="EU14" s="75" t="s">
        <v>3</v>
      </c>
      <c r="EV14" s="234"/>
      <c r="EW14" s="234"/>
      <c r="EX14" s="234" t="n">
        <v>49</v>
      </c>
    </row>
    <row r="15" customFormat="false" ht="14.25" hidden="false" customHeight="false" outlineLevel="0" collapsed="false">
      <c r="AF15" s="249" t="s">
        <v>242</v>
      </c>
      <c r="AG15" s="249"/>
      <c r="AH15" s="231" t="str">
        <f aca="false">Collar[[#This Row],[Collar]]&amp;IF(Collar[[#This Row],[Price]]="",""," (+"&amp;TEXT(Collar[[#This Row],[Price]],"$0.00"&amp;")"))</f>
        <v>V-Neck</v>
      </c>
      <c r="AI15" s="250" t="s">
        <v>338</v>
      </c>
      <c r="AJ15" s="251"/>
      <c r="AK15" s="247" t="s">
        <v>240</v>
      </c>
      <c r="AL15" s="252" t="s">
        <v>155</v>
      </c>
      <c r="AM15" s="247" t="str">
        <f aca="false">Collar[[#This Row],[Collection]]&amp;Collar[[#This Row],[Sleeve]]</f>
        <v>PerformanceLong</v>
      </c>
      <c r="AU15" s="237" t="s">
        <v>223</v>
      </c>
      <c r="AV15" s="231" t="n">
        <v>13</v>
      </c>
      <c r="AW15" s="231" t="str">
        <f aca="false">Size[[#This Row],[Size]]&amp;IF(Size[[#This Row],[Price]]="",""," (+"&amp;TEXT(Size[[#This Row],[Price]],"$0.00")&amp;")")</f>
        <v>Small</v>
      </c>
      <c r="AX15" s="236" t="s">
        <v>197</v>
      </c>
      <c r="AZ15" s="224" t="s">
        <v>163</v>
      </c>
      <c r="BL15" s="231" t="s">
        <v>339</v>
      </c>
      <c r="BM15" s="231" t="n">
        <v>13</v>
      </c>
      <c r="BN15" s="231" t="str">
        <f aca="false">Logos[[#This Row],[Logos]]&amp;IF(Logos[[#This Row],[Use]]="Flat"," (+"&amp;TEXT(Logos[[#This Row],[Flat]],"$0.00")&amp;")"," (+"&amp;TEXT(Logos[[#This Row],[Pct]],"0%")&amp;" of base price)")</f>
        <v>Motiv (+$5.00)</v>
      </c>
      <c r="BO15" s="231" t="s">
        <v>339</v>
      </c>
      <c r="BP15" s="223" t="n">
        <v>0.1</v>
      </c>
      <c r="BQ15" s="265" t="n">
        <v>5</v>
      </c>
      <c r="BR15" s="232" t="s">
        <v>166</v>
      </c>
      <c r="CB15" s="231" t="s">
        <v>340</v>
      </c>
      <c r="CC15" s="231" t="n">
        <v>13</v>
      </c>
      <c r="CD15" s="231" t="str">
        <f aca="false">LeftSleeve[[#This Row],[Logos]]&amp;IF(LeftSleeve[[#This Row],[Use]]="","",IF(LeftSleeve[[#This Row],[Use]]="Flat"," (+"&amp;TEXT(LeftSleeve[[#This Row],[Flat]],"$0.00")&amp;")"," (+"&amp;TEXT(LeftSleeve[[#This Row],[Pct]],"0%")&amp;" of base price)"))</f>
        <v>Mexico Flag (+$5.00)</v>
      </c>
      <c r="CE15" s="231" t="s">
        <v>341</v>
      </c>
      <c r="CF15" s="224"/>
      <c r="CG15" s="233" t="n">
        <v>5</v>
      </c>
      <c r="CH15" s="231" t="s">
        <v>166</v>
      </c>
      <c r="CI15" s="231"/>
      <c r="CQ15" s="231"/>
      <c r="EN15" s="231" t="s">
        <v>342</v>
      </c>
      <c r="EO15" s="75" t="n">
        <v>0.3</v>
      </c>
      <c r="EQ15" s="75" t="s">
        <v>175</v>
      </c>
      <c r="ER15" s="75" t="s">
        <v>3</v>
      </c>
      <c r="ES15" s="75" t="s">
        <v>3</v>
      </c>
      <c r="ET15" s="75" t="n">
        <v>10</v>
      </c>
      <c r="EU15" s="75" t="s">
        <v>175</v>
      </c>
      <c r="EV15" s="234"/>
      <c r="EW15" s="234"/>
      <c r="EX15" s="234" t="n">
        <v>49</v>
      </c>
    </row>
    <row r="16" customFormat="false" ht="14.25" hidden="false" customHeight="false" outlineLevel="0" collapsed="false">
      <c r="AF16" s="231" t="s">
        <v>260</v>
      </c>
      <c r="AG16" s="231"/>
      <c r="AH16" s="231" t="str">
        <f aca="false">Collar[[#This Row],[Collar]]&amp;IF(Collar[[#This Row],[Price]]="",""," (+"&amp;TEXT(Collar[[#This Row],[Price]],"$0.00"&amp;")"))</f>
        <v>Crew</v>
      </c>
      <c r="AI16" s="236" t="s">
        <v>343</v>
      </c>
      <c r="AJ16" s="262"/>
      <c r="AK16" s="252" t="s">
        <v>240</v>
      </c>
      <c r="AL16" s="252" t="s">
        <v>155</v>
      </c>
      <c r="AM16" s="252" t="str">
        <f aca="false">Collar[[#This Row],[Collection]]&amp;Collar[[#This Row],[Sleeve]]</f>
        <v>PerformanceLong</v>
      </c>
      <c r="AO16" s="231"/>
      <c r="AP16" s="231"/>
      <c r="AQ16" s="231"/>
      <c r="AR16" s="231"/>
      <c r="AS16" s="231"/>
      <c r="AU16" s="237" t="s">
        <v>244</v>
      </c>
      <c r="AV16" s="231" t="n">
        <v>14</v>
      </c>
      <c r="AW16" s="231" t="str">
        <f aca="false">Size[[#This Row],[Size]]&amp;IF(Size[[#This Row],[Price]]="",""," (+"&amp;TEXT(Size[[#This Row],[Price]],"$0.00")&amp;")")</f>
        <v>Medium</v>
      </c>
      <c r="AX16" s="236" t="s">
        <v>194</v>
      </c>
      <c r="AZ16" s="224" t="s">
        <v>163</v>
      </c>
      <c r="BL16" s="231" t="s">
        <v>274</v>
      </c>
      <c r="BM16" s="231" t="n">
        <v>14</v>
      </c>
      <c r="BN16" s="231" t="str">
        <f aca="false">Logos[[#This Row],[Logos]]&amp;IF(Logos[[#This Row],[Use]]="Flat"," (+"&amp;TEXT(Logos[[#This Row],[Flat]],"$0.00")&amp;")"," (+"&amp;TEXT(Logos[[#This Row],[Pct]],"0%")&amp;" of base price)")</f>
        <v>Powerhouse (+$5.00)</v>
      </c>
      <c r="BO16" s="231" t="s">
        <v>274</v>
      </c>
      <c r="BP16" s="223" t="n">
        <v>0.1</v>
      </c>
      <c r="BQ16" s="265" t="n">
        <v>5</v>
      </c>
      <c r="BR16" s="232" t="s">
        <v>166</v>
      </c>
      <c r="CI16" s="231"/>
      <c r="CQ16" s="231"/>
      <c r="EL16" s="268"/>
      <c r="EN16" s="231" t="s">
        <v>344</v>
      </c>
      <c r="EO16" s="75" t="n">
        <v>0.2</v>
      </c>
      <c r="EQ16" s="75" t="s">
        <v>3</v>
      </c>
      <c r="ER16" s="75" t="s">
        <v>3</v>
      </c>
      <c r="ES16" s="75" t="s">
        <v>3</v>
      </c>
      <c r="ET16" s="75" t="s">
        <v>3</v>
      </c>
      <c r="EU16" s="75" t="s">
        <v>3</v>
      </c>
      <c r="EV16" s="234"/>
      <c r="EW16" s="234"/>
      <c r="EX16" s="234" t="n">
        <v>49</v>
      </c>
    </row>
    <row r="17" customFormat="false" ht="14.25" hidden="false" customHeight="false" outlineLevel="0" collapsed="false">
      <c r="AF17" s="249" t="s">
        <v>296</v>
      </c>
      <c r="AG17" s="249"/>
      <c r="AH17" s="231" t="str">
        <f aca="false">Collar[[#This Row],[Collar]]&amp;IF(Collar[[#This Row],[Price]]="",""," (+"&amp;TEXT(Collar[[#This Row],[Price]],"$0.00"&amp;")"))</f>
        <v>1/4 Zip Polo (+$5.00)</v>
      </c>
      <c r="AI17" s="250" t="s">
        <v>345</v>
      </c>
      <c r="AJ17" s="251" t="n">
        <v>5</v>
      </c>
      <c r="AK17" s="247" t="s">
        <v>240</v>
      </c>
      <c r="AL17" s="252" t="s">
        <v>155</v>
      </c>
      <c r="AM17" s="247" t="str">
        <f aca="false">Collar[[#This Row],[Collection]]&amp;Collar[[#This Row],[Sleeve]]</f>
        <v>PerformanceLong</v>
      </c>
      <c r="AO17" s="231"/>
      <c r="AP17" s="231"/>
      <c r="AQ17" s="231"/>
      <c r="AR17" s="231"/>
      <c r="AS17" s="231"/>
      <c r="AU17" s="237" t="s">
        <v>77</v>
      </c>
      <c r="AV17" s="231" t="n">
        <v>15</v>
      </c>
      <c r="AW17" s="231" t="str">
        <f aca="false">Size[[#This Row],[Size]]&amp;IF(Size[[#This Row],[Price]]="",""," (+"&amp;TEXT(Size[[#This Row],[Price]],"$0.00")&amp;")")</f>
        <v>Large</v>
      </c>
      <c r="AX17" s="236" t="s">
        <v>241</v>
      </c>
      <c r="AZ17" s="224" t="s">
        <v>163</v>
      </c>
      <c r="BL17" s="231" t="s">
        <v>346</v>
      </c>
      <c r="BM17" s="231" t="n">
        <v>15</v>
      </c>
      <c r="BN17" s="231" t="str">
        <f aca="false">Logos[[#This Row],[Logos]]&amp;IF(Logos[[#This Row],[Use]]="Flat"," (+"&amp;TEXT(Logos[[#This Row],[Flat]],"$0.00")&amp;")"," (+"&amp;TEXT(Logos[[#This Row],[Pct]],"0%")&amp;" of base price)")</f>
        <v>Radical (+$5.00)</v>
      </c>
      <c r="BO17" s="231" t="s">
        <v>346</v>
      </c>
      <c r="BP17" s="223" t="n">
        <v>0.1</v>
      </c>
      <c r="BQ17" s="265" t="n">
        <v>5</v>
      </c>
      <c r="BR17" s="232" t="s">
        <v>166</v>
      </c>
      <c r="CI17" s="231"/>
      <c r="CQ17" s="231"/>
      <c r="EN17" s="231" t="s">
        <v>347</v>
      </c>
      <c r="EO17" s="75" t="n">
        <v>0.3</v>
      </c>
      <c r="EQ17" s="75" t="s">
        <v>3</v>
      </c>
      <c r="ER17" s="75" t="s">
        <v>3</v>
      </c>
      <c r="ES17" s="75" t="s">
        <v>3</v>
      </c>
      <c r="ET17" s="75" t="s">
        <v>3</v>
      </c>
      <c r="EU17" s="75" t="s">
        <v>3</v>
      </c>
      <c r="EV17" s="234"/>
      <c r="EW17" s="234"/>
      <c r="EX17" s="234" t="n">
        <v>49</v>
      </c>
    </row>
    <row r="18" customFormat="false" ht="14.25" hidden="false" customHeight="false" outlineLevel="0" collapsed="false">
      <c r="AC18" s="231"/>
      <c r="AF18" s="231" t="s">
        <v>348</v>
      </c>
      <c r="AG18" s="231"/>
      <c r="AH18" s="231" t="str">
        <f aca="false">Collar[[#This Row],[Collar]]&amp;IF(Collar[[#This Row],[Price]]="",""," (+"&amp;TEXT(Collar[[#This Row],[Price]],"$0.00"&amp;")"))</f>
        <v>1/4 Zip Pullover (+$5.00)</v>
      </c>
      <c r="AI18" s="236" t="s">
        <v>349</v>
      </c>
      <c r="AJ18" s="262" t="n">
        <v>5</v>
      </c>
      <c r="AK18" s="252" t="s">
        <v>240</v>
      </c>
      <c r="AL18" s="252" t="s">
        <v>155</v>
      </c>
      <c r="AM18" s="252" t="str">
        <f aca="false">Collar[[#This Row],[Collection]]&amp;Collar[[#This Row],[Sleeve]]</f>
        <v>PerformanceLong</v>
      </c>
      <c r="AN18" s="231"/>
      <c r="AP18" s="231"/>
      <c r="AQ18" s="231"/>
      <c r="AR18" s="231"/>
      <c r="AS18" s="231"/>
      <c r="AU18" s="237" t="s">
        <v>272</v>
      </c>
      <c r="AV18" s="231" t="n">
        <v>16</v>
      </c>
      <c r="AW18" s="231" t="str">
        <f aca="false">Size[[#This Row],[Size]]&amp;IF(Size[[#This Row],[Price]]="",""," (+"&amp;TEXT(Size[[#This Row],[Price]],"$0.00")&amp;")")</f>
        <v>X-Large</v>
      </c>
      <c r="AX18" s="236" t="s">
        <v>116</v>
      </c>
      <c r="AZ18" s="224" t="s">
        <v>163</v>
      </c>
      <c r="BL18" s="231" t="s">
        <v>350</v>
      </c>
      <c r="BM18" s="231" t="n">
        <v>16</v>
      </c>
      <c r="BN18" s="231" t="str">
        <f aca="false">Logos[[#This Row],[Logos]]&amp;IF(Logos[[#This Row],[Use]]="Flat"," (+"&amp;TEXT(Logos[[#This Row],[Flat]],"$0.00")&amp;")"," (+"&amp;TEXT(Logos[[#This Row],[Pct]],"0%")&amp;" of base price)")</f>
        <v>Robby's  (+$5.00)</v>
      </c>
      <c r="BO18" s="231" t="s">
        <v>351</v>
      </c>
      <c r="BP18" s="223" t="n">
        <v>0.1</v>
      </c>
      <c r="BQ18" s="265" t="n">
        <v>5</v>
      </c>
      <c r="BR18" s="232" t="s">
        <v>166</v>
      </c>
      <c r="CI18" s="231"/>
      <c r="CQ18" s="231"/>
      <c r="EN18" s="231" t="s">
        <v>352</v>
      </c>
      <c r="EO18" s="75" t="n">
        <v>0.4</v>
      </c>
      <c r="EQ18" s="75" t="s">
        <v>3</v>
      </c>
      <c r="ER18" s="75" t="s">
        <v>3</v>
      </c>
      <c r="ES18" s="75" t="s">
        <v>3</v>
      </c>
      <c r="ET18" s="75" t="s">
        <v>3</v>
      </c>
      <c r="EU18" s="75" t="s">
        <v>3</v>
      </c>
      <c r="EV18" s="234"/>
      <c r="EW18" s="234"/>
      <c r="EX18" s="234" t="n">
        <v>49</v>
      </c>
    </row>
    <row r="19" customFormat="false" ht="14.25" hidden="false" customHeight="false" outlineLevel="0" collapsed="false">
      <c r="AF19" s="249" t="s">
        <v>321</v>
      </c>
      <c r="AG19" s="249"/>
      <c r="AH19" s="231" t="str">
        <f aca="false">Collar[[#This Row],[Collar]]&amp;IF(Collar[[#This Row],[Price]]="",""," (+"&amp;TEXT(Collar[[#This Row],[Price]],"$0.00"&amp;")"))</f>
        <v>Lightweight Hoodie (+$5.00)</v>
      </c>
      <c r="AI19" s="250" t="s">
        <v>353</v>
      </c>
      <c r="AJ19" s="251" t="n">
        <v>5</v>
      </c>
      <c r="AK19" s="247" t="s">
        <v>240</v>
      </c>
      <c r="AL19" s="252" t="s">
        <v>155</v>
      </c>
      <c r="AM19" s="247" t="str">
        <f aca="false">Collar[[#This Row],[Collection]]&amp;Collar[[#This Row],[Sleeve]]</f>
        <v>PerformanceLong</v>
      </c>
      <c r="AN19" s="231"/>
      <c r="AO19" s="231"/>
      <c r="AP19" s="231"/>
      <c r="AQ19" s="231"/>
      <c r="AR19" s="231"/>
      <c r="AS19" s="231"/>
      <c r="AU19" s="237" t="s">
        <v>286</v>
      </c>
      <c r="AV19" s="231" t="n">
        <v>17</v>
      </c>
      <c r="AW19" s="231" t="str">
        <f aca="false">Size[[#This Row],[Size]]&amp;IF(Size[[#This Row],[Price]]="",""," (+"&amp;TEXT(Size[[#This Row],[Price]],"$0.00")&amp;")")</f>
        <v>2X-Large (+$2.00)</v>
      </c>
      <c r="AX19" s="225" t="n">
        <v>2</v>
      </c>
      <c r="AY19" s="224" t="n">
        <v>2</v>
      </c>
      <c r="AZ19" s="224" t="s">
        <v>163</v>
      </c>
      <c r="BL19" s="231" t="s">
        <v>354</v>
      </c>
      <c r="BM19" s="231" t="n">
        <v>17</v>
      </c>
      <c r="BN19" s="231" t="str">
        <f aca="false">Logos[[#This Row],[Logos]]&amp;IF(Logos[[#This Row],[Use]]="Flat"," (+"&amp;TEXT(Logos[[#This Row],[Flat]],"$0.00")&amp;")"," (+"&amp;TEXT(Logos[[#This Row],[Pct]],"0%")&amp;" of base price)")</f>
        <v>Roto-Grip (+$5.00)</v>
      </c>
      <c r="BO19" s="231" t="s">
        <v>355</v>
      </c>
      <c r="BP19" s="223" t="n">
        <v>0.1</v>
      </c>
      <c r="BQ19" s="265" t="n">
        <v>5</v>
      </c>
      <c r="BR19" s="232" t="s">
        <v>166</v>
      </c>
      <c r="CI19" s="231"/>
      <c r="CQ19" s="231"/>
      <c r="EL19" s="268"/>
      <c r="EN19" s="231" t="s">
        <v>356</v>
      </c>
      <c r="EO19" s="75" t="n">
        <v>0.5</v>
      </c>
      <c r="EQ19" s="75" t="s">
        <v>3</v>
      </c>
      <c r="ER19" s="75" t="s">
        <v>3</v>
      </c>
      <c r="ES19" s="75" t="s">
        <v>3</v>
      </c>
      <c r="ET19" s="75" t="s">
        <v>3</v>
      </c>
      <c r="EU19" s="75" t="s">
        <v>3</v>
      </c>
      <c r="EV19" s="234"/>
      <c r="EW19" s="234"/>
      <c r="EX19" s="234" t="n">
        <v>49</v>
      </c>
    </row>
    <row r="20" customFormat="false" ht="14.25" hidden="false" customHeight="false" outlineLevel="0" collapsed="false">
      <c r="AF20" s="231" t="s">
        <v>357</v>
      </c>
      <c r="AG20" s="231"/>
      <c r="AH20" s="231" t="str">
        <f aca="false">Collar[[#This Row],[Collar]]&amp;IF(Collar[[#This Row],[Price]]="",""," (+"&amp;TEXT(Collar[[#This Row],[Price]],"$0.00"&amp;")"))</f>
        <v>Lightweight 1/4 Zip Hoodie (+$10.00)</v>
      </c>
      <c r="AI20" s="236" t="s">
        <v>358</v>
      </c>
      <c r="AJ20" s="262" t="n">
        <v>10</v>
      </c>
      <c r="AK20" s="252" t="s">
        <v>240</v>
      </c>
      <c r="AL20" s="252" t="s">
        <v>155</v>
      </c>
      <c r="AM20" s="252" t="str">
        <f aca="false">Collar[[#This Row],[Collection]]&amp;Collar[[#This Row],[Sleeve]]</f>
        <v>PerformanceLong</v>
      </c>
      <c r="AN20" s="231"/>
      <c r="AO20" s="231"/>
      <c r="AP20" s="231"/>
      <c r="AQ20" s="231"/>
      <c r="AR20" s="231"/>
      <c r="AS20" s="231"/>
      <c r="AU20" s="237" t="s">
        <v>298</v>
      </c>
      <c r="AV20" s="231" t="n">
        <v>18</v>
      </c>
      <c r="AW20" s="231" t="str">
        <f aca="false">Size[[#This Row],[Size]]&amp;IF(Size[[#This Row],[Price]]="",""," (+"&amp;TEXT(Size[[#This Row],[Price]],"$0.00")&amp;")")</f>
        <v>3X-Large (+$4.00)</v>
      </c>
      <c r="AX20" s="225" t="n">
        <v>3</v>
      </c>
      <c r="AY20" s="224" t="n">
        <v>4</v>
      </c>
      <c r="AZ20" s="224" t="s">
        <v>163</v>
      </c>
      <c r="BL20" s="231" t="s">
        <v>359</v>
      </c>
      <c r="BM20" s="231" t="n">
        <v>18</v>
      </c>
      <c r="BN20" s="231" t="str">
        <f aca="false">Logos[[#This Row],[Logos]]&amp;IF(Logos[[#This Row],[Use]]="Flat"," (+"&amp;TEXT(Logos[[#This Row],[Flat]],"$0.00")&amp;")"," (+"&amp;TEXT(Logos[[#This Row],[Pct]],"0%")&amp;" of base price)")</f>
        <v>Storm (+$5.00)</v>
      </c>
      <c r="BO20" s="231" t="s">
        <v>359</v>
      </c>
      <c r="BP20" s="223" t="n">
        <v>0.1</v>
      </c>
      <c r="BQ20" s="265" t="n">
        <v>5</v>
      </c>
      <c r="BR20" s="232" t="s">
        <v>166</v>
      </c>
      <c r="CI20" s="231"/>
      <c r="CQ20" s="231"/>
      <c r="EN20" s="231" t="s">
        <v>1</v>
      </c>
      <c r="EQ20" s="75" t="s">
        <v>3</v>
      </c>
      <c r="ER20" s="75" t="s">
        <v>3</v>
      </c>
      <c r="ES20" s="75" t="s">
        <v>3</v>
      </c>
      <c r="ET20" s="75" t="s">
        <v>3</v>
      </c>
      <c r="EU20" s="75" t="s">
        <v>3</v>
      </c>
      <c r="EV20" s="234"/>
      <c r="EW20" s="234"/>
      <c r="EX20" s="234" t="n">
        <v>49</v>
      </c>
    </row>
    <row r="21" customFormat="false" ht="14.25" hidden="false" customHeight="false" outlineLevel="0" collapsed="false">
      <c r="AF21" s="249" t="s">
        <v>198</v>
      </c>
      <c r="AG21" s="249"/>
      <c r="AH21" s="231" t="str">
        <f aca="false">Collar[[#This Row],[Collar]]&amp;IF(Collar[[#This Row],[Price]]="",""," (+"&amp;TEXT(Collar[[#This Row],[Price]],"$0.00"&amp;")"))</f>
        <v>1/4 Zip Sash (+$10.00)</v>
      </c>
      <c r="AI21" s="250" t="s">
        <v>360</v>
      </c>
      <c r="AJ21" s="251" t="n">
        <v>10</v>
      </c>
      <c r="AK21" s="247" t="s">
        <v>219</v>
      </c>
      <c r="AL21" s="252" t="s">
        <v>155</v>
      </c>
      <c r="AM21" s="247" t="str">
        <f aca="false">Collar[[#This Row],[Collection]]&amp;Collar[[#This Row],[Sleeve]]</f>
        <v>PerformanceSleeveless</v>
      </c>
      <c r="AN21" s="231"/>
      <c r="AO21" s="231"/>
      <c r="AP21" s="231"/>
      <c r="AQ21" s="231"/>
      <c r="AR21" s="231"/>
      <c r="AS21" s="231"/>
      <c r="AU21" s="237" t="s">
        <v>308</v>
      </c>
      <c r="AV21" s="231" t="n">
        <v>19</v>
      </c>
      <c r="AW21" s="231" t="str">
        <f aca="false">Size[[#This Row],[Size]]&amp;IF(Size[[#This Row],[Price]]="",""," (+"&amp;TEXT(Size[[#This Row],[Price]],"$0.00")&amp;")")</f>
        <v>4X-Large (+$6.00)</v>
      </c>
      <c r="AX21" s="225" t="n">
        <v>4</v>
      </c>
      <c r="AY21" s="224" t="n">
        <v>6</v>
      </c>
      <c r="AZ21" s="224" t="s">
        <v>163</v>
      </c>
      <c r="BL21" s="231" t="s">
        <v>361</v>
      </c>
      <c r="BM21" s="231" t="n">
        <v>19</v>
      </c>
      <c r="BN21" s="231" t="str">
        <f aca="false">Logos[[#This Row],[Logos]]&amp;IF(Logos[[#This Row],[Use]]="Flat"," (+"&amp;TEXT(Logos[[#This Row],[Flat]],"$0.00")&amp;")"," (+"&amp;TEXT(Logos[[#This Row],[Pct]],"0%")&amp;" of base price)")</f>
        <v>SWAG (+$5.00)</v>
      </c>
      <c r="BO21" s="231" t="s">
        <v>361</v>
      </c>
      <c r="BP21" s="223" t="n">
        <v>0.1</v>
      </c>
      <c r="BQ21" s="265" t="n">
        <v>5</v>
      </c>
      <c r="BR21" s="232" t="s">
        <v>166</v>
      </c>
      <c r="CI21" s="231"/>
      <c r="CQ21" s="231"/>
    </row>
    <row r="22" customFormat="false" ht="14.25" hidden="false" customHeight="false" outlineLevel="0" collapsed="false">
      <c r="AF22" s="231" t="s">
        <v>221</v>
      </c>
      <c r="AG22" s="231"/>
      <c r="AH22" s="231" t="str">
        <f aca="false">Collar[[#This Row],[Collar]]&amp;IF(Collar[[#This Row],[Price]]="",""," (+"&amp;TEXT(Collar[[#This Row],[Price]],"$0.00"&amp;")"))</f>
        <v>Polo (+$10.00)</v>
      </c>
      <c r="AI22" s="236" t="s">
        <v>362</v>
      </c>
      <c r="AJ22" s="262" t="n">
        <v>10</v>
      </c>
      <c r="AK22" s="252" t="s">
        <v>219</v>
      </c>
      <c r="AL22" s="252" t="s">
        <v>155</v>
      </c>
      <c r="AM22" s="252" t="str">
        <f aca="false">Collar[[#This Row],[Collection]]&amp;Collar[[#This Row],[Sleeve]]</f>
        <v>PerformanceSleeveless</v>
      </c>
      <c r="AN22" s="231"/>
      <c r="AO22" s="231"/>
      <c r="AP22" s="231"/>
      <c r="AQ22" s="231"/>
      <c r="AR22" s="231"/>
      <c r="AS22" s="231"/>
      <c r="AU22" s="237" t="s">
        <v>316</v>
      </c>
      <c r="AV22" s="231" t="n">
        <v>20</v>
      </c>
      <c r="AW22" s="231" t="str">
        <f aca="false">Size[[#This Row],[Size]]&amp;IF(Size[[#This Row],[Price]]="",""," (+"&amp;TEXT(Size[[#This Row],[Price]],"$0.00")&amp;")")</f>
        <v>5X-Large (+$9.00)</v>
      </c>
      <c r="AX22" s="225" t="n">
        <v>5</v>
      </c>
      <c r="AY22" s="224" t="n">
        <v>9</v>
      </c>
      <c r="AZ22" s="224" t="s">
        <v>163</v>
      </c>
      <c r="BL22" s="231" t="s">
        <v>363</v>
      </c>
      <c r="BM22" s="231" t="n">
        <v>20</v>
      </c>
      <c r="BN22" s="231" t="str">
        <f aca="false">Logos[[#This Row],[Logos]]&amp;IF(Logos[[#This Row],[Use]]="Flat"," (+"&amp;TEXT(Logos[[#This Row],[Flat]],"$0.00")&amp;")"," (+"&amp;TEXT(Logos[[#This Row],[Pct]],"0%")&amp;" of base price)")</f>
        <v>Track (+$5.00)</v>
      </c>
      <c r="BO22" s="231" t="s">
        <v>363</v>
      </c>
      <c r="BP22" s="223" t="n">
        <v>0.1</v>
      </c>
      <c r="BQ22" s="265" t="n">
        <v>5</v>
      </c>
      <c r="BR22" s="232" t="s">
        <v>166</v>
      </c>
      <c r="CI22" s="231"/>
      <c r="CQ22" s="231"/>
      <c r="EL22" s="268"/>
    </row>
    <row r="23" customFormat="false" ht="14.25" hidden="false" customHeight="false" outlineLevel="0" collapsed="false">
      <c r="AF23" s="249" t="s">
        <v>242</v>
      </c>
      <c r="AG23" s="249"/>
      <c r="AH23" s="231" t="str">
        <f aca="false">Collar[[#This Row],[Collar]]&amp;IF(Collar[[#This Row],[Price]]="",""," (+"&amp;TEXT(Collar[[#This Row],[Price]],"$0.00"&amp;")"))</f>
        <v>V-Neck</v>
      </c>
      <c r="AI23" s="250" t="s">
        <v>364</v>
      </c>
      <c r="AJ23" s="251"/>
      <c r="AK23" s="247" t="s">
        <v>219</v>
      </c>
      <c r="AL23" s="252" t="s">
        <v>155</v>
      </c>
      <c r="AM23" s="247" t="str">
        <f aca="false">Collar[[#This Row],[Collection]]&amp;Collar[[#This Row],[Sleeve]]</f>
        <v>PerformanceSleeveless</v>
      </c>
      <c r="AN23" s="231"/>
      <c r="AO23" s="231"/>
      <c r="AP23" s="231"/>
      <c r="AQ23" s="231"/>
      <c r="AR23" s="231"/>
      <c r="AS23" s="231"/>
      <c r="AU23" s="237" t="s">
        <v>323</v>
      </c>
      <c r="AV23" s="231" t="n">
        <v>21</v>
      </c>
      <c r="AW23" s="231" t="str">
        <f aca="false">Size[[#This Row],[Size]]&amp;IF(Size[[#This Row],[Price]]="",""," (+"&amp;TEXT(Size[[#This Row],[Price]],"$0.00")&amp;")")</f>
        <v>6X-Large (+$12.00)</v>
      </c>
      <c r="AX23" s="225" t="n">
        <v>6</v>
      </c>
      <c r="AY23" s="224" t="n">
        <v>12</v>
      </c>
      <c r="AZ23" s="224" t="s">
        <v>163</v>
      </c>
      <c r="BL23" s="231" t="s">
        <v>289</v>
      </c>
      <c r="BM23" s="231" t="n">
        <v>21</v>
      </c>
      <c r="BN23" s="231" t="e">
        <f aca="false">RightSleeve[[#This Row],[Logos]]</f>
        <v>#VALUE!</v>
      </c>
      <c r="BO23" s="231" t="s">
        <v>290</v>
      </c>
      <c r="BP23" s="224"/>
      <c r="BQ23" s="233"/>
      <c r="BR23" s="231"/>
      <c r="CI23" s="231"/>
      <c r="CQ23" s="231"/>
    </row>
    <row r="24" customFormat="false" ht="14.25" hidden="false" customHeight="false" outlineLevel="0" collapsed="false">
      <c r="AF24" s="231" t="s">
        <v>260</v>
      </c>
      <c r="AG24" s="231"/>
      <c r="AH24" s="231" t="str">
        <f aca="false">Collar[[#This Row],[Collar]]&amp;IF(Collar[[#This Row],[Price]]="",""," (+"&amp;TEXT(Collar[[#This Row],[Price]],"$0.00"&amp;")"))</f>
        <v>Crew</v>
      </c>
      <c r="AI24" s="236" t="s">
        <v>365</v>
      </c>
      <c r="AJ24" s="262"/>
      <c r="AK24" s="252" t="s">
        <v>219</v>
      </c>
      <c r="AL24" s="252" t="s">
        <v>155</v>
      </c>
      <c r="AM24" s="252" t="str">
        <f aca="false">Collar[[#This Row],[Collection]]&amp;Collar[[#This Row],[Sleeve]]</f>
        <v>PerformanceSleeveless</v>
      </c>
      <c r="AN24" s="231"/>
      <c r="AO24" s="231"/>
      <c r="AP24" s="231"/>
      <c r="AQ24" s="231"/>
      <c r="AR24" s="231"/>
      <c r="AS24" s="231"/>
      <c r="AU24" s="237" t="s">
        <v>328</v>
      </c>
      <c r="AV24" s="231" t="n">
        <v>22</v>
      </c>
      <c r="AW24" s="231" t="str">
        <f aca="false">Size[[#This Row],[Size]]&amp;IF(Size[[#This Row],[Price]]="",""," (+"&amp;TEXT(Size[[#This Row],[Price]],"$0.00")&amp;")")</f>
        <v>7X-Large (+$12.00)</v>
      </c>
      <c r="AX24" s="225" t="n">
        <v>7</v>
      </c>
      <c r="AY24" s="224" t="n">
        <v>12</v>
      </c>
      <c r="AZ24" s="224" t="s">
        <v>163</v>
      </c>
      <c r="CQ24" s="231"/>
    </row>
    <row r="25" customFormat="false" ht="14.25" hidden="false" customHeight="false" outlineLevel="0" collapsed="false">
      <c r="AF25" s="249" t="s">
        <v>321</v>
      </c>
      <c r="AG25" s="249"/>
      <c r="AH25" s="231" t="str">
        <f aca="false">Collar[[#This Row],[Collar]]&amp;IF(Collar[[#This Row],[Price]]="",""," (+"&amp;TEXT(Collar[[#This Row],[Price]],"$0.00"&amp;")"))</f>
        <v>Lightweight Hoodie (+$15.00)</v>
      </c>
      <c r="AI25" s="250" t="s">
        <v>366</v>
      </c>
      <c r="AJ25" s="251" t="n">
        <v>15</v>
      </c>
      <c r="AK25" s="247" t="s">
        <v>219</v>
      </c>
      <c r="AL25" s="252" t="s">
        <v>155</v>
      </c>
      <c r="AM25" s="247" t="str">
        <f aca="false">Collar[[#This Row],[Collection]]&amp;Collar[[#This Row],[Sleeve]]</f>
        <v>PerformanceSleeveless</v>
      </c>
      <c r="AN25" s="231"/>
      <c r="AO25" s="231"/>
      <c r="AP25" s="231"/>
      <c r="AQ25" s="231"/>
      <c r="AR25" s="231"/>
      <c r="AS25" s="231"/>
      <c r="AU25" s="237" t="s">
        <v>200</v>
      </c>
      <c r="AV25" s="231" t="n">
        <v>23</v>
      </c>
      <c r="AW25" s="231" t="str">
        <f aca="false">Size[[#This Row],[Size]]&amp;IF(Size[[#This Row],[Price]]="",""," (+"&amp;TEXT(Size[[#This Row],[Price]],"$0.00")&amp;")")</f>
        <v>X-Small</v>
      </c>
      <c r="AX25" s="236" t="s">
        <v>201</v>
      </c>
      <c r="AZ25" s="224" t="s">
        <v>152</v>
      </c>
      <c r="CQ25" s="231"/>
    </row>
    <row r="26" customFormat="false" ht="14.25" hidden="false" customHeight="false" outlineLevel="0" collapsed="false">
      <c r="AF26" s="231" t="s">
        <v>198</v>
      </c>
      <c r="AG26" s="231"/>
      <c r="AH26" s="231" t="str">
        <f aca="false">Collar[[#This Row],[Collar]]&amp;IF(Collar[[#This Row],[Price]]="",""," (+"&amp;TEXT(Collar[[#This Row],[Price]],"$0.00"&amp;")"))</f>
        <v>1/4 Zip Sash (+$10.00)</v>
      </c>
      <c r="AI26" s="236" t="s">
        <v>367</v>
      </c>
      <c r="AJ26" s="262" t="n">
        <v>10</v>
      </c>
      <c r="AK26" s="252" t="s">
        <v>80</v>
      </c>
      <c r="AL26" s="252" t="s">
        <v>156</v>
      </c>
      <c r="AM26" s="252" t="str">
        <f aca="false">Collar[[#This Row],[Collection]]&amp;Collar[[#This Row],[Sleeve]]</f>
        <v>TourShort</v>
      </c>
      <c r="AN26" s="231"/>
      <c r="AO26" s="231"/>
      <c r="AP26" s="231"/>
      <c r="AQ26" s="231"/>
      <c r="AR26" s="231"/>
      <c r="AS26" s="231"/>
      <c r="AU26" s="237" t="s">
        <v>223</v>
      </c>
      <c r="AV26" s="231" t="n">
        <v>24</v>
      </c>
      <c r="AW26" s="231" t="str">
        <f aca="false">Size[[#This Row],[Size]]&amp;IF(Size[[#This Row],[Price]]="",""," (+"&amp;TEXT(Size[[#This Row],[Price]],"$0.00")&amp;")")</f>
        <v>Small</v>
      </c>
      <c r="AX26" s="236" t="s">
        <v>197</v>
      </c>
      <c r="AZ26" s="224" t="s">
        <v>152</v>
      </c>
      <c r="CQ26" s="231"/>
    </row>
    <row r="27" customFormat="false" ht="14.25" hidden="false" customHeight="false" outlineLevel="0" collapsed="false">
      <c r="AF27" s="249" t="s">
        <v>221</v>
      </c>
      <c r="AG27" s="249"/>
      <c r="AH27" s="231" t="str">
        <f aca="false">Collar[[#This Row],[Collar]]&amp;IF(Collar[[#This Row],[Price]]="",""," (+"&amp;TEXT(Collar[[#This Row],[Price]],"$0.00"&amp;")"))</f>
        <v>Polo (+$10.00)</v>
      </c>
      <c r="AI27" s="250" t="s">
        <v>368</v>
      </c>
      <c r="AJ27" s="251" t="n">
        <v>10</v>
      </c>
      <c r="AK27" s="247" t="s">
        <v>80</v>
      </c>
      <c r="AL27" s="252" t="s">
        <v>156</v>
      </c>
      <c r="AM27" s="247" t="str">
        <f aca="false">Collar[[#This Row],[Collection]]&amp;Collar[[#This Row],[Sleeve]]</f>
        <v>TourShort</v>
      </c>
      <c r="AN27" s="231"/>
      <c r="AO27" s="231"/>
      <c r="AP27" s="231"/>
      <c r="AQ27" s="231"/>
      <c r="AR27" s="231"/>
      <c r="AS27" s="231"/>
      <c r="AU27" s="237" t="s">
        <v>244</v>
      </c>
      <c r="AV27" s="231" t="n">
        <v>25</v>
      </c>
      <c r="AW27" s="231" t="str">
        <f aca="false">Size[[#This Row],[Size]]&amp;IF(Size[[#This Row],[Price]]="",""," (+"&amp;TEXT(Size[[#This Row],[Price]],"$0.00")&amp;")")</f>
        <v>Medium</v>
      </c>
      <c r="AX27" s="236" t="s">
        <v>194</v>
      </c>
      <c r="AZ27" s="224" t="s">
        <v>152</v>
      </c>
      <c r="CQ27" s="231"/>
    </row>
    <row r="28" customFormat="false" ht="14.25" hidden="false" customHeight="false" outlineLevel="0" collapsed="false">
      <c r="AF28" s="231" t="s">
        <v>242</v>
      </c>
      <c r="AG28" s="231"/>
      <c r="AH28" s="231" t="str">
        <f aca="false">Collar[[#This Row],[Collar]]&amp;IF(Collar[[#This Row],[Price]]="",""," (+"&amp;TEXT(Collar[[#This Row],[Price]],"$0.00"&amp;")"))</f>
        <v>V-Neck</v>
      </c>
      <c r="AI28" s="236" t="s">
        <v>369</v>
      </c>
      <c r="AJ28" s="262"/>
      <c r="AK28" s="252" t="s">
        <v>80</v>
      </c>
      <c r="AL28" s="252" t="s">
        <v>156</v>
      </c>
      <c r="AM28" s="252" t="str">
        <f aca="false">Collar[[#This Row],[Collection]]&amp;Collar[[#This Row],[Sleeve]]</f>
        <v>TourShort</v>
      </c>
      <c r="AN28" s="231"/>
      <c r="AO28" s="231"/>
      <c r="AP28" s="231"/>
      <c r="AQ28" s="231"/>
      <c r="AR28" s="231"/>
      <c r="AS28" s="231"/>
      <c r="AU28" s="237" t="s">
        <v>77</v>
      </c>
      <c r="AV28" s="231" t="n">
        <v>26</v>
      </c>
      <c r="AW28" s="231" t="str">
        <f aca="false">Size[[#This Row],[Size]]&amp;IF(Size[[#This Row],[Price]]="",""," (+"&amp;TEXT(Size[[#This Row],[Price]],"$0.00")&amp;")")</f>
        <v>Large</v>
      </c>
      <c r="AX28" s="236" t="s">
        <v>241</v>
      </c>
      <c r="AZ28" s="224" t="s">
        <v>152</v>
      </c>
      <c r="CQ28" s="231"/>
    </row>
    <row r="29" customFormat="false" ht="14.25" hidden="false" customHeight="false" outlineLevel="0" collapsed="false">
      <c r="AF29" s="249" t="s">
        <v>260</v>
      </c>
      <c r="AG29" s="249"/>
      <c r="AH29" s="231" t="str">
        <f aca="false">Collar[[#This Row],[Collar]]&amp;IF(Collar[[#This Row],[Price]]="",""," (+"&amp;TEXT(Collar[[#This Row],[Price]],"$0.00"&amp;")"))</f>
        <v>Crew</v>
      </c>
      <c r="AI29" s="250" t="s">
        <v>370</v>
      </c>
      <c r="AJ29" s="251"/>
      <c r="AK29" s="247" t="s">
        <v>80</v>
      </c>
      <c r="AL29" s="252" t="s">
        <v>156</v>
      </c>
      <c r="AM29" s="247" t="str">
        <f aca="false">Collar[[#This Row],[Collection]]&amp;Collar[[#This Row],[Sleeve]]</f>
        <v>TourShort</v>
      </c>
      <c r="AN29" s="231"/>
      <c r="AO29" s="231"/>
      <c r="AP29" s="231"/>
      <c r="AQ29" s="231"/>
      <c r="AR29" s="231"/>
      <c r="AS29" s="231"/>
      <c r="AU29" s="237" t="s">
        <v>272</v>
      </c>
      <c r="AV29" s="231" t="n">
        <v>27</v>
      </c>
      <c r="AW29" s="231" t="str">
        <f aca="false">Size[[#This Row],[Size]]&amp;IF(Size[[#This Row],[Price]]="",""," (+"&amp;TEXT(Size[[#This Row],[Price]],"$0.00")&amp;")")</f>
        <v>X-Large</v>
      </c>
      <c r="AX29" s="236" t="s">
        <v>116</v>
      </c>
      <c r="AZ29" s="233" t="s">
        <v>152</v>
      </c>
    </row>
    <row r="30" customFormat="false" ht="14.25" hidden="false" customHeight="false" outlineLevel="0" collapsed="false">
      <c r="AF30" s="231" t="s">
        <v>270</v>
      </c>
      <c r="AG30" s="231"/>
      <c r="AH30" s="231" t="str">
        <f aca="false">Collar[[#This Row],[Collar]]&amp;IF(Collar[[#This Row],[Price]]="",""," (+"&amp;TEXT(Collar[[#This Row],[Price]],"$0.00"&amp;")"))</f>
        <v>1/4 Zip Blade (+$10.00)</v>
      </c>
      <c r="AI30" s="236" t="s">
        <v>371</v>
      </c>
      <c r="AJ30" s="262" t="n">
        <v>10</v>
      </c>
      <c r="AK30" s="252" t="s">
        <v>80</v>
      </c>
      <c r="AL30" s="252" t="s">
        <v>156</v>
      </c>
      <c r="AM30" s="252" t="str">
        <f aca="false">Collar[[#This Row],[Collection]]&amp;Collar[[#This Row],[Sleeve]]</f>
        <v>TourShort</v>
      </c>
      <c r="AN30" s="231"/>
      <c r="AO30" s="231"/>
      <c r="AP30" s="231"/>
      <c r="AQ30" s="231"/>
      <c r="AR30" s="231"/>
      <c r="AS30" s="231"/>
      <c r="AU30" s="237" t="s">
        <v>372</v>
      </c>
      <c r="AV30" s="231" t="n">
        <v>28</v>
      </c>
      <c r="AW30" s="231" t="str">
        <f aca="false">Size[[#This Row],[Size]]&amp;IF(Size[[#This Row],[Price]]="",""," (+"&amp;TEXT(Size[[#This Row],[Price]],"$0.00")&amp;")")</f>
        <v>2T</v>
      </c>
      <c r="AX30" s="234" t="str">
        <f aca="false">Size[[#This Row],[Size]]&amp;IF(Size[[#This Row],[Price]]="",""," (+"&amp;TEXT(Size[[#This Row],[Price]],"$0.00")&amp;")")</f>
        <v>2T</v>
      </c>
      <c r="AZ30" s="224" t="s">
        <v>153</v>
      </c>
    </row>
    <row r="31" customFormat="false" ht="14.25" hidden="false" customHeight="false" outlineLevel="0" collapsed="false">
      <c r="AF31" s="249" t="s">
        <v>284</v>
      </c>
      <c r="AG31" s="249"/>
      <c r="AH31" s="231" t="str">
        <f aca="false">Collar[[#This Row],[Collar]]&amp;IF(Collar[[#This Row],[Price]]="",""," (+"&amp;TEXT(Collar[[#This Row],[Price]],"$0.00"&amp;")"))</f>
        <v>3 Button Blade (+$10.00)</v>
      </c>
      <c r="AI31" s="250" t="s">
        <v>373</v>
      </c>
      <c r="AJ31" s="251" t="n">
        <v>10</v>
      </c>
      <c r="AK31" s="247" t="s">
        <v>80</v>
      </c>
      <c r="AL31" s="252" t="s">
        <v>156</v>
      </c>
      <c r="AM31" s="247" t="str">
        <f aca="false">Collar[[#This Row],[Collection]]&amp;Collar[[#This Row],[Sleeve]]</f>
        <v>TourShort</v>
      </c>
      <c r="AN31" s="231"/>
      <c r="AO31" s="231"/>
      <c r="AP31" s="231"/>
      <c r="AQ31" s="231"/>
      <c r="AR31" s="231"/>
      <c r="AS31" s="231"/>
      <c r="AU31" s="237" t="s">
        <v>374</v>
      </c>
      <c r="AV31" s="231" t="n">
        <v>29</v>
      </c>
      <c r="AW31" s="231" t="str">
        <f aca="false">Size[[#This Row],[Size]]&amp;IF(Size[[#This Row],[Price]]="",""," (+"&amp;TEXT(Size[[#This Row],[Price]],"$0.00")&amp;")")</f>
        <v>3T</v>
      </c>
      <c r="AX31" s="234" t="str">
        <f aca="false">Size[[#This Row],[Size]]&amp;IF(Size[[#This Row],[Price]]="",""," (+"&amp;TEXT(Size[[#This Row],[Price]],"$0.00")&amp;")")</f>
        <v>3T</v>
      </c>
      <c r="AZ31" s="224" t="s">
        <v>153</v>
      </c>
    </row>
    <row r="32" customFormat="false" ht="14.25" hidden="false" customHeight="false" outlineLevel="0" collapsed="false">
      <c r="AF32" s="231" t="s">
        <v>296</v>
      </c>
      <c r="AG32" s="231"/>
      <c r="AH32" s="231" t="str">
        <f aca="false">Collar[[#This Row],[Collar]]&amp;IF(Collar[[#This Row],[Price]]="",""," (+"&amp;TEXT(Collar[[#This Row],[Price]],"$0.00"&amp;")"))</f>
        <v>1/4 Zip Polo (+$10.00)</v>
      </c>
      <c r="AI32" s="236" t="s">
        <v>375</v>
      </c>
      <c r="AJ32" s="262" t="n">
        <v>10</v>
      </c>
      <c r="AK32" s="252" t="s">
        <v>80</v>
      </c>
      <c r="AL32" s="252" t="s">
        <v>156</v>
      </c>
      <c r="AM32" s="252" t="str">
        <f aca="false">Collar[[#This Row],[Collection]]&amp;Collar[[#This Row],[Sleeve]]</f>
        <v>TourShort</v>
      </c>
      <c r="AN32" s="231"/>
      <c r="AO32" s="231"/>
      <c r="AP32" s="231"/>
      <c r="AQ32" s="231"/>
      <c r="AR32" s="231"/>
      <c r="AS32" s="231"/>
      <c r="AU32" s="237" t="s">
        <v>376</v>
      </c>
      <c r="AV32" s="231" t="n">
        <v>30</v>
      </c>
      <c r="AW32" s="231" t="str">
        <f aca="false">Size[[#This Row],[Size]]&amp;IF(Size[[#This Row],[Price]]="",""," (+"&amp;TEXT(Size[[#This Row],[Price]],"$0.00")&amp;")")</f>
        <v>4T</v>
      </c>
      <c r="AX32" s="234" t="str">
        <f aca="false">Size[[#This Row],[Size]]&amp;IF(Size[[#This Row],[Price]]="",""," (+"&amp;TEXT(Size[[#This Row],[Price]],"$0.00")&amp;")")</f>
        <v>4T</v>
      </c>
      <c r="AZ32" s="224" t="s">
        <v>153</v>
      </c>
    </row>
    <row r="33" customFormat="false" ht="14.25" hidden="false" customHeight="false" outlineLevel="0" collapsed="false">
      <c r="AF33" s="249" t="s">
        <v>306</v>
      </c>
      <c r="AG33" s="249"/>
      <c r="AH33" s="231" t="str">
        <f aca="false">Collar[[#This Row],[Collar]]&amp;IF(Collar[[#This Row],[Price]]="",""," (+"&amp;TEXT(Collar[[#This Row],[Price]],"$0.00"&amp;")"))</f>
        <v>Mock Turtleneck (+$5.00)</v>
      </c>
      <c r="AI33" s="250" t="s">
        <v>377</v>
      </c>
      <c r="AJ33" s="251" t="n">
        <v>5</v>
      </c>
      <c r="AK33" s="247" t="s">
        <v>80</v>
      </c>
      <c r="AL33" s="252" t="s">
        <v>156</v>
      </c>
      <c r="AM33" s="247" t="str">
        <f aca="false">Collar[[#This Row],[Collection]]&amp;Collar[[#This Row],[Sleeve]]</f>
        <v>TourShort</v>
      </c>
      <c r="AN33" s="231"/>
      <c r="AO33" s="231"/>
      <c r="AP33" s="231"/>
      <c r="AQ33" s="231"/>
      <c r="AR33" s="231"/>
      <c r="AS33" s="231"/>
      <c r="AU33" s="237" t="s">
        <v>378</v>
      </c>
      <c r="AV33" s="231" t="n">
        <v>31</v>
      </c>
      <c r="AW33" s="231" t="str">
        <f aca="false">Size[[#This Row],[Size]]&amp;IF(Size[[#This Row],[Price]]="",""," (+"&amp;TEXT(Size[[#This Row],[Price]],"$0.00")&amp;")")</f>
        <v>5T</v>
      </c>
      <c r="AX33" s="234" t="str">
        <f aca="false">Size[[#This Row],[Size]]&amp;IF(Size[[#This Row],[Price]]="",""," (+"&amp;TEXT(Size[[#This Row],[Price]],"$0.00")&amp;")")</f>
        <v>5T</v>
      </c>
      <c r="AZ33" s="224" t="s">
        <v>153</v>
      </c>
    </row>
    <row r="34" customFormat="false" ht="14.25" hidden="false" customHeight="false" outlineLevel="0" collapsed="false">
      <c r="AF34" s="231" t="s">
        <v>198</v>
      </c>
      <c r="AG34" s="231"/>
      <c r="AH34" s="231" t="str">
        <f aca="false">Collar[[#This Row],[Collar]]&amp;IF(Collar[[#This Row],[Price]]="",""," (+"&amp;TEXT(Collar[[#This Row],[Price]],"$0.00"&amp;")"))</f>
        <v>1/4 Zip Sash (+$10.00)</v>
      </c>
      <c r="AI34" s="236" t="s">
        <v>379</v>
      </c>
      <c r="AJ34" s="262" t="n">
        <v>10</v>
      </c>
      <c r="AK34" s="252" t="s">
        <v>240</v>
      </c>
      <c r="AL34" s="252" t="s">
        <v>156</v>
      </c>
      <c r="AM34" s="252" t="str">
        <f aca="false">Collar[[#This Row],[Collection]]&amp;Collar[[#This Row],[Sleeve]]</f>
        <v>TourLong</v>
      </c>
      <c r="AN34" s="231"/>
      <c r="AO34" s="231"/>
      <c r="AP34" s="231"/>
      <c r="AQ34" s="231"/>
      <c r="AR34" s="231"/>
      <c r="AS34" s="231"/>
    </row>
    <row r="35" customFormat="false" ht="14.25" hidden="false" customHeight="false" outlineLevel="0" collapsed="false">
      <c r="AF35" s="249" t="s">
        <v>221</v>
      </c>
      <c r="AG35" s="249"/>
      <c r="AH35" s="231" t="str">
        <f aca="false">Collar[[#This Row],[Collar]]&amp;IF(Collar[[#This Row],[Price]]="",""," (+"&amp;TEXT(Collar[[#This Row],[Price]],"$0.00"&amp;")"))</f>
        <v>Polo (+$10.00)</v>
      </c>
      <c r="AI35" s="250" t="s">
        <v>380</v>
      </c>
      <c r="AJ35" s="251" t="n">
        <v>10</v>
      </c>
      <c r="AK35" s="247" t="s">
        <v>240</v>
      </c>
      <c r="AL35" s="252" t="s">
        <v>156</v>
      </c>
      <c r="AM35" s="247" t="str">
        <f aca="false">Collar[[#This Row],[Collection]]&amp;Collar[[#This Row],[Sleeve]]</f>
        <v>TourLong</v>
      </c>
      <c r="AN35" s="231"/>
      <c r="AO35" s="231"/>
      <c r="AP35" s="231"/>
      <c r="AQ35" s="231"/>
      <c r="AR35" s="231"/>
      <c r="AS35" s="231"/>
    </row>
    <row r="36" customFormat="false" ht="14.25" hidden="false" customHeight="false" outlineLevel="0" collapsed="false">
      <c r="AF36" s="231" t="s">
        <v>242</v>
      </c>
      <c r="AG36" s="231"/>
      <c r="AH36" s="231" t="str">
        <f aca="false">Collar[[#This Row],[Collar]]&amp;IF(Collar[[#This Row],[Price]]="",""," (+"&amp;TEXT(Collar[[#This Row],[Price]],"$0.00"&amp;")"))</f>
        <v>V-Neck</v>
      </c>
      <c r="AI36" s="236" t="s">
        <v>381</v>
      </c>
      <c r="AJ36" s="262"/>
      <c r="AK36" s="252" t="s">
        <v>240</v>
      </c>
      <c r="AL36" s="252" t="s">
        <v>156</v>
      </c>
      <c r="AM36" s="252" t="str">
        <f aca="false">Collar[[#This Row],[Collection]]&amp;Collar[[#This Row],[Sleeve]]</f>
        <v>TourLong</v>
      </c>
      <c r="AN36" s="231"/>
      <c r="AO36" s="231"/>
      <c r="AP36" s="231"/>
      <c r="AQ36" s="231"/>
      <c r="AR36" s="231"/>
      <c r="AS36" s="231"/>
    </row>
    <row r="37" customFormat="false" ht="14.25" hidden="false" customHeight="false" outlineLevel="0" collapsed="false">
      <c r="AF37" s="249" t="s">
        <v>260</v>
      </c>
      <c r="AG37" s="249"/>
      <c r="AH37" s="231" t="str">
        <f aca="false">Collar[[#This Row],[Collar]]&amp;IF(Collar[[#This Row],[Price]]="",""," (+"&amp;TEXT(Collar[[#This Row],[Price]],"$0.00"&amp;")"))</f>
        <v>Crew</v>
      </c>
      <c r="AI37" s="250" t="s">
        <v>382</v>
      </c>
      <c r="AJ37" s="251"/>
      <c r="AK37" s="247" t="s">
        <v>240</v>
      </c>
      <c r="AL37" s="252" t="s">
        <v>156</v>
      </c>
      <c r="AM37" s="247" t="str">
        <f aca="false">Collar[[#This Row],[Collection]]&amp;Collar[[#This Row],[Sleeve]]</f>
        <v>TourLong</v>
      </c>
      <c r="AN37" s="231"/>
      <c r="AO37" s="231"/>
      <c r="AP37" s="231"/>
      <c r="AQ37" s="231"/>
      <c r="AR37" s="231"/>
      <c r="AS37" s="231"/>
    </row>
    <row r="38" customFormat="false" ht="14.25" hidden="false" customHeight="false" outlineLevel="0" collapsed="false">
      <c r="AF38" s="231" t="s">
        <v>296</v>
      </c>
      <c r="AG38" s="231"/>
      <c r="AH38" s="231" t="str">
        <f aca="false">Collar[[#This Row],[Collar]]&amp;IF(Collar[[#This Row],[Price]]="",""," (+"&amp;TEXT(Collar[[#This Row],[Price]],"$0.00"&amp;")"))</f>
        <v>1/4 Zip Polo (+$10.00)</v>
      </c>
      <c r="AI38" s="236" t="s">
        <v>383</v>
      </c>
      <c r="AJ38" s="262" t="n">
        <v>10</v>
      </c>
      <c r="AK38" s="252" t="s">
        <v>240</v>
      </c>
      <c r="AL38" s="252" t="s">
        <v>156</v>
      </c>
      <c r="AM38" s="252" t="str">
        <f aca="false">Collar[[#This Row],[Collection]]&amp;Collar[[#This Row],[Sleeve]]</f>
        <v>TourLong</v>
      </c>
      <c r="AN38" s="231"/>
      <c r="AO38" s="231"/>
      <c r="AP38" s="231"/>
      <c r="AQ38" s="231"/>
      <c r="AR38" s="231"/>
      <c r="AS38" s="231"/>
    </row>
    <row r="39" customFormat="false" ht="14.25" hidden="false" customHeight="false" outlineLevel="0" collapsed="false">
      <c r="AF39" s="231"/>
      <c r="AG39" s="231"/>
      <c r="AN39" s="231"/>
      <c r="AO39" s="231"/>
      <c r="AP39" s="231"/>
      <c r="AQ39" s="231"/>
      <c r="AR39" s="231"/>
      <c r="AS39" s="231"/>
    </row>
    <row r="40" customFormat="false" ht="14.25" hidden="false" customHeight="false" outlineLevel="0" collapsed="false">
      <c r="AF40" s="231"/>
      <c r="AG40" s="231"/>
      <c r="AN40" s="231"/>
      <c r="AO40" s="252"/>
      <c r="AP40" s="252"/>
      <c r="AQ40" s="252"/>
      <c r="AR40" s="252"/>
      <c r="AS40" s="252"/>
    </row>
    <row r="41" customFormat="false" ht="14.25" hidden="false" customHeight="false" outlineLevel="0" collapsed="false">
      <c r="AF41" s="231"/>
      <c r="AG41" s="231"/>
      <c r="AN41" s="231"/>
    </row>
    <row r="42" customFormat="false" ht="14.25" hidden="false" customHeight="false" outlineLevel="0" collapsed="false">
      <c r="AN42" s="252"/>
    </row>
    <row r="78" customFormat="false" ht="23.25" hidden="false" customHeight="true" outlineLevel="0" collapsed="false"/>
    <row r="79" customFormat="false" ht="14.25" hidden="false" customHeight="true" outlineLevel="0" collapsed="false"/>
    <row r="80" customFormat="false" ht="14.25" hidden="false" customHeight="true" outlineLevel="0" collapsed="false"/>
    <row r="81" customFormat="false" ht="15" hidden="false" customHeight="true" outlineLevel="0" collapsed="false"/>
    <row r="92" customFormat="false" ht="14.25" hidden="false" customHeight="false" outlineLevel="0" collapsed="false">
      <c r="EW92" s="245"/>
      <c r="EX92" s="245"/>
      <c r="EY92" s="245"/>
    </row>
    <row r="93" customFormat="false" ht="14.25" hidden="false" customHeight="false" outlineLevel="0" collapsed="false">
      <c r="EW93" s="234"/>
      <c r="EX93" s="234"/>
      <c r="EY93" s="234"/>
    </row>
    <row r="94" customFormat="false" ht="14.25" hidden="false" customHeight="false" outlineLevel="0" collapsed="false">
      <c r="EW94" s="234"/>
      <c r="EX94" s="234"/>
      <c r="EY94" s="234"/>
    </row>
    <row r="95" customFormat="false" ht="14.25" hidden="false" customHeight="false" outlineLevel="0" collapsed="false">
      <c r="EW95" s="234"/>
      <c r="EX95" s="234"/>
      <c r="EY95" s="234"/>
    </row>
    <row r="96" customFormat="false" ht="14.25" hidden="false" customHeight="false" outlineLevel="0" collapsed="false">
      <c r="EW96" s="234"/>
      <c r="EX96" s="234"/>
      <c r="EY96" s="234"/>
    </row>
    <row r="97" customFormat="false" ht="14.25" hidden="false" customHeight="false" outlineLevel="0" collapsed="false">
      <c r="EW97" s="234"/>
      <c r="EX97" s="234"/>
      <c r="EY97" s="234"/>
    </row>
    <row r="98" customFormat="false" ht="14.25" hidden="false" customHeight="false" outlineLevel="0" collapsed="false">
      <c r="EW98" s="234"/>
      <c r="EX98" s="234"/>
      <c r="EY98" s="234"/>
    </row>
    <row r="99" customFormat="false" ht="14.25" hidden="false" customHeight="false" outlineLevel="0" collapsed="false">
      <c r="EW99" s="234"/>
      <c r="EX99" s="234"/>
      <c r="EY99" s="234"/>
    </row>
    <row r="100" customFormat="false" ht="14.25" hidden="false" customHeight="false" outlineLevel="0" collapsed="false">
      <c r="EW100" s="234"/>
      <c r="EX100" s="234"/>
      <c r="EY100" s="234"/>
    </row>
    <row r="101" customFormat="false" ht="14.25" hidden="false" customHeight="false" outlineLevel="0" collapsed="false">
      <c r="EW101" s="234"/>
      <c r="EX101" s="234"/>
      <c r="EY101" s="234"/>
    </row>
    <row r="102" customFormat="false" ht="14.25" hidden="false" customHeight="false" outlineLevel="0" collapsed="false">
      <c r="EW102" s="234"/>
      <c r="EX102" s="234"/>
      <c r="EY102" s="234"/>
    </row>
    <row r="103" customFormat="false" ht="14.25" hidden="false" customHeight="false" outlineLevel="0" collapsed="false">
      <c r="EW103" s="234"/>
      <c r="EX103" s="234"/>
      <c r="EY103" s="234"/>
    </row>
    <row r="104" customFormat="false" ht="14.25" hidden="false" customHeight="false" outlineLevel="0" collapsed="false">
      <c r="EW104" s="234"/>
      <c r="EX104" s="234"/>
      <c r="EY104" s="234"/>
    </row>
    <row r="105" customFormat="false" ht="14.25" hidden="false" customHeight="false" outlineLevel="0" collapsed="false">
      <c r="EW105" s="234"/>
      <c r="EX105" s="234"/>
      <c r="EY105" s="234"/>
    </row>
    <row r="106" customFormat="false" ht="14.25" hidden="false" customHeight="false" outlineLevel="0" collapsed="false">
      <c r="EW106" s="234"/>
      <c r="EX106" s="234"/>
      <c r="EY106" s="234"/>
    </row>
    <row r="107" customFormat="false" ht="14.25" hidden="false" customHeight="false" outlineLevel="0" collapsed="false">
      <c r="EW107" s="234"/>
      <c r="EX107" s="234"/>
      <c r="EY107" s="234"/>
    </row>
    <row r="108" customFormat="false" ht="14.25" hidden="false" customHeight="false" outlineLevel="0" collapsed="false">
      <c r="EW108" s="234"/>
      <c r="EX108" s="234"/>
      <c r="EY108" s="234"/>
    </row>
    <row r="109" customFormat="false" ht="14.25" hidden="false" customHeight="false" outlineLevel="0" collapsed="false">
      <c r="EW109" s="234"/>
      <c r="EX109" s="234"/>
      <c r="EY109" s="234"/>
    </row>
    <row r="110" customFormat="false" ht="14.25" hidden="false" customHeight="false" outlineLevel="0" collapsed="false">
      <c r="EW110" s="234"/>
      <c r="EX110" s="234"/>
      <c r="EY110" s="234"/>
    </row>
  </sheetData>
  <sheetProtection algorithmName="SHA-512" hashValue="ZAKThtiETqsUMn1lQAMSJgY9XN3sJLRJI3yEAai5B751q5YuvevAIENINZRyTmeZ85eXpTqAb5on2aV8SjReGA==" saltValue="Uba79GE1rnupwOqFiu4LeA==" spinCount="100000" sheet="true" objects="true" scenarios="true"/>
  <protectedRanges>
    <protectedRange name="IHD_3" sqref="EZ5:EZ7"/>
    <protectedRange name="ProductionPriority_3" sqref="EF3:EF13"/>
  </protectedRanges>
  <mergeCells count="14">
    <mergeCell ref="A1:C1"/>
    <mergeCell ref="E1:N1"/>
    <mergeCell ref="P1:T1"/>
    <mergeCell ref="V1:AD1"/>
    <mergeCell ref="AF1:AS1"/>
    <mergeCell ref="AU1:BJ1"/>
    <mergeCell ref="BL1:BR1"/>
    <mergeCell ref="BT1:BZ1"/>
    <mergeCell ref="CB1:CH1"/>
    <mergeCell ref="CJ1:CP1"/>
    <mergeCell ref="CR1:DA1"/>
    <mergeCell ref="DC1:DN1"/>
    <mergeCell ref="DR1:EL1"/>
    <mergeCell ref="EN1:EX1"/>
  </mergeCells>
  <dataValidations count="2">
    <dataValidation allowBlank="true" errorStyle="stop" operator="between" showDropDown="false" showErrorMessage="true" showInputMessage="true" sqref="EF3:EF6 DK5 EF7:EF13" type="list">
      <formula1>$DD$3:$DD$5</formula1>
      <formula2>0</formula2>
    </dataValidation>
    <dataValidation allowBlank="true" errorStyle="stop" operator="between" showDropDown="false" showErrorMessage="true" showInputMessage="true" sqref="AO16" type="list">
      <formula1>"UNIQUE(FILTER(V3:V39,AA3:AA39=AA3))"</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tableParts>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A110"/>
  <sheetViews>
    <sheetView showFormulas="false" showGridLines="true" showRowColHeaders="true" showZeros="true" rightToLeft="false" tabSelected="false" showOutlineSymbols="true" defaultGridColor="true" view="normal" topLeftCell="XFD1" colorId="64" zoomScale="100" zoomScaleNormal="100" zoomScalePageLayoutView="100" workbookViewId="0">
      <selection pane="topLeft" activeCell="A2" activeCellId="0" sqref="A2"/>
    </sheetView>
  </sheetViews>
  <sheetFormatPr defaultColWidth="8.73046875" defaultRowHeight="14.25" zeroHeight="false" outlineLevelRow="0" outlineLevelCol="0"/>
  <cols>
    <col collapsed="false" customWidth="true" hidden="true" outlineLevel="0" max="1" min="1" style="2" width="10.45"/>
    <col collapsed="false" customWidth="true" hidden="true" outlineLevel="0" max="2" min="2" style="223" width="10.45"/>
    <col collapsed="false" customWidth="true" hidden="true" outlineLevel="0" max="3" min="3" style="224" width="6.73"/>
    <col collapsed="false" customWidth="false" hidden="true" outlineLevel="0" max="5" min="4" style="2" width="8.73"/>
    <col collapsed="false" customWidth="true" hidden="true" outlineLevel="0" max="6" min="6" style="75" width="7.27"/>
    <col collapsed="false" customWidth="true" hidden="true" outlineLevel="0" max="7" min="7" style="224" width="6.73"/>
    <col collapsed="false" customWidth="true" hidden="true" outlineLevel="0" max="8" min="8" style="224" width="8.36"/>
    <col collapsed="false" customWidth="true" hidden="true" outlineLevel="0" max="9" min="9" style="224" width="11.09"/>
    <col collapsed="false" customWidth="true" hidden="true" outlineLevel="0" max="10" min="10" style="224" width="8.36"/>
    <col collapsed="false" customWidth="true" hidden="true" outlineLevel="0" max="12" min="11" style="224" width="17.18"/>
    <col collapsed="false" customWidth="true" hidden="true" outlineLevel="0" max="14" min="13" style="224" width="15.64"/>
    <col collapsed="false" customWidth="false" hidden="true" outlineLevel="0" max="15" min="15" style="2" width="8.73"/>
    <col collapsed="false" customWidth="true" hidden="true" outlineLevel="0" max="16" min="16" style="2" width="15.73"/>
    <col collapsed="false" customWidth="true" hidden="true" outlineLevel="0" max="17" min="17" style="2" width="17.27"/>
    <col collapsed="false" customWidth="true" hidden="true" outlineLevel="0" max="18" min="18" style="2" width="7.27"/>
    <col collapsed="false" customWidth="true" hidden="true" outlineLevel="0" max="19" min="19" style="224" width="6.73"/>
    <col collapsed="false" customWidth="true" hidden="true" outlineLevel="0" max="20" min="20" style="224" width="11.54"/>
    <col collapsed="false" customWidth="true" hidden="true" outlineLevel="0" max="21" min="21" style="224" width="5.9"/>
    <col collapsed="false" customWidth="true" hidden="true" outlineLevel="0" max="22" min="22" style="2" width="15.64"/>
    <col collapsed="false" customWidth="false" hidden="true" outlineLevel="0" max="23" min="23" style="2" width="8.73"/>
    <col collapsed="false" customWidth="true" hidden="true" outlineLevel="0" max="24" min="24" style="2" width="13.09"/>
    <col collapsed="false" customWidth="true" hidden="true" outlineLevel="0" max="25" min="25" style="2" width="7.37"/>
    <col collapsed="false" customWidth="true" hidden="true" outlineLevel="0" max="26" min="26" style="2" width="7.18"/>
    <col collapsed="false" customWidth="true" hidden="true" outlineLevel="0" max="27" min="27" style="2" width="15.64"/>
    <col collapsed="false" customWidth="false" hidden="true" outlineLevel="0" max="28" min="28" style="2" width="8.73"/>
    <col collapsed="false" customWidth="true" hidden="true" outlineLevel="0" max="29" min="29" style="2" width="11.64"/>
    <col collapsed="false" customWidth="false" hidden="true" outlineLevel="0" max="31" min="30" style="2" width="8.73"/>
    <col collapsed="false" customWidth="true" hidden="true" outlineLevel="0" max="32" min="32" style="2" width="14.64"/>
    <col collapsed="false" customWidth="true" hidden="true" outlineLevel="0" max="33" min="33" style="2" width="10.73"/>
    <col collapsed="false" customWidth="true" hidden="true" outlineLevel="0" max="34" min="34" style="2" width="22.09"/>
    <col collapsed="false" customWidth="true" hidden="true" outlineLevel="0" max="35" min="35" style="225" width="9.73"/>
    <col collapsed="false" customWidth="true" hidden="true" outlineLevel="0" max="36" min="36" style="224" width="7.18"/>
    <col collapsed="false" customWidth="true" hidden="true" outlineLevel="0" max="37" min="37" style="2" width="10.27"/>
    <col collapsed="false" customWidth="true" hidden="true" outlineLevel="0" max="38" min="38" style="2" width="15.64"/>
    <col collapsed="false" customWidth="true" hidden="true" outlineLevel="0" max="39" min="39" style="2" width="24.18"/>
    <col collapsed="false" customWidth="true" hidden="true" outlineLevel="0" max="40" min="40" style="2" width="11.54"/>
    <col collapsed="false" customWidth="true" hidden="true" outlineLevel="0" max="42" min="41" style="2" width="25.36"/>
    <col collapsed="false" customWidth="true" hidden="true" outlineLevel="0" max="43" min="43" style="2" width="31.64"/>
    <col collapsed="false" customWidth="true" hidden="true" outlineLevel="0" max="44" min="44" style="2" width="22.09"/>
    <col collapsed="false" customWidth="true" hidden="true" outlineLevel="0" max="45" min="45" style="2" width="19.27"/>
    <col collapsed="false" customWidth="false" hidden="true" outlineLevel="0" max="46" min="46" style="2" width="8.73"/>
    <col collapsed="false" customWidth="false" hidden="true" outlineLevel="0" max="48" min="47" style="226" width="8.73"/>
    <col collapsed="false" customWidth="true" hidden="true" outlineLevel="0" max="49" min="49" style="1" width="16.27"/>
    <col collapsed="false" customWidth="false" hidden="true" outlineLevel="0" max="50" min="50" style="225" width="8.73"/>
    <col collapsed="false" customWidth="false" hidden="true" outlineLevel="0" max="53" min="51" style="224" width="8.73"/>
    <col collapsed="false" customWidth="true" hidden="true" outlineLevel="0" max="55" min="54" style="224" width="16.27"/>
    <col collapsed="false" customWidth="true" hidden="true" outlineLevel="0" max="56" min="56" style="224" width="7.82"/>
    <col collapsed="false" customWidth="true" hidden="true" outlineLevel="0" max="57" min="57" style="224" width="7.27"/>
    <col collapsed="false" customWidth="false" hidden="true" outlineLevel="0" max="58" min="58" style="2" width="8.73"/>
    <col collapsed="false" customWidth="false" hidden="true" outlineLevel="0" max="59" min="59" style="226" width="8.73"/>
    <col collapsed="false" customWidth="true" hidden="true" outlineLevel="0" max="60" min="60" style="226" width="10.18"/>
    <col collapsed="false" customWidth="false" hidden="true" outlineLevel="0" max="61" min="61" style="75" width="8.73"/>
    <col collapsed="false" customWidth="true" hidden="true" outlineLevel="0" max="62" min="62" style="224" width="6.73"/>
    <col collapsed="false" customWidth="false" hidden="true" outlineLevel="0" max="63" min="63" style="2" width="8.73"/>
    <col collapsed="false" customWidth="true" hidden="true" outlineLevel="0" max="64" min="64" style="2" width="13.45"/>
    <col collapsed="false" customWidth="true" hidden="true" outlineLevel="0" max="65" min="65" style="2" width="8"/>
    <col collapsed="false" customWidth="true" hidden="true" outlineLevel="0" max="66" min="66" style="2" width="20.63"/>
    <col collapsed="false" customWidth="true" hidden="true" outlineLevel="0" max="67" min="67" style="2" width="13.45"/>
    <col collapsed="false" customWidth="true" hidden="true" outlineLevel="0" max="68" min="68" style="2" width="6.73"/>
    <col collapsed="false" customWidth="true" hidden="true" outlineLevel="0" max="69" min="69" style="224" width="6.73"/>
    <col collapsed="false" customWidth="true" hidden="true" outlineLevel="0" max="70" min="70" style="2" width="6.73"/>
    <col collapsed="false" customWidth="false" hidden="true" outlineLevel="0" max="71" min="71" style="2" width="8.73"/>
    <col collapsed="false" customWidth="true" hidden="true" outlineLevel="0" max="72" min="72" style="2" width="20.54"/>
    <col collapsed="false" customWidth="true" hidden="true" outlineLevel="0" max="73" min="73" style="2" width="8"/>
    <col collapsed="false" customWidth="true" hidden="true" outlineLevel="0" max="74" min="74" style="2" width="20.63"/>
    <col collapsed="false" customWidth="true" hidden="true" outlineLevel="0" max="75" min="75" style="1" width="16.09"/>
    <col collapsed="false" customWidth="true" hidden="true" outlineLevel="0" max="76" min="76" style="2" width="6.73"/>
    <col collapsed="false" customWidth="true" hidden="true" outlineLevel="0" max="77" min="77" style="224" width="6.73"/>
    <col collapsed="false" customWidth="true" hidden="true" outlineLevel="0" max="78" min="78" style="2" width="6.73"/>
    <col collapsed="false" customWidth="false" hidden="true" outlineLevel="0" max="79" min="79" style="2" width="8.73"/>
    <col collapsed="false" customWidth="true" hidden="true" outlineLevel="0" max="80" min="80" style="2" width="20.54"/>
    <col collapsed="false" customWidth="true" hidden="true" outlineLevel="0" max="81" min="81" style="2" width="13.45"/>
    <col collapsed="false" customWidth="true" hidden="true" outlineLevel="0" max="82" min="82" style="2" width="20.54"/>
    <col collapsed="false" customWidth="true" hidden="true" outlineLevel="0" max="83" min="83" style="2" width="16.09"/>
    <col collapsed="false" customWidth="true" hidden="true" outlineLevel="0" max="84" min="84" style="2" width="6.73"/>
    <col collapsed="false" customWidth="true" hidden="true" outlineLevel="0" max="85" min="85" style="224" width="6.73"/>
    <col collapsed="false" customWidth="false" hidden="true" outlineLevel="0" max="87" min="86" style="2" width="8.73"/>
    <col collapsed="false" customWidth="true" hidden="true" outlineLevel="0" max="89" min="88" style="2" width="13.45"/>
    <col collapsed="false" customWidth="true" hidden="true" outlineLevel="0" max="90" min="90" style="2" width="30.18"/>
    <col collapsed="false" customWidth="true" hidden="true" outlineLevel="0" max="91" min="91" style="2" width="13.45"/>
    <col collapsed="false" customWidth="true" hidden="true" outlineLevel="0" max="93" min="92" style="2" width="6.73"/>
    <col collapsed="false" customWidth="false" hidden="true" outlineLevel="0" max="96" min="94" style="2" width="8.73"/>
    <col collapsed="false" customWidth="false" hidden="true" outlineLevel="0" max="97" min="97" style="224" width="8.73"/>
    <col collapsed="false" customWidth="false" hidden="true" outlineLevel="0" max="98" min="98" style="2" width="8.73"/>
    <col collapsed="false" customWidth="true" hidden="true" outlineLevel="0" max="99" min="99" style="2" width="15.27"/>
    <col collapsed="false" customWidth="false" hidden="true" outlineLevel="0" max="100" min="100" style="2" width="8.73"/>
    <col collapsed="false" customWidth="true" hidden="true" outlineLevel="0" max="101" min="101" style="2" width="15.73"/>
    <col collapsed="false" customWidth="false" hidden="true" outlineLevel="0" max="102" min="102" style="2" width="8.73"/>
    <col collapsed="false" customWidth="true" hidden="true" outlineLevel="0" max="103" min="103" style="2" width="12.27"/>
    <col collapsed="false" customWidth="false" hidden="true" outlineLevel="0" max="104" min="104" style="2" width="8.73"/>
    <col collapsed="false" customWidth="false" hidden="true" outlineLevel="0" max="105" min="105" style="224" width="8.73"/>
    <col collapsed="false" customWidth="false" hidden="true" outlineLevel="0" max="106" min="106" style="2" width="8.73"/>
    <col collapsed="false" customWidth="true" hidden="true" outlineLevel="0" max="107" min="107" style="2" width="23.27"/>
    <col collapsed="false" customWidth="true" hidden="true" outlineLevel="0" max="108" min="108" style="2" width="53.27"/>
    <col collapsed="false" customWidth="true" hidden="true" outlineLevel="0" max="110" min="109" style="2" width="8.54"/>
    <col collapsed="false" customWidth="true" hidden="true" outlineLevel="0" max="111" min="111" style="224" width="8.54"/>
    <col collapsed="false" customWidth="true" hidden="true" outlineLevel="0" max="112" min="112" style="223" width="8.54"/>
    <col collapsed="false" customWidth="true" hidden="true" outlineLevel="0" max="113" min="113" style="224" width="8.54"/>
    <col collapsed="false" customWidth="true" hidden="true" outlineLevel="0" max="114" min="114" style="75" width="10.45"/>
    <col collapsed="false" customWidth="true" hidden="true" outlineLevel="0" max="115" min="115" style="179" width="27.27"/>
    <col collapsed="false" customWidth="false" hidden="true" outlineLevel="0" max="119" min="116" style="2" width="8.73"/>
    <col collapsed="false" customWidth="true" hidden="true" outlineLevel="0" max="120" min="120" style="2" width="16.18"/>
    <col collapsed="false" customWidth="false" hidden="true" outlineLevel="0" max="121" min="121" style="2" width="8.73"/>
    <col collapsed="false" customWidth="true" hidden="true" outlineLevel="0" max="122" min="122" style="75" width="13.27"/>
    <col collapsed="false" customWidth="true" hidden="true" outlineLevel="0" max="123" min="123" style="2" width="13.73"/>
    <col collapsed="false" customWidth="false" hidden="true" outlineLevel="0" max="124" min="124" style="2" width="8.73"/>
    <col collapsed="false" customWidth="true" hidden="true" outlineLevel="0" max="125" min="125" style="2" width="13.27"/>
    <col collapsed="false" customWidth="true" hidden="true" outlineLevel="0" max="126" min="126" style="2" width="16.54"/>
    <col collapsed="false" customWidth="false" hidden="true" outlineLevel="0" max="127" min="127" style="2" width="8.73"/>
    <col collapsed="false" customWidth="true" hidden="true" outlineLevel="0" max="128" min="128" style="2" width="13.27"/>
    <col collapsed="false" customWidth="true" hidden="true" outlineLevel="0" max="129" min="129" style="2" width="16.54"/>
    <col collapsed="false" customWidth="true" hidden="true" outlineLevel="0" max="130" min="130" style="2" width="11.73"/>
    <col collapsed="false" customWidth="false" hidden="true" outlineLevel="0" max="131" min="131" style="2" width="8.73"/>
    <col collapsed="false" customWidth="true" hidden="true" outlineLevel="0" max="132" min="132" style="2" width="12.18"/>
    <col collapsed="false" customWidth="true" hidden="true" outlineLevel="0" max="133" min="133" style="227" width="12.18"/>
    <col collapsed="false" customWidth="true" hidden="true" outlineLevel="0" max="135" min="134" style="2" width="14.73"/>
    <col collapsed="false" customWidth="true" hidden="true" outlineLevel="0" max="136" min="136" style="2" width="26.27"/>
    <col collapsed="false" customWidth="true" hidden="true" outlineLevel="0" max="137" min="137" style="2" width="13.73"/>
    <col collapsed="false" customWidth="true" hidden="true" outlineLevel="0" max="138" min="138" style="2" width="14.18"/>
    <col collapsed="false" customWidth="true" hidden="true" outlineLevel="0" max="139" min="139" style="228" width="14"/>
    <col collapsed="false" customWidth="true" hidden="true" outlineLevel="0" max="141" min="140" style="2" width="17.82"/>
    <col collapsed="false" customWidth="true" hidden="true" outlineLevel="0" max="142" min="142" style="179" width="114.45"/>
    <col collapsed="false" customWidth="true" hidden="true" outlineLevel="0" max="143" min="143" style="2" width="4.82"/>
    <col collapsed="false" customWidth="true" hidden="true" outlineLevel="0" max="144" min="144" style="75" width="17.9"/>
    <col collapsed="false" customWidth="true" hidden="true" outlineLevel="0" max="145" min="145" style="75" width="12.73"/>
    <col collapsed="false" customWidth="true" hidden="true" outlineLevel="0" max="146" min="146" style="75" width="12.36"/>
    <col collapsed="false" customWidth="true" hidden="true" outlineLevel="0" max="147" min="147" style="75" width="10.27"/>
    <col collapsed="false" customWidth="true" hidden="true" outlineLevel="0" max="148" min="148" style="2" width="10.18"/>
    <col collapsed="false" customWidth="true" hidden="true" outlineLevel="0" max="149" min="149" style="2" width="13.36"/>
    <col collapsed="false" customWidth="true" hidden="true" outlineLevel="0" max="150" min="150" style="2" width="10"/>
    <col collapsed="false" customWidth="true" hidden="true" outlineLevel="0" max="151" min="151" style="2" width="13.54"/>
    <col collapsed="false" customWidth="true" hidden="true" outlineLevel="0" max="152" min="152" style="2" width="13.9"/>
    <col collapsed="false" customWidth="true" hidden="true" outlineLevel="0" max="153" min="153" style="2" width="12.45"/>
    <col collapsed="false" customWidth="true" hidden="true" outlineLevel="0" max="155" min="154" style="2" width="10.27"/>
    <col collapsed="false" customWidth="true" hidden="true" outlineLevel="0" max="156" min="156" style="2" width="11.73"/>
    <col collapsed="false" customWidth="true" hidden="true" outlineLevel="0" max="157" min="157" style="2" width="10.16"/>
    <col collapsed="false" customWidth="false" hidden="true" outlineLevel="0" max="16384" min="158" style="2" width="8.73"/>
  </cols>
  <sheetData>
    <row r="1" customFormat="false" ht="24" hidden="false" customHeight="false" outlineLevel="0" collapsed="false">
      <c r="A1" s="229" t="s">
        <v>129</v>
      </c>
      <c r="B1" s="229"/>
      <c r="C1" s="229"/>
      <c r="E1" s="229" t="s">
        <v>130</v>
      </c>
      <c r="F1" s="229"/>
      <c r="G1" s="229"/>
      <c r="H1" s="229"/>
      <c r="I1" s="229"/>
      <c r="J1" s="229"/>
      <c r="K1" s="229"/>
      <c r="L1" s="229"/>
      <c r="M1" s="229"/>
      <c r="N1" s="229"/>
      <c r="P1" s="229" t="s">
        <v>131</v>
      </c>
      <c r="Q1" s="229"/>
      <c r="R1" s="229"/>
      <c r="S1" s="229"/>
      <c r="T1" s="229"/>
      <c r="V1" s="229" t="s">
        <v>132</v>
      </c>
      <c r="W1" s="229"/>
      <c r="X1" s="229"/>
      <c r="Y1" s="229"/>
      <c r="Z1" s="229"/>
      <c r="AA1" s="229"/>
      <c r="AB1" s="229"/>
      <c r="AC1" s="229"/>
      <c r="AD1" s="229"/>
      <c r="AF1" s="229" t="s">
        <v>133</v>
      </c>
      <c r="AG1" s="229"/>
      <c r="AH1" s="229"/>
      <c r="AI1" s="229"/>
      <c r="AJ1" s="229"/>
      <c r="AK1" s="229"/>
      <c r="AL1" s="229"/>
      <c r="AM1" s="229"/>
      <c r="AN1" s="229"/>
      <c r="AO1" s="229"/>
      <c r="AP1" s="229"/>
      <c r="AQ1" s="229"/>
      <c r="AR1" s="229"/>
      <c r="AS1" s="229"/>
      <c r="AU1" s="229" t="s">
        <v>134</v>
      </c>
      <c r="AV1" s="229"/>
      <c r="AW1" s="229"/>
      <c r="AX1" s="229"/>
      <c r="AY1" s="229"/>
      <c r="AZ1" s="229"/>
      <c r="BA1" s="229"/>
      <c r="BB1" s="229"/>
      <c r="BC1" s="229"/>
      <c r="BD1" s="229"/>
      <c r="BE1" s="229"/>
      <c r="BF1" s="229"/>
      <c r="BG1" s="229"/>
      <c r="BH1" s="229"/>
      <c r="BI1" s="229"/>
      <c r="BJ1" s="229"/>
      <c r="BL1" s="229" t="s">
        <v>135</v>
      </c>
      <c r="BM1" s="229"/>
      <c r="BN1" s="229"/>
      <c r="BO1" s="229"/>
      <c r="BP1" s="229"/>
      <c r="BQ1" s="229"/>
      <c r="BR1" s="229"/>
      <c r="BT1" s="229" t="s">
        <v>136</v>
      </c>
      <c r="BU1" s="229"/>
      <c r="BV1" s="229"/>
      <c r="BW1" s="229"/>
      <c r="BX1" s="229"/>
      <c r="BY1" s="229"/>
      <c r="BZ1" s="229"/>
      <c r="CB1" s="229" t="s">
        <v>137</v>
      </c>
      <c r="CC1" s="229"/>
      <c r="CD1" s="229"/>
      <c r="CE1" s="229"/>
      <c r="CF1" s="229"/>
      <c r="CG1" s="229"/>
      <c r="CH1" s="229"/>
      <c r="CJ1" s="229" t="s">
        <v>138</v>
      </c>
      <c r="CK1" s="229"/>
      <c r="CL1" s="229"/>
      <c r="CM1" s="229"/>
      <c r="CN1" s="229"/>
      <c r="CO1" s="229"/>
      <c r="CP1" s="229"/>
      <c r="CR1" s="229" t="s">
        <v>139</v>
      </c>
      <c r="CS1" s="229"/>
      <c r="CT1" s="229"/>
      <c r="CU1" s="229"/>
      <c r="CV1" s="229"/>
      <c r="CW1" s="229"/>
      <c r="CX1" s="229"/>
      <c r="CY1" s="229"/>
      <c r="CZ1" s="229"/>
      <c r="DA1" s="229"/>
      <c r="DC1" s="229" t="s">
        <v>140</v>
      </c>
      <c r="DD1" s="229"/>
      <c r="DE1" s="229"/>
      <c r="DF1" s="229"/>
      <c r="DG1" s="229"/>
      <c r="DH1" s="229"/>
      <c r="DI1" s="229"/>
      <c r="DJ1" s="229"/>
      <c r="DK1" s="229"/>
      <c r="DL1" s="229"/>
      <c r="DM1" s="229"/>
      <c r="DN1" s="229"/>
      <c r="DP1" s="230" t="s">
        <v>141</v>
      </c>
      <c r="DR1" s="229" t="s">
        <v>142</v>
      </c>
      <c r="DS1" s="229"/>
      <c r="DT1" s="229"/>
      <c r="DU1" s="229"/>
      <c r="DV1" s="229"/>
      <c r="DW1" s="229"/>
      <c r="DX1" s="229"/>
      <c r="DY1" s="229"/>
      <c r="DZ1" s="229"/>
      <c r="EA1" s="229"/>
      <c r="EB1" s="229"/>
      <c r="EC1" s="229"/>
      <c r="ED1" s="229"/>
      <c r="EE1" s="229"/>
      <c r="EF1" s="229"/>
      <c r="EG1" s="229"/>
      <c r="EH1" s="229"/>
      <c r="EI1" s="229"/>
      <c r="EJ1" s="229"/>
      <c r="EK1" s="229"/>
      <c r="EL1" s="229"/>
      <c r="EM1" s="1"/>
      <c r="EN1" s="229" t="s">
        <v>143</v>
      </c>
      <c r="EO1" s="229"/>
      <c r="EP1" s="229"/>
      <c r="EQ1" s="229"/>
      <c r="ER1" s="229"/>
      <c r="ES1" s="229"/>
      <c r="ET1" s="229"/>
      <c r="EU1" s="229"/>
      <c r="EV1" s="229"/>
      <c r="EW1" s="229"/>
      <c r="EX1" s="229"/>
      <c r="EZ1" s="1"/>
      <c r="FA1" s="1"/>
    </row>
    <row r="2" customFormat="false" ht="43.5" hidden="false" customHeight="false" outlineLevel="0" collapsed="false">
      <c r="A2" s="231" t="s">
        <v>112</v>
      </c>
      <c r="B2" s="232" t="s">
        <v>114</v>
      </c>
      <c r="C2" s="233" t="s">
        <v>144</v>
      </c>
      <c r="E2" s="231" t="s">
        <v>145</v>
      </c>
      <c r="F2" s="234" t="s">
        <v>146</v>
      </c>
      <c r="G2" s="233" t="s">
        <v>147</v>
      </c>
      <c r="H2" s="233" t="s">
        <v>148</v>
      </c>
      <c r="I2" s="233" t="s">
        <v>149</v>
      </c>
      <c r="J2" s="233"/>
      <c r="K2" s="235" t="s">
        <v>150</v>
      </c>
      <c r="L2" s="235" t="s">
        <v>151</v>
      </c>
      <c r="M2" s="235" t="s">
        <v>152</v>
      </c>
      <c r="N2" s="235" t="s">
        <v>153</v>
      </c>
      <c r="P2" s="231" t="s">
        <v>58</v>
      </c>
      <c r="Q2" s="231" t="s">
        <v>145</v>
      </c>
      <c r="R2" s="231" t="s">
        <v>146</v>
      </c>
      <c r="S2" s="233" t="s">
        <v>147</v>
      </c>
      <c r="T2" s="233" t="s">
        <v>149</v>
      </c>
      <c r="U2" s="233"/>
      <c r="V2" s="231" t="s">
        <v>95</v>
      </c>
      <c r="W2" s="231" t="s">
        <v>154</v>
      </c>
      <c r="X2" s="231" t="s">
        <v>145</v>
      </c>
      <c r="Y2" s="231" t="s">
        <v>146</v>
      </c>
      <c r="Z2" s="233" t="s">
        <v>147</v>
      </c>
      <c r="AA2" s="231" t="s">
        <v>149</v>
      </c>
      <c r="AC2" s="235" t="s">
        <v>155</v>
      </c>
      <c r="AD2" s="235" t="s">
        <v>156</v>
      </c>
      <c r="AF2" s="231" t="s">
        <v>96</v>
      </c>
      <c r="AG2" s="231" t="s">
        <v>154</v>
      </c>
      <c r="AH2" s="231" t="s">
        <v>145</v>
      </c>
      <c r="AI2" s="236" t="s">
        <v>146</v>
      </c>
      <c r="AJ2" s="233" t="s">
        <v>147</v>
      </c>
      <c r="AK2" s="231" t="s">
        <v>95</v>
      </c>
      <c r="AL2" s="231" t="s">
        <v>58</v>
      </c>
      <c r="AM2" s="231" t="s">
        <v>157</v>
      </c>
      <c r="AO2" s="235" t="s">
        <v>158</v>
      </c>
      <c r="AP2" s="235" t="s">
        <v>159</v>
      </c>
      <c r="AQ2" s="235" t="s">
        <v>160</v>
      </c>
      <c r="AR2" s="235" t="s">
        <v>161</v>
      </c>
      <c r="AS2" s="235" t="s">
        <v>162</v>
      </c>
      <c r="AU2" s="237" t="s">
        <v>93</v>
      </c>
      <c r="AV2" s="237" t="s">
        <v>154</v>
      </c>
      <c r="AW2" s="231" t="s">
        <v>145</v>
      </c>
      <c r="AX2" s="236" t="s">
        <v>146</v>
      </c>
      <c r="AY2" s="233" t="s">
        <v>147</v>
      </c>
      <c r="AZ2" s="237" t="s">
        <v>148</v>
      </c>
      <c r="BA2" s="233"/>
      <c r="BB2" s="238" t="s">
        <v>76</v>
      </c>
      <c r="BC2" s="238" t="s">
        <v>163</v>
      </c>
      <c r="BD2" s="238" t="s">
        <v>152</v>
      </c>
      <c r="BE2" s="238" t="s">
        <v>153</v>
      </c>
      <c r="BG2" s="237" t="s">
        <v>94</v>
      </c>
      <c r="BH2" s="237" t="s">
        <v>145</v>
      </c>
      <c r="BI2" s="234" t="s">
        <v>146</v>
      </c>
      <c r="BJ2" s="233" t="s">
        <v>147</v>
      </c>
      <c r="BL2" s="231" t="s">
        <v>164</v>
      </c>
      <c r="BM2" s="231" t="s">
        <v>154</v>
      </c>
      <c r="BN2" s="231" t="s">
        <v>145</v>
      </c>
      <c r="BO2" s="231" t="s">
        <v>146</v>
      </c>
      <c r="BP2" s="233" t="s">
        <v>165</v>
      </c>
      <c r="BQ2" s="233" t="s">
        <v>166</v>
      </c>
      <c r="BR2" s="233" t="s">
        <v>167</v>
      </c>
      <c r="BT2" s="231" t="s">
        <v>164</v>
      </c>
      <c r="BU2" s="231" t="s">
        <v>154</v>
      </c>
      <c r="BV2" s="231" t="s">
        <v>145</v>
      </c>
      <c r="BW2" s="231" t="s">
        <v>146</v>
      </c>
      <c r="BX2" s="233" t="s">
        <v>165</v>
      </c>
      <c r="BY2" s="233" t="s">
        <v>166</v>
      </c>
      <c r="BZ2" s="233" t="s">
        <v>167</v>
      </c>
      <c r="CB2" s="231" t="s">
        <v>164</v>
      </c>
      <c r="CC2" s="231" t="s">
        <v>154</v>
      </c>
      <c r="CD2" s="231" t="s">
        <v>145</v>
      </c>
      <c r="CE2" s="231" t="s">
        <v>146</v>
      </c>
      <c r="CF2" s="233" t="s">
        <v>165</v>
      </c>
      <c r="CG2" s="233" t="s">
        <v>166</v>
      </c>
      <c r="CH2" s="233" t="s">
        <v>167</v>
      </c>
      <c r="CI2" s="233"/>
      <c r="CJ2" s="231" t="s">
        <v>164</v>
      </c>
      <c r="CK2" s="231" t="s">
        <v>154</v>
      </c>
      <c r="CL2" s="231" t="s">
        <v>145</v>
      </c>
      <c r="CM2" s="231" t="s">
        <v>146</v>
      </c>
      <c r="CN2" s="233" t="s">
        <v>165</v>
      </c>
      <c r="CO2" s="233" t="s">
        <v>166</v>
      </c>
      <c r="CP2" s="233" t="s">
        <v>167</v>
      </c>
      <c r="CQ2" s="233"/>
      <c r="CR2" s="231" t="s">
        <v>90</v>
      </c>
      <c r="CS2" s="233" t="s">
        <v>147</v>
      </c>
      <c r="CU2" s="231" t="s">
        <v>62</v>
      </c>
      <c r="CW2" s="231" t="s">
        <v>168</v>
      </c>
      <c r="CY2" s="231" t="s">
        <v>63</v>
      </c>
      <c r="CZ2" s="231" t="s">
        <v>146</v>
      </c>
      <c r="DA2" s="233" t="s">
        <v>147</v>
      </c>
      <c r="DC2" s="231" t="s">
        <v>169</v>
      </c>
      <c r="DD2" s="231" t="s">
        <v>145</v>
      </c>
      <c r="DE2" s="233" t="s">
        <v>147</v>
      </c>
      <c r="DF2" s="233" t="s">
        <v>170</v>
      </c>
      <c r="DG2" s="233" t="s">
        <v>171</v>
      </c>
      <c r="DH2" s="232" t="s">
        <v>172</v>
      </c>
      <c r="DI2" s="233" t="s">
        <v>173</v>
      </c>
      <c r="DJ2" s="234"/>
      <c r="DK2" s="239" t="s">
        <v>174</v>
      </c>
      <c r="DL2" s="231" t="s">
        <v>3</v>
      </c>
      <c r="DM2" s="231" t="s">
        <v>175</v>
      </c>
      <c r="DN2" s="231" t="s">
        <v>176</v>
      </c>
      <c r="DP2" s="231" t="s">
        <v>177</v>
      </c>
      <c r="DR2" s="234" t="s">
        <v>178</v>
      </c>
      <c r="DS2" s="231" t="s">
        <v>30</v>
      </c>
      <c r="DU2" s="234" t="s">
        <v>179</v>
      </c>
      <c r="DV2" s="231" t="s">
        <v>180</v>
      </c>
      <c r="DX2" s="234" t="s">
        <v>181</v>
      </c>
      <c r="DY2" s="231" t="s">
        <v>180</v>
      </c>
      <c r="DZ2" s="240" t="s">
        <v>182</v>
      </c>
      <c r="EB2" s="231" t="s">
        <v>183</v>
      </c>
      <c r="EC2" s="241" t="s">
        <v>176</v>
      </c>
      <c r="ED2" s="231" t="s">
        <v>184</v>
      </c>
      <c r="EE2" s="231" t="s">
        <v>185</v>
      </c>
      <c r="EF2" s="231" t="s">
        <v>6</v>
      </c>
      <c r="EG2" s="242" t="s">
        <v>186</v>
      </c>
      <c r="EH2" s="231" t="s">
        <v>187</v>
      </c>
      <c r="EI2" s="243" t="s">
        <v>188</v>
      </c>
      <c r="EJ2" s="168" t="s">
        <v>23</v>
      </c>
      <c r="EK2" s="168" t="s">
        <v>169</v>
      </c>
      <c r="EL2" s="239" t="s">
        <v>189</v>
      </c>
      <c r="EM2" s="244"/>
      <c r="EN2" s="245" t="s">
        <v>190</v>
      </c>
      <c r="EO2" s="246" t="s">
        <v>19</v>
      </c>
      <c r="EP2" s="246" t="s">
        <v>191</v>
      </c>
      <c r="EQ2" s="246" t="s">
        <v>8</v>
      </c>
      <c r="ER2" s="246" t="s">
        <v>9</v>
      </c>
      <c r="ES2" s="246" t="s">
        <v>10</v>
      </c>
      <c r="ET2" s="246" t="s">
        <v>17</v>
      </c>
      <c r="EU2" s="246" t="s">
        <v>12</v>
      </c>
      <c r="EV2" s="246" t="s">
        <v>192</v>
      </c>
      <c r="EW2" s="246" t="s">
        <v>13</v>
      </c>
      <c r="EX2" s="246" t="s">
        <v>193</v>
      </c>
      <c r="EZ2" s="244"/>
      <c r="FA2" s="1"/>
    </row>
    <row r="3" customFormat="false" ht="14.25" hidden="false" customHeight="false" outlineLevel="0" collapsed="false">
      <c r="A3" s="2" t="n">
        <v>1</v>
      </c>
      <c r="B3" s="223" t="n">
        <v>0</v>
      </c>
      <c r="C3" s="224" t="n">
        <v>49</v>
      </c>
      <c r="E3" s="231" t="s">
        <v>76</v>
      </c>
      <c r="F3" s="234" t="s">
        <v>194</v>
      </c>
      <c r="G3" s="233"/>
      <c r="H3" s="233" t="s">
        <v>150</v>
      </c>
      <c r="I3" s="233" t="s">
        <v>195</v>
      </c>
      <c r="J3" s="233"/>
      <c r="K3" s="247" t="str">
        <f aca="false">Collection35[[#This Row],[Collection]]&amp;IF(Collection35[[#This Row],[Price]]="",""," (+"&amp;TEXT(Collection35[[#This Row],[Price]],"$0.00"&amp;")"))</f>
        <v>Performance-Line</v>
      </c>
      <c r="L3" s="247" t="str">
        <f aca="false">Collection35[[#This Row],[Collection]]&amp;IF(Collection35[[#This Row],[Price]]="",""," (+"&amp;TEXT(Collection35[[#This Row],[Price]],"$0.00"&amp;")"))</f>
        <v>Performance-Line</v>
      </c>
      <c r="M3" s="247" t="str">
        <f aca="false">Collection35[[#This Row],[Collection]]&amp;IF(Collection35[[#This Row],[Price]]="",""," (+"&amp;TEXT(Collection35[[#This Row],[Price]],"$0.00"&amp;")"))</f>
        <v>Performance-Line</v>
      </c>
      <c r="N3" s="247" t="str">
        <f aca="false">Collection35[[#This Row],[Collection]]&amp;IF(Collection35[[#This Row],[Price]]="",""," (+"&amp;TEXT(Collection35[[#This Row],[Price]],"$0.00"&amp;")"))</f>
        <v>Performance-Line</v>
      </c>
      <c r="P3" s="231" t="s">
        <v>79</v>
      </c>
      <c r="Q3" s="231" t="str">
        <f aca="false">Collection35[[#This Row],[Collection]]&amp;IF(Collection35[[#This Row],[Price]]="",""," (+"&amp;TEXT(Collection35[[#This Row],[Price]],"$0.00"&amp;")"))</f>
        <v>Performance-Line</v>
      </c>
      <c r="R3" s="231" t="s">
        <v>196</v>
      </c>
      <c r="T3" s="224" t="s">
        <v>155</v>
      </c>
      <c r="V3" s="231" t="s">
        <v>80</v>
      </c>
      <c r="W3" s="231" t="n">
        <v>1</v>
      </c>
      <c r="X3" s="231" t="str">
        <f aca="false">Sleeve32[[#This Row],[Sleeve]]&amp;IF(Sleeve32[[#This Row],[Price]]="",""," (+"&amp;TEXT(Sleeve32[[#This Row],[Price]],"$0.00"&amp;")"))</f>
        <v>Short</v>
      </c>
      <c r="Y3" s="231" t="s">
        <v>197</v>
      </c>
      <c r="Z3" s="224"/>
      <c r="AA3" s="248" t="s">
        <v>155</v>
      </c>
      <c r="AC3" s="2" t="e">
        <f aca="false" t="array" ref="AC3:AC5">_xlfn._xlws.filter(Sleeve32[Sleeve],Sleeve32[Line]=AC2)</f>
        <v>#NAME?</v>
      </c>
      <c r="AD3" s="2" t="e">
        <f aca="false" t="array" ref="AD3:AD4">_xlfn._xlws.filter(Sleeve32[Sleeve],Sleeve32[Line]=AD2)</f>
        <v>#NAME?</v>
      </c>
      <c r="AF3" s="249" t="s">
        <v>198</v>
      </c>
      <c r="AG3" s="249"/>
      <c r="AH3" s="231" t="str">
        <f aca="false">Collar19[[#This Row],[Collar]]&amp;IF(Collar19[[#This Row],[Price]]="",""," (+"&amp;TEXT(Collar19[[#This Row],[Price]],"$0.00"&amp;")"))</f>
        <v>1/4 Zip Sash (+$10.00)</v>
      </c>
      <c r="AI3" s="250" t="s">
        <v>199</v>
      </c>
      <c r="AJ3" s="251" t="n">
        <v>10</v>
      </c>
      <c r="AK3" s="247" t="s">
        <v>80</v>
      </c>
      <c r="AL3" s="252" t="s">
        <v>155</v>
      </c>
      <c r="AM3" s="247" t="str">
        <f aca="false">Collar19[[#This Row],[Collection]]&amp;Collar19[[#This Row],[Sleeve]]</f>
        <v>PerformanceShort</v>
      </c>
      <c r="AO3" s="2" t="e">
        <f aca="false" t="array" ref="AO3:AO12">_xlfn._xlws.filter(Collar19[Display],Collar19[C&amp;S]=AO$2)</f>
        <v>#NAME?</v>
      </c>
      <c r="AP3" s="2" t="e">
        <f aca="false" t="array" ref="AP3:AP7">_xlfn._xlws.filter(Collar19[Display],Collar19[C&amp;S]=AP$2)</f>
        <v>#NAME?</v>
      </c>
      <c r="AQ3" s="2" t="e">
        <f aca="false" t="array" ref="AQ3:AQ10">_xlfn._xlws.filter(Collar19[Display],Collar19[C&amp;S]=AQ$2)</f>
        <v>#NAME?</v>
      </c>
      <c r="AR3" s="2" t="e">
        <f aca="false" t="array" ref="AR3:AR10">_xlfn._xlws.filter(Collar19[Display],Collar19[C&amp;S]=AR$2)</f>
        <v>#NAME?</v>
      </c>
      <c r="AS3" s="2" t="e">
        <f aca="false" t="array" ref="AS3:AS7">_xlfn._xlws.filter(Collar19[Display],Collar19[C&amp;S]=AS$2)</f>
        <v>#NAME?</v>
      </c>
      <c r="AU3" s="237" t="s">
        <v>200</v>
      </c>
      <c r="AV3" s="231" t="n">
        <v>1</v>
      </c>
      <c r="AW3" s="231" t="str">
        <f aca="false">Size28[[#This Row],[Size]]&amp;IF(Size28[[#This Row],[Price]]="",""," (+"&amp;TEXT(Size28[[#This Row],[Price]],"$0.00")&amp;")")</f>
        <v>X-Small</v>
      </c>
      <c r="AX3" s="236" t="s">
        <v>201</v>
      </c>
      <c r="AZ3" s="224" t="s">
        <v>76</v>
      </c>
      <c r="BB3" s="224" t="e">
        <f aca="false" t="array" ref="BB3:BB13">_xlfn._xlws.filter(Size28[Display],Size28[Cut]=BB$2)</f>
        <v>#NAME?</v>
      </c>
      <c r="BC3" s="224" t="e">
        <f aca="false" t="array" ref="BC3:BC13">_xlfn._xlws.filter(Size28[Display],Size28[Cut]=BC$2)</f>
        <v>#NAME?</v>
      </c>
      <c r="BD3" s="224" t="e">
        <f aca="false" t="array" ref="BD3:BD7">_xlfn._xlws.filter(Size28[Display],Size28[Cut]=BD$2)</f>
        <v>#NAME?</v>
      </c>
      <c r="BE3" s="224" t="e">
        <f aca="false" t="array" ref="BE3:BE6">_xlfn._xlws.filter(Size28[Display],Size28[Cut]=BE$2)</f>
        <v>#NAME?</v>
      </c>
      <c r="BG3" s="237" t="s">
        <v>202</v>
      </c>
      <c r="BH3" s="231" t="str">
        <f aca="false">Length29[[#This Row],[Length]]&amp;IF(Length29[[#This Row],[Price]]="",""," (+"&amp;TEXT(Length29[[#This Row],[Price]],"$0.00"&amp;")"))</f>
        <v>+2 (+$3.00)</v>
      </c>
      <c r="BI3" s="236" t="s">
        <v>202</v>
      </c>
      <c r="BJ3" s="224" t="n">
        <v>3</v>
      </c>
      <c r="BL3" s="231" t="s">
        <v>203</v>
      </c>
      <c r="BM3" s="231" t="n">
        <v>1</v>
      </c>
      <c r="BN3" s="231" t="str">
        <f aca="false">Logos31[[#This Row],[Logos]]&amp;" ($30 Per Order)"</f>
        <v>Custom ($30 Per Order)</v>
      </c>
      <c r="BO3" s="231" t="s">
        <v>203</v>
      </c>
      <c r="BP3" s="224"/>
      <c r="BQ3" s="233"/>
      <c r="BR3" s="233"/>
      <c r="BT3" s="231" t="s">
        <v>204</v>
      </c>
      <c r="BU3" s="231" t="n">
        <v>1</v>
      </c>
      <c r="BV3" s="231" t="str">
        <f aca="false">Chest37[[#This Row],[Logos]]&amp;IF(BZ3="","",IF(Chest37[[#This Row],[Use]]="Flat"," (+"&amp;TEXT(Chest37[[#This Row],[Flat]],"$0.00")&amp;")"," (+"&amp;TEXT(Chest37[[#This Row],[Pct]],"0%")&amp;" of base price)"))</f>
        <v>Creating The Difference</v>
      </c>
      <c r="BW3" s="253" t="s">
        <v>205</v>
      </c>
      <c r="BX3" s="224"/>
      <c r="BY3" s="233"/>
      <c r="BZ3" s="231"/>
      <c r="CB3" s="231" t="s">
        <v>204</v>
      </c>
      <c r="CC3" s="231" t="n">
        <v>1</v>
      </c>
      <c r="CD3" s="231" t="str">
        <f aca="false">LeftSleeve39[[#This Row],[Logos]]&amp;IF(LeftSleeve39[[#This Row],[Use]]="","",IF(LeftSleeve39[[#This Row],[Use]]="Flat"," (+"&amp;TEXT(LeftSleeve39[[#This Row],[Flat]],"$0.00")&amp;")"," (+"&amp;TEXT(LeftSleeve39[[#This Row],[Pct]],"0%")&amp;" of base price)"))</f>
        <v>Creating The Difference</v>
      </c>
      <c r="CE3" s="253" t="s">
        <v>205</v>
      </c>
      <c r="CF3" s="224"/>
      <c r="CG3" s="233"/>
      <c r="CH3" s="231"/>
      <c r="CI3" s="231"/>
      <c r="CJ3" s="231" t="s">
        <v>206</v>
      </c>
      <c r="CK3" s="231" t="n">
        <v>1</v>
      </c>
      <c r="CL3" s="231" t="str">
        <f aca="false">RightSleeve48[[#This Row],[Logos]]</f>
        <v>PBA</v>
      </c>
      <c r="CM3" s="231" t="s">
        <v>206</v>
      </c>
      <c r="CN3" s="233"/>
      <c r="CO3" s="233"/>
      <c r="CP3" s="231"/>
      <c r="CQ3" s="231"/>
      <c r="CR3" s="231" t="s">
        <v>90</v>
      </c>
      <c r="CS3" s="224" t="n">
        <v>8</v>
      </c>
      <c r="CU3" s="231" t="s">
        <v>207</v>
      </c>
      <c r="CW3" s="231" t="s">
        <v>83</v>
      </c>
      <c r="CY3" s="231" t="s">
        <v>208</v>
      </c>
      <c r="CZ3" s="231" t="s">
        <v>209</v>
      </c>
      <c r="DC3" s="231" t="s">
        <v>35</v>
      </c>
      <c r="DD3" s="231" t="str">
        <f aca="false">ProductionPriority36[[#This Row],[Production]]&amp;IF(ProductionPriority36[[#This Row],[Price]]="",""," +"&amp;TEXT(ProductionPriority36[[#This Row],[Price]],"00%"))</f>
        <v>Standard (approx 3 weeks)</v>
      </c>
      <c r="DH3" s="223" t="n">
        <f aca="false">IF(_xlfn.xlookup(CustGroup,CustomerGroup40[Customer Groups],CustomerGroup40[Free Express Production])="Yes",ProductionPriority36[[#This Row],[Upgrade]],ProductionPriority36[[#This Row],[Price]])</f>
        <v>0</v>
      </c>
      <c r="DI3" s="224" t="n">
        <f aca="false">ROUNDUP(IF(ProductionPriority36[[#This Row],[Actual]]&gt;0,MAX(ProductionPriority36[[#This Row],[Minimum]],BOD_Subtotal*ProductionPriority36[[#This Row],[Actual]]),0),2)</f>
        <v>0</v>
      </c>
      <c r="DJ3" s="234"/>
      <c r="DK3" s="239" t="s">
        <v>210</v>
      </c>
      <c r="DL3" s="254" t="n">
        <f aca="false">MAX(Summary!$D$23*SUMIF(ProductionPriority36[Display],PriorityProduction42[[#This Row],[Priority Production]],ProductionPriority36[Price]),25)</f>
        <v>81.375</v>
      </c>
      <c r="DM3" s="2" t="n">
        <v>0</v>
      </c>
      <c r="DN3" s="2" t="n">
        <v>9</v>
      </c>
      <c r="DP3" s="231" t="s">
        <v>175</v>
      </c>
      <c r="DR3" s="75" t="n">
        <v>1</v>
      </c>
      <c r="DS3" s="231" t="s">
        <v>211</v>
      </c>
      <c r="DU3" s="75" t="n">
        <v>1</v>
      </c>
      <c r="DV3" s="231" t="s">
        <v>212</v>
      </c>
      <c r="DX3" s="255" t="n">
        <v>0</v>
      </c>
      <c r="DY3" s="231"/>
      <c r="EB3" s="256" t="n">
        <f aca="true">INT(NOW()+1)</f>
        <v>46107</v>
      </c>
      <c r="EC3" s="257" t="n">
        <f aca="false">(7-WEEKDAY(IHD_Calc47[[#This Row],[Order Date]],15))</f>
        <v>0</v>
      </c>
      <c r="ED3" s="256" t="n">
        <f aca="false">IHD_Calc47[[#This Row],[Order Date]]+(7-WEEKDAY(IHD_Calc47[[#This Row],[Order Date]],15))+IF(IHD_Calc47[[#This Row],[Days]]&lt;3,7,0)</f>
        <v>46114</v>
      </c>
      <c r="EE3" s="256" t="n">
        <f aca="false">IHD_Calc47[[#This Row],[Approval Date]]-5</f>
        <v>46109</v>
      </c>
      <c r="EF3" s="258"/>
      <c r="EG3" s="256" t="str">
        <f aca="false">IFERROR(IHD_Calc47[[#This Row],[Approval Date]]+VLOOKUP(IHD_Calc47[[#This Row],[Production Priority]],PriorityProduction42[],4),"")</f>
        <v/>
      </c>
      <c r="EH3" s="256" t="str">
        <f aca="false">IFERROR(IHD_Calc47[[#This Row],[In Transit]]+3,"")</f>
        <v/>
      </c>
      <c r="EI3" s="228" t="n">
        <f aca="false">IFERROR(IHD_Calc47[[#This Row],[Est Ship Date]]+_xlfn.xlookup(IHD_Calc47[[#This Row],[Shipping]],ShipDays44[Shipping Service],ShipDays44[Ship Days]),0)</f>
        <v>0</v>
      </c>
      <c r="EJ3" s="259"/>
      <c r="EK3" s="259"/>
      <c r="EL3" s="260" t="s">
        <v>213</v>
      </c>
      <c r="EM3" s="10"/>
      <c r="EN3" s="231" t="s">
        <v>214</v>
      </c>
      <c r="EO3" s="234"/>
      <c r="EP3" s="75" t="n">
        <v>0.2</v>
      </c>
      <c r="EQ3" s="75" t="s">
        <v>3</v>
      </c>
      <c r="ER3" s="75" t="s">
        <v>3</v>
      </c>
      <c r="ES3" s="75" t="s">
        <v>3</v>
      </c>
      <c r="ET3" s="75" t="s">
        <v>3</v>
      </c>
      <c r="EU3" s="75" t="s">
        <v>3</v>
      </c>
      <c r="EV3" s="234"/>
      <c r="EW3" s="234"/>
      <c r="EX3" s="234" t="n">
        <v>49</v>
      </c>
      <c r="EZ3" s="10"/>
      <c r="FA3" s="1"/>
    </row>
    <row r="4" customFormat="false" ht="15" hidden="false" customHeight="false" outlineLevel="0" collapsed="false">
      <c r="A4" s="2" t="n">
        <v>2</v>
      </c>
      <c r="B4" s="223" t="n">
        <v>0.05</v>
      </c>
      <c r="C4" s="224" t="n">
        <f aca="false">$C$3*(1-B4)</f>
        <v>46.55</v>
      </c>
      <c r="E4" s="231" t="s">
        <v>163</v>
      </c>
      <c r="F4" s="234" t="s">
        <v>215</v>
      </c>
      <c r="G4" s="233"/>
      <c r="H4" s="233" t="s">
        <v>151</v>
      </c>
      <c r="I4" s="233" t="s">
        <v>216</v>
      </c>
      <c r="J4" s="233"/>
      <c r="K4" s="261" t="str">
        <f aca="false">Collection35[[#This Row],[Collection]]&amp;IF(Collection35[[#This Row],[Price]]="",""," (+"&amp;TEXT(Collection35[[#This Row],[Price]],"$0.00"&amp;")"))</f>
        <v>Tour-Line (+$15.00)</v>
      </c>
      <c r="L4" s="261" t="str">
        <f aca="false">Collection35[[#This Row],[Collection]]&amp;IF(Collection35[[#This Row],[Price]]="",""," (+"&amp;TEXT(Collection35[[#This Row],[Price]],"$0.00"&amp;")"))</f>
        <v>Tour-Line (+$15.00)</v>
      </c>
      <c r="M4" s="261"/>
      <c r="N4" s="261"/>
      <c r="P4" s="231" t="s">
        <v>217</v>
      </c>
      <c r="Q4" s="231" t="str">
        <f aca="false">Collection35[[#This Row],[Collection]]&amp;IF(Collection35[[#This Row],[Price]]="",""," (+"&amp;TEXT(Collection35[[#This Row],[Price]],"$0.00"&amp;")"))</f>
        <v>Tour-Line (+$15.00)</v>
      </c>
      <c r="R4" s="231" t="s">
        <v>218</v>
      </c>
      <c r="S4" s="224" t="n">
        <v>15</v>
      </c>
      <c r="T4" s="224" t="s">
        <v>156</v>
      </c>
      <c r="V4" s="231" t="s">
        <v>219</v>
      </c>
      <c r="W4" s="231" t="n">
        <v>2</v>
      </c>
      <c r="X4" s="231" t="str">
        <f aca="false">Sleeve32[[#This Row],[Sleeve]]&amp;IF(Sleeve32[[#This Row],[Price]]="",""," (+"&amp;TEXT(Sleeve32[[#This Row],[Price]],"$0.00"&amp;")"))</f>
        <v>Sleeveless</v>
      </c>
      <c r="Y4" s="231" t="s">
        <v>220</v>
      </c>
      <c r="Z4" s="224"/>
      <c r="AA4" s="248" t="s">
        <v>155</v>
      </c>
      <c r="AC4" s="2" t="e">
        <v>#NAME?</v>
      </c>
      <c r="AD4" s="2" t="e">
        <v>#NAME?</v>
      </c>
      <c r="AF4" s="231" t="s">
        <v>221</v>
      </c>
      <c r="AG4" s="231"/>
      <c r="AH4" s="231" t="str">
        <f aca="false">Collar19[[#This Row],[Collar]]&amp;IF(Collar19[[#This Row],[Price]]="",""," (+"&amp;TEXT(Collar19[[#This Row],[Price]],"$0.00"&amp;")"))</f>
        <v>Polo (+$10.00)</v>
      </c>
      <c r="AI4" s="236" t="s">
        <v>222</v>
      </c>
      <c r="AJ4" s="262" t="n">
        <v>10</v>
      </c>
      <c r="AK4" s="252" t="s">
        <v>80</v>
      </c>
      <c r="AL4" s="252" t="s">
        <v>155</v>
      </c>
      <c r="AM4" s="252" t="str">
        <f aca="false">Collar19[[#This Row],[Collection]]&amp;Collar19[[#This Row],[Sleeve]]</f>
        <v>PerformanceShort</v>
      </c>
      <c r="AO4" s="2" t="e">
        <v>#NAME?</v>
      </c>
      <c r="AP4" s="2" t="e">
        <v>#NAME?</v>
      </c>
      <c r="AQ4" s="2" t="e">
        <v>#NAME?</v>
      </c>
      <c r="AR4" s="2" t="e">
        <v>#NAME?</v>
      </c>
      <c r="AS4" s="2" t="e">
        <v>#NAME?</v>
      </c>
      <c r="AU4" s="237" t="s">
        <v>223</v>
      </c>
      <c r="AV4" s="231" t="n">
        <v>2</v>
      </c>
      <c r="AW4" s="231" t="str">
        <f aca="false">Size28[[#This Row],[Size]]&amp;IF(Size28[[#This Row],[Price]]="",""," (+"&amp;TEXT(Size28[[#This Row],[Price]],"$0.00")&amp;")")</f>
        <v>Small</v>
      </c>
      <c r="AX4" s="236" t="s">
        <v>197</v>
      </c>
      <c r="AZ4" s="224" t="s">
        <v>76</v>
      </c>
      <c r="BB4" s="224" t="e">
        <v>#NAME?</v>
      </c>
      <c r="BC4" s="224" t="e">
        <v>#NAME?</v>
      </c>
      <c r="BD4" s="224" t="e">
        <v>#NAME?</v>
      </c>
      <c r="BE4" s="224" t="e">
        <v>#NAME?</v>
      </c>
      <c r="BG4" s="237" t="s">
        <v>224</v>
      </c>
      <c r="BH4" s="231" t="str">
        <f aca="false">Length29[[#This Row],[Length]]&amp;IF(Length29[[#This Row],[Price]]="",""," (+"&amp;TEXT(Length29[[#This Row],[Price]],"$0.00"&amp;")"))</f>
        <v>+4 (+$6.00)</v>
      </c>
      <c r="BI4" s="236" t="s">
        <v>224</v>
      </c>
      <c r="BJ4" s="224" t="n">
        <v>6</v>
      </c>
      <c r="BL4" s="231" t="s">
        <v>225</v>
      </c>
      <c r="BM4" s="231" t="n">
        <v>2</v>
      </c>
      <c r="BN4" s="231" t="str">
        <f aca="false">Logos31[[#This Row],[Logos]]&amp;" (FREE)"</f>
        <v>Custom On File (FREE)</v>
      </c>
      <c r="BO4" s="231" t="s">
        <v>225</v>
      </c>
      <c r="BP4" s="224"/>
      <c r="BQ4" s="233"/>
      <c r="BR4" s="233"/>
      <c r="BT4" s="231" t="s">
        <v>226</v>
      </c>
      <c r="BU4" s="231" t="n">
        <v>2</v>
      </c>
      <c r="BV4" s="231" t="str">
        <f aca="false">Chest37[[#This Row],[Logos]]&amp;IF(BZ4="","",IF(Chest37[[#This Row],[Use]]="Flat"," (+"&amp;TEXT(Chest37[[#This Row],[Flat]],"$0.00")&amp;")"," (+"&amp;TEXT(Chest37[[#This Row],[Pct]],"0%")&amp;" of base price)"))</f>
        <v>Genesis (+$15.00)</v>
      </c>
      <c r="BW4" s="253" t="s">
        <v>226</v>
      </c>
      <c r="BX4" s="224"/>
      <c r="BY4" s="233" t="n">
        <v>15</v>
      </c>
      <c r="BZ4" s="231" t="s">
        <v>166</v>
      </c>
      <c r="CB4" s="231" t="s">
        <v>226</v>
      </c>
      <c r="CC4" s="231" t="n">
        <v>2</v>
      </c>
      <c r="CD4" s="231" t="str">
        <f aca="false">LeftSleeve39[[#This Row],[Logos]]&amp;IF(LeftSleeve39[[#This Row],[Use]]="","",IF(LeftSleeve39[[#This Row],[Use]]="Flat"," (+"&amp;TEXT(LeftSleeve39[[#This Row],[Flat]],"$0.00")&amp;")"," (+"&amp;TEXT(LeftSleeve39[[#This Row],[Pct]],"0%")&amp;" of base price)"))</f>
        <v>Genesis (+$15.00)</v>
      </c>
      <c r="CE4" s="253" t="s">
        <v>226</v>
      </c>
      <c r="CF4" s="224"/>
      <c r="CG4" s="233" t="n">
        <v>15</v>
      </c>
      <c r="CH4" s="231" t="s">
        <v>166</v>
      </c>
      <c r="CI4" s="231"/>
      <c r="CJ4" s="231" t="s">
        <v>227</v>
      </c>
      <c r="CK4" s="231" t="n">
        <v>2</v>
      </c>
      <c r="CL4" s="231" t="str">
        <f aca="false">RightSleeve48[[#This Row],[Logos]]</f>
        <v>PBA50</v>
      </c>
      <c r="CM4" s="231" t="s">
        <v>227</v>
      </c>
      <c r="CN4" s="233"/>
      <c r="CO4" s="233"/>
      <c r="CP4" s="231"/>
      <c r="CQ4" s="231"/>
      <c r="CU4" s="231" t="s">
        <v>84</v>
      </c>
      <c r="CW4" s="231" t="s">
        <v>228</v>
      </c>
      <c r="CY4" s="231" t="s">
        <v>229</v>
      </c>
      <c r="CZ4" s="231" t="s">
        <v>230</v>
      </c>
      <c r="DC4" s="231" t="s">
        <v>231</v>
      </c>
      <c r="DD4" s="231" t="str">
        <f aca="false">ProductionPriority36[[#This Row],[Production]]&amp;IF(ProductionPriority36[[#This Row],[Price]]="",""," +"&amp;TEXT(ProductionPriority36[[#This Row],[Price]],"00%"))</f>
        <v>Express (approx 2 weeks) +25%</v>
      </c>
      <c r="DE4" s="263" t="n">
        <v>0.25</v>
      </c>
      <c r="DF4" s="263" t="n">
        <v>0</v>
      </c>
      <c r="DG4" s="224" t="n">
        <v>25</v>
      </c>
      <c r="DH4" s="223" t="n">
        <f aca="false">IF(_xlfn.xlookup(CustGroup,CustomerGroup40[Customer Groups],CustomerGroup40[Free Express Production])="Yes",ProductionPriority36[[#This Row],[Upgrade]],ProductionPriority36[[#This Row],[Price]])</f>
        <v>0.25</v>
      </c>
      <c r="DI4" s="224" t="n">
        <f aca="false">ROUNDUP(IF(ProductionPriority36[[#This Row],[Actual]]&gt;0,MAX(ProductionPriority36[[#This Row],[Minimum]],BOD_Subtotal*ProductionPriority36[[#This Row],[Actual]]),0),2)</f>
        <v>81.38</v>
      </c>
      <c r="DJ4" s="234"/>
      <c r="DK4" s="239" t="s">
        <v>232</v>
      </c>
      <c r="DL4" s="254" t="n">
        <f aca="false">MAX(Summary!$D$23*SUMIF(ProductionPriority36[Display],PriorityProduction42[[#This Row],[Priority Production]],ProductionPriority36[Price]),35)</f>
        <v>113.925</v>
      </c>
      <c r="DM4" s="224" t="n">
        <f aca="false">DL4-DL3</f>
        <v>32.55</v>
      </c>
      <c r="DN4" s="2" t="n">
        <v>2</v>
      </c>
      <c r="DP4" s="231" t="s">
        <v>3</v>
      </c>
      <c r="DR4" s="75" t="n">
        <v>2</v>
      </c>
      <c r="DS4" s="231" t="s">
        <v>233</v>
      </c>
      <c r="DU4" s="75" t="n">
        <v>2</v>
      </c>
      <c r="DV4" s="231" t="s">
        <v>234</v>
      </c>
      <c r="DX4" s="264" t="n">
        <v>45624</v>
      </c>
      <c r="DY4" s="231" t="s">
        <v>235</v>
      </c>
      <c r="EB4" s="256" t="n">
        <f aca="true">INT(NOW()+1)</f>
        <v>46107</v>
      </c>
      <c r="EC4" s="257" t="n">
        <f aca="false">(7-WEEKDAY(IHD_Calc47[[#This Row],[Order Date]],15))</f>
        <v>0</v>
      </c>
      <c r="ED4" s="256" t="n">
        <f aca="false">IHD_Calc47[[#This Row],[Order Date]]+(7-WEEKDAY(IHD_Calc47[[#This Row],[Order Date]],15))+IF(IHD_Calc47[[#This Row],[Days]]&lt;3,7,0)</f>
        <v>46114</v>
      </c>
      <c r="EE4" s="256" t="n">
        <f aca="false">IHD_Calc47[[#This Row],[Approval Date]]-5</f>
        <v>46109</v>
      </c>
      <c r="EF4" s="258" t="s">
        <v>232</v>
      </c>
      <c r="EG4" s="256" t="n">
        <f aca="false">IFERROR(IHD_Calc47[[#This Row],[Approval Date]]+VLOOKUP(IHD_Calc47[[#This Row],[Production Priority]],PriorityProduction42[],4),"")</f>
        <v>46116</v>
      </c>
      <c r="EH4" s="256" t="n">
        <f aca="false">IFERROR(IHD_Calc47[[#This Row],[In Transit]]+3,"")</f>
        <v>46119</v>
      </c>
      <c r="EI4" s="228" t="n">
        <f aca="false">IFERROR(IHD_Calc47[[#This Row],[Est Ship Date]]+_xlfn.xlookup(IHD_Calc47[[#This Row],[Shipping]],ShipDays44[Shipping Service],ShipDays44[Ship Days]),0)</f>
        <v>0</v>
      </c>
      <c r="EJ4" s="259" t="s">
        <v>212</v>
      </c>
      <c r="EK4" s="259" t="s">
        <v>236</v>
      </c>
      <c r="EL4" s="260" t="str">
        <f aca="false">"To meet your in hand date it may require "&amp;IHD_Calc47[[#This Row],[Production]]&amp;" production and UPS "&amp;UPPER(IHD_Calc47[[#This Row],[Shipping]])&amp;" delivery service."</f>
        <v>To meet your in hand date it may require PRIORITY production and UPS OVERNIGHT delivery service.</v>
      </c>
      <c r="EM4" s="259"/>
      <c r="EN4" s="231" t="s">
        <v>237</v>
      </c>
      <c r="EO4" s="234" t="n">
        <v>0.35</v>
      </c>
      <c r="EQ4" s="75" t="s">
        <v>3</v>
      </c>
      <c r="ER4" s="75" t="s">
        <v>3</v>
      </c>
      <c r="ES4" s="75" t="s">
        <v>3</v>
      </c>
      <c r="ET4" s="75" t="s">
        <v>3</v>
      </c>
      <c r="EU4" s="75" t="s">
        <v>175</v>
      </c>
      <c r="EV4" s="234"/>
      <c r="EW4" s="234" t="n">
        <v>250</v>
      </c>
      <c r="EX4" s="234" t="n">
        <v>49</v>
      </c>
      <c r="EZ4" s="259"/>
      <c r="FA4" s="1"/>
    </row>
    <row r="5" customFormat="false" ht="14.25" hidden="false" customHeight="false" outlineLevel="0" collapsed="false">
      <c r="A5" s="2" t="n">
        <v>4</v>
      </c>
      <c r="B5" s="223" t="n">
        <v>0.1</v>
      </c>
      <c r="C5" s="224" t="n">
        <f aca="false">$C$3*(1-B5)</f>
        <v>44.1</v>
      </c>
      <c r="E5" s="231" t="s">
        <v>152</v>
      </c>
      <c r="F5" s="234" t="s">
        <v>238</v>
      </c>
      <c r="G5" s="233"/>
      <c r="H5" s="233" t="s">
        <v>152</v>
      </c>
      <c r="I5" s="233" t="s">
        <v>239</v>
      </c>
      <c r="J5" s="233"/>
      <c r="K5" s="233"/>
      <c r="L5" s="233"/>
      <c r="M5" s="233"/>
      <c r="N5" s="233"/>
      <c r="V5" s="231" t="s">
        <v>240</v>
      </c>
      <c r="W5" s="231" t="n">
        <v>3</v>
      </c>
      <c r="X5" s="231" t="str">
        <f aca="false">Sleeve32[[#This Row],[Sleeve]]&amp;IF(Sleeve32[[#This Row],[Price]]="",""," (+"&amp;TEXT(Sleeve32[[#This Row],[Price]],"$0.00"&amp;")"))</f>
        <v>Long (+$10.00)</v>
      </c>
      <c r="Y5" s="231" t="s">
        <v>241</v>
      </c>
      <c r="Z5" s="224" t="n">
        <v>10</v>
      </c>
      <c r="AA5" s="248" t="s">
        <v>155</v>
      </c>
      <c r="AC5" s="2" t="e">
        <v>#NAME?</v>
      </c>
      <c r="AF5" s="249" t="s">
        <v>242</v>
      </c>
      <c r="AG5" s="249"/>
      <c r="AH5" s="231" t="str">
        <f aca="false">Collar19[[#This Row],[Collar]]&amp;IF(Collar19[[#This Row],[Price]]="",""," (+"&amp;TEXT(Collar19[[#This Row],[Price]],"$0.00"&amp;")"))</f>
        <v>V-Neck</v>
      </c>
      <c r="AI5" s="250" t="s">
        <v>243</v>
      </c>
      <c r="AJ5" s="251"/>
      <c r="AK5" s="247" t="s">
        <v>80</v>
      </c>
      <c r="AL5" s="252" t="s">
        <v>155</v>
      </c>
      <c r="AM5" s="247" t="str">
        <f aca="false">Collar19[[#This Row],[Collection]]&amp;Collar19[[#This Row],[Sleeve]]</f>
        <v>PerformanceShort</v>
      </c>
      <c r="AO5" s="2" t="e">
        <v>#NAME?</v>
      </c>
      <c r="AP5" s="2" t="e">
        <v>#NAME?</v>
      </c>
      <c r="AQ5" s="2" t="e">
        <v>#NAME?</v>
      </c>
      <c r="AR5" s="2" t="e">
        <v>#NAME?</v>
      </c>
      <c r="AS5" s="2" t="e">
        <v>#NAME?</v>
      </c>
      <c r="AU5" s="237" t="s">
        <v>244</v>
      </c>
      <c r="AV5" s="231" t="n">
        <v>3</v>
      </c>
      <c r="AW5" s="231" t="str">
        <f aca="false">Size28[[#This Row],[Size]]&amp;IF(Size28[[#This Row],[Price]]="",""," (+"&amp;TEXT(Size28[[#This Row],[Price]],"$0.00")&amp;")")</f>
        <v>Medium</v>
      </c>
      <c r="AX5" s="236" t="s">
        <v>194</v>
      </c>
      <c r="AZ5" s="224" t="s">
        <v>76</v>
      </c>
      <c r="BB5" s="224" t="e">
        <v>#NAME?</v>
      </c>
      <c r="BC5" s="224" t="e">
        <v>#NAME?</v>
      </c>
      <c r="BD5" s="224" t="e">
        <v>#NAME?</v>
      </c>
      <c r="BE5" s="224" t="e">
        <v>#NAME?</v>
      </c>
      <c r="BG5" s="237" t="s">
        <v>245</v>
      </c>
      <c r="BH5" s="231" t="str">
        <f aca="false">Length29[[#This Row],[Length]]&amp;IF(Length29[[#This Row],[Price]]="",""," (+"&amp;TEXT(Length29[[#This Row],[Price]],"$0.00"&amp;")"))</f>
        <v>+6 (+$9.00)</v>
      </c>
      <c r="BI5" s="236" t="s">
        <v>245</v>
      </c>
      <c r="BJ5" s="224" t="n">
        <v>9</v>
      </c>
      <c r="BL5" s="231" t="s">
        <v>246</v>
      </c>
      <c r="BM5" s="231" t="n">
        <v>3</v>
      </c>
      <c r="BN5" s="231" t="str">
        <f aca="false">Logos31[[#This Row],[Logos]]&amp;IF(Logos31[[#This Row],[Use]]="Flat"," (+"&amp;TEXT(Logos31[[#This Row],[Flat]],"$0.00")&amp;")"," (+"&amp;TEXT(Logos31[[#This Row],[Pct]],"0%")&amp;" of base price)")</f>
        <v>900 Global (+$5.00)</v>
      </c>
      <c r="BO5" s="231" t="s">
        <v>247</v>
      </c>
      <c r="BP5" s="223" t="n">
        <v>0.1</v>
      </c>
      <c r="BQ5" s="265" t="n">
        <v>5</v>
      </c>
      <c r="BR5" s="232" t="s">
        <v>166</v>
      </c>
      <c r="BT5" s="231" t="s">
        <v>248</v>
      </c>
      <c r="BU5" s="231" t="n">
        <v>3</v>
      </c>
      <c r="BV5" s="231" t="str">
        <f aca="false">Chest37[[#This Row],[Logos]]&amp;IF(BZ5="","",IF(Chest37[[#This Row],[Use]]="Flat"," (+"&amp;TEXT(Chest37[[#This Row],[Flat]],"$0.00")&amp;")"," (+"&amp;TEXT(Chest37[[#This Row],[Pct]],"0%")&amp;" of base price)"))</f>
        <v>Master (+$5.00)</v>
      </c>
      <c r="BW5" s="253" t="s">
        <v>248</v>
      </c>
      <c r="BX5" s="224"/>
      <c r="BY5" s="233" t="n">
        <v>5</v>
      </c>
      <c r="BZ5" s="231" t="s">
        <v>166</v>
      </c>
      <c r="CB5" s="231" t="s">
        <v>248</v>
      </c>
      <c r="CC5" s="231" t="n">
        <v>3</v>
      </c>
      <c r="CD5" s="231" t="str">
        <f aca="false">LeftSleeve39[[#This Row],[Logos]]&amp;IF(LeftSleeve39[[#This Row],[Use]]="","",IF(LeftSleeve39[[#This Row],[Use]]="Flat"," (+"&amp;TEXT(LeftSleeve39[[#This Row],[Flat]],"$0.00")&amp;")"," (+"&amp;TEXT(LeftSleeve39[[#This Row],[Pct]],"0%")&amp;" of base price)"))</f>
        <v>Master (+$5.00)</v>
      </c>
      <c r="CE5" s="253" t="s">
        <v>248</v>
      </c>
      <c r="CF5" s="224"/>
      <c r="CG5" s="233" t="n">
        <v>5</v>
      </c>
      <c r="CH5" s="231" t="s">
        <v>166</v>
      </c>
      <c r="CI5" s="231"/>
      <c r="CJ5" s="231" t="s">
        <v>249</v>
      </c>
      <c r="CK5" s="231"/>
      <c r="CL5" s="231" t="str">
        <f aca="false">RightSleeve48[[#This Row],[Logos]]</f>
        <v>PBA Jr</v>
      </c>
      <c r="CM5" s="231" t="s">
        <v>250</v>
      </c>
      <c r="CN5" s="233"/>
      <c r="CO5" s="233"/>
      <c r="CP5" s="231"/>
      <c r="CQ5" s="231"/>
      <c r="CY5" s="231" t="s">
        <v>251</v>
      </c>
      <c r="CZ5" s="231" t="s">
        <v>252</v>
      </c>
      <c r="DC5" s="231" t="s">
        <v>253</v>
      </c>
      <c r="DD5" s="231" t="str">
        <f aca="false">ProductionPriority36[[#This Row],[Production]]&amp;IF(ProductionPriority36[[#This Row],[Price]]="",""," +"&amp;TEXT(ProductionPriority36[[#This Row],[Price]],"00%"))</f>
        <v>Priority (approx 1 week) +35%</v>
      </c>
      <c r="DE5" s="266" t="n">
        <v>0.35</v>
      </c>
      <c r="DF5" s="266" t="n">
        <v>0.1</v>
      </c>
      <c r="DG5" s="224" t="n">
        <v>35</v>
      </c>
      <c r="DH5" s="223" t="n">
        <f aca="false">IF(_xlfn.xlookup(CustGroup,CustomerGroup40[Customer Groups],CustomerGroup40[Free Express Production])="Yes",ProductionPriority36[[#This Row],[Upgrade]],ProductionPriority36[[#This Row],[Price]])</f>
        <v>0.35</v>
      </c>
      <c r="DI5" s="224" t="n">
        <f aca="false">ROUNDUP(IF(ProductionPriority36[[#This Row],[Actual]]&gt;0,MAX(ProductionPriority36[[#This Row],[Minimum]],BOD_Subtotal*ProductionPriority36[[#This Row],[Actual]]),0),2)</f>
        <v>113.93</v>
      </c>
      <c r="DJ5" s="234"/>
      <c r="DK5" s="239" t="s">
        <v>35</v>
      </c>
      <c r="DL5" s="254" t="n">
        <v>0</v>
      </c>
      <c r="DM5" s="224" t="n">
        <v>0</v>
      </c>
      <c r="DN5" s="2" t="n">
        <v>16</v>
      </c>
      <c r="DR5" s="75" t="n">
        <v>3</v>
      </c>
      <c r="DS5" s="231" t="s">
        <v>254</v>
      </c>
      <c r="DU5" s="75" t="n">
        <v>3</v>
      </c>
      <c r="DV5" s="231" t="s">
        <v>255</v>
      </c>
      <c r="DX5" s="264" t="n">
        <v>45651</v>
      </c>
      <c r="DY5" s="231" t="s">
        <v>256</v>
      </c>
      <c r="EB5" s="256" t="n">
        <f aca="true">INT(NOW()+1)</f>
        <v>46107</v>
      </c>
      <c r="EC5" s="257" t="n">
        <f aca="false">(7-WEEKDAY(IHD_Calc47[[#This Row],[Order Date]],15))</f>
        <v>0</v>
      </c>
      <c r="ED5" s="256" t="n">
        <f aca="false">IHD_Calc47[[#This Row],[Order Date]]+(7-WEEKDAY(IHD_Calc47[[#This Row],[Order Date]],15))+IF(IHD_Calc47[[#This Row],[Days]]&lt;3,7,0)</f>
        <v>46114</v>
      </c>
      <c r="EE5" s="256" t="n">
        <f aca="false">IHD_Calc47[[#This Row],[Approval Date]]-5</f>
        <v>46109</v>
      </c>
      <c r="EF5" s="258" t="s">
        <v>232</v>
      </c>
      <c r="EG5" s="256" t="n">
        <f aca="false">IFERROR(IHD_Calc47[[#This Row],[Approval Date]]+VLOOKUP(IHD_Calc47[[#This Row],[Production Priority]],PriorityProduction42[],4),"")</f>
        <v>46116</v>
      </c>
      <c r="EH5" s="256" t="n">
        <f aca="false">IFERROR(IHD_Calc47[[#This Row],[In Transit]]+3,"")</f>
        <v>46119</v>
      </c>
      <c r="EI5" s="228" t="n">
        <f aca="false">IFERROR(IHD_Calc47[[#This Row],[Est Ship Date]]+_xlfn.xlookup(IHD_Calc47[[#This Row],[Shipping]],ShipDays44[Shipping Service],ShipDays44[Ship Days]),0)</f>
        <v>0</v>
      </c>
      <c r="EJ5" s="259" t="s">
        <v>234</v>
      </c>
      <c r="EK5" s="259" t="s">
        <v>236</v>
      </c>
      <c r="EL5" s="260" t="str">
        <f aca="false">"To meet your in hand date it may require "&amp;IHD_Calc47[[#This Row],[Production]]&amp;" production and UPS "&amp;UPPER(IHD_Calc47[[#This Row],[Shipping]])&amp;" delivery service."</f>
        <v>To meet your in hand date it may require PRIORITY production and UPS TWO DAY delivery service.</v>
      </c>
      <c r="EM5" s="256"/>
      <c r="EN5" s="231" t="s">
        <v>257</v>
      </c>
      <c r="EP5" s="234" t="n">
        <v>0.3</v>
      </c>
      <c r="EQ5" s="75" t="s">
        <v>3</v>
      </c>
      <c r="ER5" s="75" t="s">
        <v>3</v>
      </c>
      <c r="ES5" s="75" t="s">
        <v>3</v>
      </c>
      <c r="ET5" s="75" t="s">
        <v>3</v>
      </c>
      <c r="EU5" s="75" t="s">
        <v>3</v>
      </c>
      <c r="EV5" s="234"/>
      <c r="EW5" s="234"/>
      <c r="EX5" s="234" t="n">
        <v>49</v>
      </c>
      <c r="EZ5" s="256"/>
      <c r="FA5" s="1"/>
    </row>
    <row r="6" customFormat="false" ht="14.25" hidden="false" customHeight="false" outlineLevel="0" collapsed="false">
      <c r="A6" s="2" t="n">
        <v>25</v>
      </c>
      <c r="B6" s="223" t="n">
        <v>0.15</v>
      </c>
      <c r="C6" s="224" t="n">
        <f aca="false">$C$3*(1-B6)</f>
        <v>41.65</v>
      </c>
      <c r="E6" s="231" t="s">
        <v>153</v>
      </c>
      <c r="F6" s="234" t="s">
        <v>258</v>
      </c>
      <c r="G6" s="233"/>
      <c r="H6" s="233" t="s">
        <v>153</v>
      </c>
      <c r="I6" s="233" t="s">
        <v>259</v>
      </c>
      <c r="J6" s="233"/>
      <c r="K6" s="233"/>
      <c r="L6" s="233"/>
      <c r="M6" s="233"/>
      <c r="N6" s="233"/>
      <c r="V6" s="231" t="s">
        <v>80</v>
      </c>
      <c r="W6" s="231"/>
      <c r="X6" s="231" t="str">
        <f aca="false">Sleeve32[[#This Row],[Sleeve]]&amp;IF(Sleeve32[[#This Row],[Price]]="",""," (+"&amp;TEXT(Sleeve32[[#This Row],[Price]],"$0.00"&amp;")"))</f>
        <v>Short</v>
      </c>
      <c r="Y6" s="231" t="s">
        <v>197</v>
      </c>
      <c r="Z6" s="224"/>
      <c r="AA6" s="267" t="s">
        <v>156</v>
      </c>
      <c r="AF6" s="231" t="s">
        <v>260</v>
      </c>
      <c r="AG6" s="231"/>
      <c r="AH6" s="231" t="str">
        <f aca="false">Collar19[[#This Row],[Collar]]&amp;IF(Collar19[[#This Row],[Price]]="",""," (+"&amp;TEXT(Collar19[[#This Row],[Price]],"$0.00"&amp;")"))</f>
        <v>Crew</v>
      </c>
      <c r="AI6" s="236" t="s">
        <v>261</v>
      </c>
      <c r="AJ6" s="262"/>
      <c r="AK6" s="252" t="s">
        <v>80</v>
      </c>
      <c r="AL6" s="252" t="s">
        <v>155</v>
      </c>
      <c r="AM6" s="252" t="str">
        <f aca="false">Collar19[[#This Row],[Collection]]&amp;Collar19[[#This Row],[Sleeve]]</f>
        <v>PerformanceShort</v>
      </c>
      <c r="AO6" s="2" t="e">
        <v>#NAME?</v>
      </c>
      <c r="AP6" s="2" t="e">
        <v>#NAME?</v>
      </c>
      <c r="AQ6" s="2" t="e">
        <v>#NAME?</v>
      </c>
      <c r="AR6" s="2" t="e">
        <v>#NAME?</v>
      </c>
      <c r="AS6" s="2" t="e">
        <v>#NAME?</v>
      </c>
      <c r="AU6" s="237" t="s">
        <v>77</v>
      </c>
      <c r="AV6" s="231" t="n">
        <v>4</v>
      </c>
      <c r="AW6" s="231" t="str">
        <f aca="false">Size28[[#This Row],[Size]]&amp;IF(Size28[[#This Row],[Price]]="",""," (+"&amp;TEXT(Size28[[#This Row],[Price]],"$0.00")&amp;")")</f>
        <v>Large</v>
      </c>
      <c r="AX6" s="236" t="s">
        <v>241</v>
      </c>
      <c r="AZ6" s="224" t="s">
        <v>76</v>
      </c>
      <c r="BB6" s="224" t="e">
        <v>#NAME?</v>
      </c>
      <c r="BC6" s="224" t="e">
        <v>#NAME?</v>
      </c>
      <c r="BD6" s="224" t="e">
        <v>#NAME?</v>
      </c>
      <c r="BE6" s="224" t="e">
        <v>#NAME?</v>
      </c>
      <c r="BL6" s="231" t="s">
        <v>262</v>
      </c>
      <c r="BM6" s="231" t="n">
        <v>4</v>
      </c>
      <c r="BN6" s="231" t="str">
        <f aca="false">Logos31[[#This Row],[Logos]]&amp;IF(Logos31[[#This Row],[Use]]="Flat"," (+"&amp;TEXT(Logos31[[#This Row],[Flat]],"$0.00")&amp;")"," (+"&amp;TEXT(Logos31[[#This Row],[Pct]],"0%")&amp;" of base price)")</f>
        <v>Brunswick (+$5.00)</v>
      </c>
      <c r="BO6" s="231" t="s">
        <v>262</v>
      </c>
      <c r="BP6" s="223" t="n">
        <v>0.1</v>
      </c>
      <c r="BQ6" s="265" t="n">
        <v>5</v>
      </c>
      <c r="BR6" s="232" t="s">
        <v>166</v>
      </c>
      <c r="BT6" s="231" t="s">
        <v>263</v>
      </c>
      <c r="BU6" s="231" t="n">
        <v>4</v>
      </c>
      <c r="BV6" s="231" t="str">
        <f aca="false">Chest37[[#This Row],[Logos]]&amp;IF(BZ6="","",IF(Chest37[[#This Row],[Use]]="Flat"," (+"&amp;TEXT(Chest37[[#This Row],[Flat]],"$0.00")&amp;")"," (+"&amp;TEXT(Chest37[[#This Row],[Pct]],"0%")&amp;" of base price)"))</f>
        <v>Mongoose</v>
      </c>
      <c r="BW6" s="253" t="s">
        <v>263</v>
      </c>
      <c r="BX6" s="224"/>
      <c r="BY6" s="233"/>
      <c r="BZ6" s="231"/>
      <c r="CB6" s="231" t="s">
        <v>263</v>
      </c>
      <c r="CC6" s="231" t="n">
        <v>4</v>
      </c>
      <c r="CD6" s="231" t="str">
        <f aca="false">LeftSleeve39[[#This Row],[Logos]]&amp;IF(LeftSleeve39[[#This Row],[Use]]="","",IF(LeftSleeve39[[#This Row],[Use]]="Flat"," (+"&amp;TEXT(LeftSleeve39[[#This Row],[Flat]],"$0.00")&amp;")"," (+"&amp;TEXT(LeftSleeve39[[#This Row],[Pct]],"0%")&amp;" of base price)"))</f>
        <v>Mongoose</v>
      </c>
      <c r="CE6" s="253" t="s">
        <v>263</v>
      </c>
      <c r="CF6" s="224"/>
      <c r="CG6" s="233"/>
      <c r="CH6" s="231"/>
      <c r="CI6" s="231"/>
      <c r="CJ6" s="231" t="s">
        <v>264</v>
      </c>
      <c r="CK6" s="231" t="n">
        <v>3</v>
      </c>
      <c r="CL6" s="231" t="str">
        <f aca="false">RightSleeve48[[#This Row],[Logos]]</f>
        <v>PWBA</v>
      </c>
      <c r="CM6" s="231" t="s">
        <v>264</v>
      </c>
      <c r="CN6" s="233"/>
      <c r="CO6" s="233"/>
      <c r="CP6" s="231"/>
      <c r="CQ6" s="231"/>
      <c r="CY6" s="231" t="s">
        <v>85</v>
      </c>
      <c r="CZ6" s="231" t="s">
        <v>265</v>
      </c>
      <c r="DR6" s="75" t="n">
        <v>4</v>
      </c>
      <c r="DS6" s="231" t="s">
        <v>266</v>
      </c>
      <c r="DU6" s="75" t="n">
        <v>10</v>
      </c>
      <c r="DV6" s="231" t="s">
        <v>267</v>
      </c>
      <c r="DX6" s="264" t="n">
        <v>45658</v>
      </c>
      <c r="DY6" s="231" t="s">
        <v>268</v>
      </c>
      <c r="EB6" s="256" t="n">
        <f aca="true">INT(NOW()+1)</f>
        <v>46107</v>
      </c>
      <c r="EC6" s="257" t="n">
        <f aca="false">(7-WEEKDAY(IHD_Calc47[[#This Row],[Order Date]],15))</f>
        <v>0</v>
      </c>
      <c r="ED6" s="256" t="n">
        <f aca="false">IHD_Calc47[[#This Row],[Order Date]]+(7-WEEKDAY(IHD_Calc47[[#This Row],[Order Date]],15))+IF(IHD_Calc47[[#This Row],[Days]]&lt;3,7,0)</f>
        <v>46114</v>
      </c>
      <c r="EE6" s="256" t="n">
        <f aca="false">IHD_Calc47[[#This Row],[Approval Date]]-5</f>
        <v>46109</v>
      </c>
      <c r="EF6" s="258" t="s">
        <v>232</v>
      </c>
      <c r="EG6" s="256" t="n">
        <f aca="false">IFERROR(IHD_Calc47[[#This Row],[Approval Date]]+VLOOKUP(IHD_Calc47[[#This Row],[Production Priority]],PriorityProduction42[],4),"")</f>
        <v>46116</v>
      </c>
      <c r="EH6" s="256" t="n">
        <f aca="false">IFERROR(IHD_Calc47[[#This Row],[In Transit]]+3,"")</f>
        <v>46119</v>
      </c>
      <c r="EI6" s="228" t="n">
        <f aca="false">IFERROR(IHD_Calc47[[#This Row],[Est Ship Date]]+_xlfn.xlookup(IHD_Calc47[[#This Row],[Shipping]],ShipDays44[Shipping Service],ShipDays44[Ship Days]),0)</f>
        <v>0</v>
      </c>
      <c r="EJ6" s="259" t="s">
        <v>255</v>
      </c>
      <c r="EK6" s="259" t="s">
        <v>236</v>
      </c>
      <c r="EL6" s="260" t="str">
        <f aca="false">"To meet your in hand date it may require "&amp;IHD_Calc47[[#This Row],[Production]]&amp;" production and UPS "&amp;UPPER(IHD_Calc47[[#This Row],[Shipping]])&amp;" delivery service."</f>
        <v>To meet your in hand date it may require PRIORITY production and UPS 3-DAY SELECT delivery service.</v>
      </c>
      <c r="EM6" s="256"/>
      <c r="EN6" s="231" t="s">
        <v>269</v>
      </c>
      <c r="EO6" s="75" t="n">
        <v>0.4</v>
      </c>
      <c r="EQ6" s="75" t="s">
        <v>3</v>
      </c>
      <c r="ER6" s="75" t="s">
        <v>3</v>
      </c>
      <c r="ES6" s="75" t="s">
        <v>3</v>
      </c>
      <c r="ET6" s="75" t="s">
        <v>3</v>
      </c>
      <c r="EU6" s="75" t="s">
        <v>175</v>
      </c>
      <c r="EV6" s="234"/>
      <c r="EW6" s="234" t="n">
        <v>250</v>
      </c>
      <c r="EX6" s="234" t="n">
        <v>49</v>
      </c>
      <c r="EZ6" s="256"/>
      <c r="FA6" s="1"/>
    </row>
    <row r="7" customFormat="false" ht="14.25" hidden="false" customHeight="false" outlineLevel="0" collapsed="false">
      <c r="A7" s="2" t="n">
        <v>100</v>
      </c>
      <c r="B7" s="223" t="n">
        <v>0.2</v>
      </c>
      <c r="C7" s="224" t="n">
        <f aca="false">$C$3*(1-B7)</f>
        <v>39.2</v>
      </c>
      <c r="V7" s="231" t="s">
        <v>240</v>
      </c>
      <c r="W7" s="231"/>
      <c r="X7" s="231" t="str">
        <f aca="false">Sleeve32[[#This Row],[Sleeve]]&amp;IF(Sleeve32[[#This Row],[Price]]="",""," (+"&amp;TEXT(Sleeve32[[#This Row],[Price]],"$0.00"&amp;")"))</f>
        <v>Long (+$10.00)</v>
      </c>
      <c r="Y7" s="231" t="s">
        <v>241</v>
      </c>
      <c r="Z7" s="224" t="n">
        <v>10</v>
      </c>
      <c r="AA7" s="267" t="s">
        <v>156</v>
      </c>
      <c r="AF7" s="249" t="s">
        <v>270</v>
      </c>
      <c r="AG7" s="249"/>
      <c r="AH7" s="231" t="str">
        <f aca="false">Collar19[[#This Row],[Collar]]&amp;IF(Collar19[[#This Row],[Price]]="",""," (+"&amp;TEXT(Collar19[[#This Row],[Price]],"$0.00"&amp;")"))</f>
        <v>1/4 Zip Blade (+$10.00)</v>
      </c>
      <c r="AI7" s="250" t="s">
        <v>271</v>
      </c>
      <c r="AJ7" s="251" t="n">
        <v>10</v>
      </c>
      <c r="AK7" s="247" t="s">
        <v>80</v>
      </c>
      <c r="AL7" s="252" t="s">
        <v>155</v>
      </c>
      <c r="AM7" s="247" t="str">
        <f aca="false">Collar19[[#This Row],[Collection]]&amp;Collar19[[#This Row],[Sleeve]]</f>
        <v>PerformanceShort</v>
      </c>
      <c r="AO7" s="2" t="e">
        <v>#NAME?</v>
      </c>
      <c r="AP7" s="2" t="e">
        <v>#NAME?</v>
      </c>
      <c r="AQ7" s="2" t="e">
        <v>#NAME?</v>
      </c>
      <c r="AR7" s="2" t="e">
        <v>#NAME?</v>
      </c>
      <c r="AS7" s="2" t="e">
        <v>#NAME?</v>
      </c>
      <c r="AU7" s="237" t="s">
        <v>272</v>
      </c>
      <c r="AV7" s="231" t="n">
        <v>5</v>
      </c>
      <c r="AW7" s="231" t="str">
        <f aca="false">Size28[[#This Row],[Size]]&amp;IF(Size28[[#This Row],[Price]]="",""," (+"&amp;TEXT(Size28[[#This Row],[Price]],"$0.00")&amp;")")</f>
        <v>X-Large</v>
      </c>
      <c r="AX7" s="236" t="s">
        <v>116</v>
      </c>
      <c r="AZ7" s="224" t="s">
        <v>76</v>
      </c>
      <c r="BB7" s="224" t="e">
        <v>#NAME?</v>
      </c>
      <c r="BC7" s="224" t="e">
        <v>#NAME?</v>
      </c>
      <c r="BD7" s="224" t="e">
        <v>#NAME?</v>
      </c>
      <c r="BL7" s="231" t="s">
        <v>273</v>
      </c>
      <c r="BM7" s="231" t="n">
        <v>5</v>
      </c>
      <c r="BN7" s="231" t="str">
        <f aca="false">Logos31[[#This Row],[Logos]]&amp;IF(Logos31[[#This Row],[Use]]="Flat"," (+"&amp;TEXT(Logos31[[#This Row],[Flat]],"$0.00")&amp;")"," (+"&amp;TEXT(Logos31[[#This Row],[Pct]],"0%")&amp;" of base price)")</f>
        <v>Columbia (+$5.00)</v>
      </c>
      <c r="BO7" s="231" t="s">
        <v>273</v>
      </c>
      <c r="BP7" s="223" t="n">
        <v>0.1</v>
      </c>
      <c r="BQ7" s="265" t="n">
        <v>5</v>
      </c>
      <c r="BR7" s="232" t="s">
        <v>166</v>
      </c>
      <c r="BT7" s="231" t="s">
        <v>274</v>
      </c>
      <c r="BU7" s="231" t="n">
        <v>5</v>
      </c>
      <c r="BV7" s="231" t="str">
        <f aca="false">Chest37[[#This Row],[Logos]]&amp;IF(BZ7="","",IF(Chest37[[#This Row],[Use]]="Flat"," (+"&amp;TEXT(Chest37[[#This Row],[Flat]],"$0.00")&amp;")"," (+"&amp;TEXT(Chest37[[#This Row],[Pct]],"0%")&amp;" of base price)"))</f>
        <v>Powerhouse (+$5.00)</v>
      </c>
      <c r="BW7" s="253" t="s">
        <v>274</v>
      </c>
      <c r="BX7" s="224"/>
      <c r="BY7" s="233" t="n">
        <v>5</v>
      </c>
      <c r="BZ7" s="231" t="s">
        <v>166</v>
      </c>
      <c r="CB7" s="231" t="s">
        <v>274</v>
      </c>
      <c r="CC7" s="231" t="n">
        <v>5</v>
      </c>
      <c r="CD7" s="231" t="str">
        <f aca="false">LeftSleeve39[[#This Row],[Logos]]&amp;IF(LeftSleeve39[[#This Row],[Use]]="","",IF(LeftSleeve39[[#This Row],[Use]]="Flat"," (+"&amp;TEXT(LeftSleeve39[[#This Row],[Flat]],"$0.00")&amp;")"," (+"&amp;TEXT(LeftSleeve39[[#This Row],[Pct]],"0%")&amp;" of base price)"))</f>
        <v>Powerhouse (+$5.00)</v>
      </c>
      <c r="CE7" s="253" t="s">
        <v>274</v>
      </c>
      <c r="CF7" s="224"/>
      <c r="CG7" s="233" t="n">
        <v>5</v>
      </c>
      <c r="CH7" s="231" t="s">
        <v>166</v>
      </c>
      <c r="CI7" s="231"/>
      <c r="CJ7" s="231" t="s">
        <v>275</v>
      </c>
      <c r="CK7" s="231"/>
      <c r="CL7" s="231" t="str">
        <f aca="false">RightSleeve48[[#This Row],[Logos]]</f>
        <v>9-Tap</v>
      </c>
      <c r="CM7" s="231" t="s">
        <v>276</v>
      </c>
      <c r="CN7" s="231"/>
      <c r="CO7" s="231"/>
      <c r="CP7" s="231"/>
      <c r="CQ7" s="231"/>
      <c r="CY7" s="231" t="s">
        <v>277</v>
      </c>
      <c r="CZ7" s="231" t="s">
        <v>278</v>
      </c>
      <c r="DR7" s="75" t="n">
        <v>5</v>
      </c>
      <c r="DS7" s="231" t="s">
        <v>279</v>
      </c>
      <c r="DX7" s="264" t="n">
        <v>45803</v>
      </c>
      <c r="DY7" s="231" t="s">
        <v>280</v>
      </c>
      <c r="DZ7" s="2" t="s">
        <v>281</v>
      </c>
      <c r="EB7" s="256" t="n">
        <f aca="true">INT(NOW()+1)</f>
        <v>46107</v>
      </c>
      <c r="EC7" s="257" t="n">
        <f aca="false">(7-WEEKDAY(IHD_Calc47[[#This Row],[Order Date]],15))</f>
        <v>0</v>
      </c>
      <c r="ED7" s="256" t="n">
        <f aca="false">IHD_Calc47[[#This Row],[Order Date]]+(7-WEEKDAY(IHD_Calc47[[#This Row],[Order Date]],15))+IF(IHD_Calc47[[#This Row],[Days]]&lt;3,7,0)</f>
        <v>46114</v>
      </c>
      <c r="EE7" s="256" t="n">
        <f aca="false">IHD_Calc47[[#This Row],[Approval Date]]-5</f>
        <v>46109</v>
      </c>
      <c r="EF7" s="258" t="s">
        <v>210</v>
      </c>
      <c r="EG7" s="256" t="n">
        <f aca="false">IFERROR(IHD_Calc47[[#This Row],[Approval Date]]+VLOOKUP(IHD_Calc47[[#This Row],[Production Priority]],PriorityProduction42[],4),"")</f>
        <v>46123</v>
      </c>
      <c r="EH7" s="256" t="n">
        <f aca="false">IFERROR(IHD_Calc47[[#This Row],[In Transit]]+3,"")</f>
        <v>46126</v>
      </c>
      <c r="EI7" s="228" t="n">
        <f aca="false">IFERROR(IHD_Calc47[[#This Row],[Est Ship Date]]+_xlfn.xlookup(IHD_Calc47[[#This Row],[Shipping]],ShipDays44[Shipping Service],ShipDays44[Ship Days]),0)</f>
        <v>0</v>
      </c>
      <c r="EJ7" s="259" t="s">
        <v>212</v>
      </c>
      <c r="EK7" s="259" t="s">
        <v>282</v>
      </c>
      <c r="EL7" s="260" t="str">
        <f aca="false">"To meet your in hand date it may require "&amp;IHD_Calc47[[#This Row],[Production]]&amp;" production and UPS "&amp;UPPER(IHD_Calc47[[#This Row],[Shipping]])&amp;" delivery service."</f>
        <v>To meet your in hand date it may require EXPRESS production and UPS OVERNIGHT delivery service.</v>
      </c>
      <c r="EM7" s="256"/>
      <c r="EN7" s="231" t="s">
        <v>283</v>
      </c>
      <c r="EQ7" s="75" t="s">
        <v>175</v>
      </c>
      <c r="ER7" s="75" t="s">
        <v>175</v>
      </c>
      <c r="ES7" s="75" t="s">
        <v>175</v>
      </c>
      <c r="ET7" s="75" t="s">
        <v>3</v>
      </c>
      <c r="EU7" s="75" t="s">
        <v>3</v>
      </c>
      <c r="EV7" s="234"/>
      <c r="EW7" s="234"/>
      <c r="EX7" s="234" t="n">
        <v>39</v>
      </c>
      <c r="EZ7" s="256"/>
      <c r="FA7" s="1"/>
    </row>
    <row r="8" customFormat="false" ht="14.25" hidden="false" customHeight="false" outlineLevel="0" collapsed="false">
      <c r="AF8" s="231" t="s">
        <v>284</v>
      </c>
      <c r="AG8" s="231"/>
      <c r="AH8" s="231" t="str">
        <f aca="false">Collar19[[#This Row],[Collar]]&amp;IF(Collar19[[#This Row],[Price]]="",""," (+"&amp;TEXT(Collar19[[#This Row],[Price]],"$0.00"&amp;")"))</f>
        <v>3 Button Blade (+$10.00)</v>
      </c>
      <c r="AI8" s="236" t="s">
        <v>285</v>
      </c>
      <c r="AJ8" s="262" t="n">
        <v>10</v>
      </c>
      <c r="AK8" s="252" t="s">
        <v>80</v>
      </c>
      <c r="AL8" s="252" t="s">
        <v>155</v>
      </c>
      <c r="AM8" s="252" t="str">
        <f aca="false">Collar19[[#This Row],[Collection]]&amp;Collar19[[#This Row],[Sleeve]]</f>
        <v>PerformanceShort</v>
      </c>
      <c r="AO8" s="2" t="e">
        <v>#NAME?</v>
      </c>
      <c r="AQ8" s="2" t="e">
        <v>#NAME?</v>
      </c>
      <c r="AR8" s="2" t="e">
        <v>#NAME?</v>
      </c>
      <c r="AU8" s="237" t="s">
        <v>286</v>
      </c>
      <c r="AV8" s="1" t="n">
        <v>6</v>
      </c>
      <c r="AW8" s="1" t="str">
        <f aca="false">Size28[[#This Row],[Size]]&amp;IF(Size28[[#This Row],[Price]]="",""," (+"&amp;TEXT(Size28[[#This Row],[Price]],"$0.00")&amp;")")</f>
        <v>2X-Large (+$2.00)</v>
      </c>
      <c r="AX8" s="225" t="n">
        <v>2</v>
      </c>
      <c r="AY8" s="224" t="n">
        <v>2</v>
      </c>
      <c r="AZ8" s="224" t="s">
        <v>76</v>
      </c>
      <c r="BB8" s="224" t="e">
        <v>#NAME?</v>
      </c>
      <c r="BC8" s="224" t="e">
        <v>#NAME?</v>
      </c>
      <c r="BL8" s="231" t="s">
        <v>287</v>
      </c>
      <c r="BM8" s="231" t="n">
        <v>6</v>
      </c>
      <c r="BN8" s="231" t="str">
        <f aca="false">Logos31[[#This Row],[Logos]]&amp;IF(Logos31[[#This Row],[Use]]="Flat"," (+"&amp;TEXT(Logos31[[#This Row],[Flat]],"$0.00")&amp;")"," (+"&amp;TEXT(Logos31[[#This Row],[Pct]],"0%")&amp;" of base price)")</f>
        <v>DV8 (+$5.00)</v>
      </c>
      <c r="BO8" s="231" t="s">
        <v>287</v>
      </c>
      <c r="BP8" s="223" t="n">
        <v>0.1</v>
      </c>
      <c r="BQ8" s="265" t="n">
        <v>5</v>
      </c>
      <c r="BR8" s="232" t="s">
        <v>166</v>
      </c>
      <c r="BT8" s="231" t="s">
        <v>288</v>
      </c>
      <c r="BU8" s="231" t="n">
        <v>6</v>
      </c>
      <c r="BV8" s="231" t="str">
        <f aca="false">Chest37[[#This Row],[Logos]]&amp;IF(BZ8="","",IF(Chest37[[#This Row],[Use]]="Flat"," (+"&amp;TEXT(Chest37[[#This Row],[Flat]],"$0.00")&amp;")"," (+"&amp;TEXT(Chest37[[#This Row],[Pct]],"0%")&amp;" of base price)"))</f>
        <v>Real Bowlers Tape</v>
      </c>
      <c r="BW8" s="253" t="s">
        <v>288</v>
      </c>
      <c r="BX8" s="224"/>
      <c r="BY8" s="233"/>
      <c r="BZ8" s="231"/>
      <c r="CB8" s="231" t="s">
        <v>288</v>
      </c>
      <c r="CC8" s="231" t="n">
        <v>6</v>
      </c>
      <c r="CD8" s="231" t="str">
        <f aca="false">LeftSleeve39[[#This Row],[Logos]]&amp;IF(LeftSleeve39[[#This Row],[Use]]="","",IF(LeftSleeve39[[#This Row],[Use]]="Flat"," (+"&amp;TEXT(LeftSleeve39[[#This Row],[Flat]],"$0.00")&amp;")"," (+"&amp;TEXT(LeftSleeve39[[#This Row],[Pct]],"0%")&amp;" of base price)"))</f>
        <v>Real Bowlers Tape</v>
      </c>
      <c r="CE8" s="253" t="s">
        <v>288</v>
      </c>
      <c r="CF8" s="224"/>
      <c r="CG8" s="233"/>
      <c r="CH8" s="231"/>
      <c r="CI8" s="231"/>
      <c r="CJ8" s="231" t="s">
        <v>289</v>
      </c>
      <c r="CK8" s="231" t="n">
        <v>4</v>
      </c>
      <c r="CL8" s="231" t="str">
        <f aca="false">RightSleeve48[[#This Row],[Logos]]</f>
        <v>Bowl4Life</v>
      </c>
      <c r="CM8" s="231" t="s">
        <v>290</v>
      </c>
      <c r="CN8" s="231"/>
      <c r="CO8" s="231"/>
      <c r="CP8" s="231"/>
      <c r="CQ8" s="231"/>
      <c r="CY8" s="231" t="s">
        <v>291</v>
      </c>
      <c r="CZ8" s="231" t="s">
        <v>292</v>
      </c>
      <c r="DR8" s="75" t="n">
        <v>6</v>
      </c>
      <c r="DS8" s="231" t="s">
        <v>293</v>
      </c>
      <c r="DX8" s="264" t="n">
        <v>45842</v>
      </c>
      <c r="DY8" s="231" t="s">
        <v>294</v>
      </c>
      <c r="EB8" s="256" t="n">
        <f aca="true">INT(NOW()+1)</f>
        <v>46107</v>
      </c>
      <c r="EC8" s="257" t="n">
        <f aca="false">(7-WEEKDAY(IHD_Calc47[[#This Row],[Order Date]],15))</f>
        <v>0</v>
      </c>
      <c r="ED8" s="256" t="n">
        <f aca="false">IHD_Calc47[[#This Row],[Order Date]]+(7-WEEKDAY(IHD_Calc47[[#This Row],[Order Date]],15))+IF(IHD_Calc47[[#This Row],[Days]]&lt;3,7,0)</f>
        <v>46114</v>
      </c>
      <c r="EE8" s="256" t="n">
        <f aca="false">IHD_Calc47[[#This Row],[Approval Date]]-5</f>
        <v>46109</v>
      </c>
      <c r="EF8" s="258" t="s">
        <v>210</v>
      </c>
      <c r="EG8" s="256" t="n">
        <f aca="false">IFERROR(IHD_Calc47[[#This Row],[Approval Date]]+VLOOKUP(IHD_Calc47[[#This Row],[Production Priority]],PriorityProduction42[],4),"")</f>
        <v>46123</v>
      </c>
      <c r="EH8" s="256" t="n">
        <f aca="false">IFERROR(IHD_Calc47[[#This Row],[In Transit]]+3,"")</f>
        <v>46126</v>
      </c>
      <c r="EI8" s="228" t="n">
        <f aca="false">IFERROR(IHD_Calc47[[#This Row],[Est Ship Date]]+_xlfn.xlookup(IHD_Calc47[[#This Row],[Shipping]],ShipDays44[Shipping Service],ShipDays44[Ship Days]),0)</f>
        <v>0</v>
      </c>
      <c r="EJ8" s="259" t="s">
        <v>234</v>
      </c>
      <c r="EK8" s="259" t="s">
        <v>282</v>
      </c>
      <c r="EL8" s="260" t="str">
        <f aca="false">"To meet your in hand date it may require "&amp;IHD_Calc47[[#This Row],[Production]]&amp;" production and UPS "&amp;UPPER(IHD_Calc47[[#This Row],[Shipping]])&amp;" delivery service."</f>
        <v>To meet your in hand date it may require EXPRESS production and UPS TWO DAY delivery service.</v>
      </c>
      <c r="EM8" s="256"/>
      <c r="EN8" s="231" t="s">
        <v>295</v>
      </c>
      <c r="EP8" s="75" t="n">
        <v>0.3</v>
      </c>
      <c r="EQ8" s="75" t="s">
        <v>3</v>
      </c>
      <c r="ER8" s="75" t="s">
        <v>3</v>
      </c>
      <c r="ES8" s="75" t="s">
        <v>3</v>
      </c>
      <c r="ET8" s="75" t="s">
        <v>3</v>
      </c>
      <c r="EU8" s="75" t="s">
        <v>3</v>
      </c>
      <c r="EV8" s="234"/>
      <c r="EW8" s="234"/>
      <c r="EX8" s="234" t="n">
        <v>49</v>
      </c>
      <c r="EZ8" s="259"/>
      <c r="FA8" s="1"/>
    </row>
    <row r="9" customFormat="false" ht="14.25" hidden="false" customHeight="false" outlineLevel="0" collapsed="false">
      <c r="AF9" s="249" t="s">
        <v>296</v>
      </c>
      <c r="AG9" s="249"/>
      <c r="AH9" s="231" t="str">
        <f aca="false">Collar19[[#This Row],[Collar]]&amp;IF(Collar19[[#This Row],[Price]]="",""," (+"&amp;TEXT(Collar19[[#This Row],[Price]],"$0.00"&amp;")"))</f>
        <v>1/4 Zip Polo (+$10.00)</v>
      </c>
      <c r="AI9" s="250" t="s">
        <v>297</v>
      </c>
      <c r="AJ9" s="251" t="n">
        <v>10</v>
      </c>
      <c r="AK9" s="247" t="s">
        <v>80</v>
      </c>
      <c r="AL9" s="252" t="s">
        <v>155</v>
      </c>
      <c r="AM9" s="247" t="str">
        <f aca="false">Collar19[[#This Row],[Collection]]&amp;Collar19[[#This Row],[Sleeve]]</f>
        <v>PerformanceShort</v>
      </c>
      <c r="AO9" s="2" t="e">
        <v>#NAME?</v>
      </c>
      <c r="AQ9" s="2" t="e">
        <v>#NAME?</v>
      </c>
      <c r="AR9" s="2" t="e">
        <v>#NAME?</v>
      </c>
      <c r="AU9" s="237" t="s">
        <v>298</v>
      </c>
      <c r="AV9" s="231" t="n">
        <v>7</v>
      </c>
      <c r="AW9" s="231" t="str">
        <f aca="false">Size28[[#This Row],[Size]]&amp;IF(Size28[[#This Row],[Price]]="",""," (+"&amp;TEXT(Size28[[#This Row],[Price]],"$0.00")&amp;")")</f>
        <v>3X-Large (+$4.00)</v>
      </c>
      <c r="AX9" s="225" t="n">
        <v>3</v>
      </c>
      <c r="AY9" s="224" t="n">
        <v>4</v>
      </c>
      <c r="AZ9" s="224" t="s">
        <v>76</v>
      </c>
      <c r="BB9" s="224" t="e">
        <v>#NAME?</v>
      </c>
      <c r="BC9" s="224" t="e">
        <v>#NAME?</v>
      </c>
      <c r="BL9" s="231" t="s">
        <v>299</v>
      </c>
      <c r="BM9" s="231" t="n">
        <v>7</v>
      </c>
      <c r="BN9" s="231" t="str">
        <f aca="false">Logos31[[#This Row],[Logos]]&amp;IF(Logos31[[#This Row],[Use]]="Flat"," (+"&amp;TEXT(Logos31[[#This Row],[Flat]],"$0.00")&amp;")"," (+"&amp;TEXT(Logos31[[#This Row],[Pct]],"0%")&amp;" of base price)")</f>
        <v>Ebonite (+$5.00)</v>
      </c>
      <c r="BO9" s="231" t="s">
        <v>299</v>
      </c>
      <c r="BP9" s="223" t="n">
        <v>0.1</v>
      </c>
      <c r="BQ9" s="265" t="n">
        <v>5</v>
      </c>
      <c r="BR9" s="232" t="s">
        <v>166</v>
      </c>
      <c r="BT9" s="231" t="s">
        <v>300</v>
      </c>
      <c r="BU9" s="231" t="n">
        <v>7</v>
      </c>
      <c r="BV9" s="231" t="str">
        <f aca="false">Chest37[[#This Row],[Logos]]&amp;IF(BZ9="","",IF(Chest37[[#This Row],[Use]]="Flat"," (+"&amp;TEXT(Chest37[[#This Row],[Flat]],"$0.00")&amp;")"," (+"&amp;TEXT(Chest37[[#This Row],[Pct]],"0%")&amp;" of base price)"))</f>
        <v>Robbie's (+$5.00)</v>
      </c>
      <c r="BW9" s="253" t="s">
        <v>301</v>
      </c>
      <c r="BX9" s="224"/>
      <c r="BY9" s="233" t="n">
        <v>5</v>
      </c>
      <c r="BZ9" s="231" t="s">
        <v>166</v>
      </c>
      <c r="CB9" s="231" t="s">
        <v>300</v>
      </c>
      <c r="CC9" s="231" t="n">
        <v>7</v>
      </c>
      <c r="CD9" s="231" t="str">
        <f aca="false">LeftSleeve39[[#This Row],[Logos]]&amp;IF(LeftSleeve39[[#This Row],[Use]]="","",IF(LeftSleeve39[[#This Row],[Use]]="Flat"," (+"&amp;TEXT(LeftSleeve39[[#This Row],[Flat]],"$0.00")&amp;")"," (+"&amp;TEXT(LeftSleeve39[[#This Row],[Pct]],"0%")&amp;" of base price)"))</f>
        <v>Robbie's (+$5.00)</v>
      </c>
      <c r="CE9" s="253" t="s">
        <v>301</v>
      </c>
      <c r="CF9" s="224"/>
      <c r="CG9" s="233" t="n">
        <v>5</v>
      </c>
      <c r="CH9" s="231" t="s">
        <v>166</v>
      </c>
      <c r="CI9" s="231"/>
      <c r="CQ9" s="231"/>
      <c r="DR9" s="75" t="n">
        <v>7</v>
      </c>
      <c r="DS9" s="231" t="s">
        <v>302</v>
      </c>
      <c r="DX9" s="264" t="n">
        <v>45901</v>
      </c>
      <c r="DY9" s="231" t="s">
        <v>303</v>
      </c>
      <c r="DZ9" s="2" t="s">
        <v>304</v>
      </c>
      <c r="EB9" s="256" t="n">
        <f aca="true">INT(NOW()+1)</f>
        <v>46107</v>
      </c>
      <c r="EC9" s="257" t="n">
        <f aca="false">(7-WEEKDAY(IHD_Calc47[[#This Row],[Order Date]],15))</f>
        <v>0</v>
      </c>
      <c r="ED9" s="256" t="n">
        <f aca="false">IHD_Calc47[[#This Row],[Order Date]]+(7-WEEKDAY(IHD_Calc47[[#This Row],[Order Date]],15))+IF(IHD_Calc47[[#This Row],[Days]]&lt;3,7,0)</f>
        <v>46114</v>
      </c>
      <c r="EE9" s="256" t="n">
        <f aca="false">IHD_Calc47[[#This Row],[Approval Date]]-5</f>
        <v>46109</v>
      </c>
      <c r="EF9" s="258" t="s">
        <v>210</v>
      </c>
      <c r="EG9" s="256" t="n">
        <f aca="false">IFERROR(IHD_Calc47[[#This Row],[Approval Date]]+VLOOKUP(IHD_Calc47[[#This Row],[Production Priority]],PriorityProduction42[],4),"")</f>
        <v>46123</v>
      </c>
      <c r="EH9" s="256" t="n">
        <f aca="false">IFERROR(IHD_Calc47[[#This Row],[In Transit]]+3,"")</f>
        <v>46126</v>
      </c>
      <c r="EI9" s="228" t="n">
        <f aca="false">IFERROR(IHD_Calc47[[#This Row],[Est Ship Date]]+_xlfn.xlookup(IHD_Calc47[[#This Row],[Shipping]],ShipDays44[Shipping Service],ShipDays44[Ship Days]),0)</f>
        <v>0</v>
      </c>
      <c r="EJ9" s="259" t="s">
        <v>255</v>
      </c>
      <c r="EK9" s="259" t="s">
        <v>282</v>
      </c>
      <c r="EL9" s="260" t="str">
        <f aca="false">"To meet your in hand date it may require "&amp;IHD_Calc47[[#This Row],[Production]]&amp;" production and UPS "&amp;UPPER(IHD_Calc47[[#This Row],[Shipping]])&amp;" delivery service."</f>
        <v>To meet your in hand date it may require EXPRESS production and UPS 3-DAY SELECT delivery service.</v>
      </c>
      <c r="EM9" s="1"/>
      <c r="EN9" s="231" t="s">
        <v>305</v>
      </c>
      <c r="EO9" s="75" t="n">
        <v>0.2</v>
      </c>
      <c r="EQ9" s="75" t="s">
        <v>175</v>
      </c>
      <c r="ER9" s="75" t="s">
        <v>3</v>
      </c>
      <c r="ES9" s="75" t="s">
        <v>3</v>
      </c>
      <c r="ET9" s="75" t="n">
        <v>10</v>
      </c>
      <c r="EU9" s="75" t="s">
        <v>175</v>
      </c>
      <c r="EV9" s="234"/>
      <c r="EW9" s="234"/>
      <c r="EX9" s="234" t="n">
        <v>49</v>
      </c>
      <c r="EZ9" s="1"/>
      <c r="FA9" s="1"/>
    </row>
    <row r="10" customFormat="false" ht="14.25" hidden="false" customHeight="false" outlineLevel="0" collapsed="false">
      <c r="AF10" s="231" t="s">
        <v>306</v>
      </c>
      <c r="AG10" s="231"/>
      <c r="AH10" s="231" t="str">
        <f aca="false">Collar19[[#This Row],[Collar]]&amp;IF(Collar19[[#This Row],[Price]]="",""," (+"&amp;TEXT(Collar19[[#This Row],[Price]],"$0.00"&amp;")"))</f>
        <v>Mock Turtleneck (+$5.00)</v>
      </c>
      <c r="AI10" s="236" t="s">
        <v>307</v>
      </c>
      <c r="AJ10" s="262" t="n">
        <v>5</v>
      </c>
      <c r="AK10" s="252" t="s">
        <v>80</v>
      </c>
      <c r="AL10" s="252" t="s">
        <v>155</v>
      </c>
      <c r="AM10" s="252" t="str">
        <f aca="false">Collar19[[#This Row],[Collection]]&amp;Collar19[[#This Row],[Sleeve]]</f>
        <v>PerformanceShort</v>
      </c>
      <c r="AO10" s="2" t="e">
        <v>#NAME?</v>
      </c>
      <c r="AQ10" s="2" t="e">
        <v>#NAME?</v>
      </c>
      <c r="AR10" s="2" t="e">
        <v>#NAME?</v>
      </c>
      <c r="AU10" s="237" t="s">
        <v>308</v>
      </c>
      <c r="AV10" s="231" t="n">
        <v>8</v>
      </c>
      <c r="AW10" s="231" t="str">
        <f aca="false">Size28[[#This Row],[Size]]&amp;IF(Size28[[#This Row],[Price]]="",""," (+"&amp;TEXT(Size28[[#This Row],[Price]],"$0.00")&amp;")")</f>
        <v>4X-Large (+$6.00)</v>
      </c>
      <c r="AX10" s="225" t="n">
        <v>4</v>
      </c>
      <c r="AY10" s="224" t="n">
        <v>6</v>
      </c>
      <c r="AZ10" s="224" t="s">
        <v>76</v>
      </c>
      <c r="BB10" s="224" t="e">
        <v>#NAME?</v>
      </c>
      <c r="BC10" s="224" t="e">
        <v>#NAME?</v>
      </c>
      <c r="BL10" s="231" t="s">
        <v>309</v>
      </c>
      <c r="BM10" s="231" t="n">
        <v>8</v>
      </c>
      <c r="BN10" s="231" t="str">
        <f aca="false">Logos31[[#This Row],[Logos]]&amp;IF(Logos31[[#This Row],[Use]]="Flat"," (+"&amp;TEXT(Logos31[[#This Row],[Flat]],"$0.00")&amp;")"," (+"&amp;TEXT(Logos31[[#This Row],[Pct]],"0%")&amp;" of base price)")</f>
        <v>Hammer (+$5.00)</v>
      </c>
      <c r="BO10" s="231" t="s">
        <v>309</v>
      </c>
      <c r="BP10" s="223" t="n">
        <v>0.1</v>
      </c>
      <c r="BQ10" s="265" t="n">
        <v>5</v>
      </c>
      <c r="BR10" s="232" t="s">
        <v>166</v>
      </c>
      <c r="BT10" s="231" t="s">
        <v>310</v>
      </c>
      <c r="BU10" s="231" t="n">
        <v>8</v>
      </c>
      <c r="BV10" s="231" t="str">
        <f aca="false">Chest37[[#This Row],[Logos]]&amp;IF(BZ10="","",IF(Chest37[[#This Row],[Use]]="Flat"," (+"&amp;TEXT(Chest37[[#This Row],[Flat]],"$0.00")&amp;")"," (+"&amp;TEXT(Chest37[[#This Row],[Pct]],"0%")&amp;" of base price)"))</f>
        <v>Turbo</v>
      </c>
      <c r="BW10" s="253" t="s">
        <v>310</v>
      </c>
      <c r="BX10" s="224"/>
      <c r="BY10" s="233"/>
      <c r="BZ10" s="231"/>
      <c r="CB10" s="231" t="s">
        <v>310</v>
      </c>
      <c r="CC10" s="231" t="n">
        <v>8</v>
      </c>
      <c r="CD10" s="231" t="str">
        <f aca="false">LeftSleeve39[[#This Row],[Logos]]&amp;IF(LeftSleeve39[[#This Row],[Use]]="","",IF(LeftSleeve39[[#This Row],[Use]]="Flat"," (+"&amp;TEXT(LeftSleeve39[[#This Row],[Flat]],"$0.00")&amp;")"," (+"&amp;TEXT(LeftSleeve39[[#This Row],[Pct]],"0%")&amp;" of base price)"))</f>
        <v>Turbo</v>
      </c>
      <c r="CE10" s="253" t="s">
        <v>310</v>
      </c>
      <c r="CF10" s="224"/>
      <c r="CG10" s="233"/>
      <c r="CH10" s="231"/>
      <c r="CI10" s="231"/>
      <c r="CQ10" s="231"/>
      <c r="DX10" s="264" t="n">
        <v>45988</v>
      </c>
      <c r="DY10" s="231" t="s">
        <v>235</v>
      </c>
      <c r="DZ10" s="2" t="s">
        <v>311</v>
      </c>
      <c r="EB10" s="256" t="n">
        <f aca="true">INT(NOW()+1)</f>
        <v>46107</v>
      </c>
      <c r="EC10" s="257" t="n">
        <f aca="false">(7-WEEKDAY(IHD_Calc47[[#This Row],[Order Date]],15))</f>
        <v>0</v>
      </c>
      <c r="ED10" s="256" t="n">
        <f aca="false">IHD_Calc47[[#This Row],[Order Date]]+(7-WEEKDAY(IHD_Calc47[[#This Row],[Order Date]],15))+IF(IHD_Calc47[[#This Row],[Days]]&lt;3,7,0)</f>
        <v>46114</v>
      </c>
      <c r="EE10" s="256" t="n">
        <f aca="false">IHD_Calc47[[#This Row],[Approval Date]]-5</f>
        <v>46109</v>
      </c>
      <c r="EF10" s="258" t="s">
        <v>35</v>
      </c>
      <c r="EG10" s="256" t="n">
        <f aca="false">IFERROR(IHD_Calc47[[#This Row],[Approval Date]]+VLOOKUP(IHD_Calc47[[#This Row],[Production Priority]],PriorityProduction42[],4),"")</f>
        <v>46130</v>
      </c>
      <c r="EH10" s="256" t="n">
        <f aca="false">IFERROR(IHD_Calc47[[#This Row],[In Transit]]+3,"")</f>
        <v>46133</v>
      </c>
      <c r="EI10" s="228" t="n">
        <f aca="false">IFERROR(IHD_Calc47[[#This Row],[Est Ship Date]]+_xlfn.xlookup(IHD_Calc47[[#This Row],[Shipping]],ShipDays44[Shipping Service],ShipDays44[Ship Days]),0)</f>
        <v>0</v>
      </c>
      <c r="EJ10" s="259" t="s">
        <v>212</v>
      </c>
      <c r="EK10" s="259" t="s">
        <v>312</v>
      </c>
      <c r="EL10" s="260" t="str">
        <f aca="false">"It appears we can meet your in hand date with "&amp;IHD_Calc47[[#This Row],[Production]]&amp;" production, but may be required UPS "&amp;UPPER(IHD_Calc47[[#This Row],[Shipping]])&amp;" delivery service."</f>
        <v>It appears we can meet your in hand date with STANDARD production, but may be required UPS OVERNIGHT delivery service.</v>
      </c>
      <c r="EM10" s="1"/>
      <c r="EN10" s="231" t="s">
        <v>313</v>
      </c>
      <c r="EQ10" s="75" t="s">
        <v>175</v>
      </c>
      <c r="ER10" s="75" t="s">
        <v>3</v>
      </c>
      <c r="ES10" s="75" t="s">
        <v>3</v>
      </c>
      <c r="ET10" s="75" t="s">
        <v>3</v>
      </c>
      <c r="EU10" s="75" t="s">
        <v>175</v>
      </c>
      <c r="EV10" s="234"/>
      <c r="EW10" s="234" t="n">
        <v>250</v>
      </c>
      <c r="EX10" s="234" t="n">
        <v>49</v>
      </c>
      <c r="EZ10" s="1"/>
      <c r="FA10" s="1"/>
    </row>
    <row r="11" customFormat="false" ht="14.25" hidden="false" customHeight="false" outlineLevel="0" collapsed="false">
      <c r="AF11" s="249" t="s">
        <v>314</v>
      </c>
      <c r="AG11" s="249"/>
      <c r="AH11" s="231" t="str">
        <f aca="false">Collar19[[#This Row],[Collar]]&amp;IF(Collar19[[#This Row],[Price]]="",""," (+"&amp;TEXT(Collar19[[#This Row],[Price]],"$0.00"&amp;")"))</f>
        <v>BowlRetro (+$20.00)</v>
      </c>
      <c r="AI11" s="250" t="s">
        <v>315</v>
      </c>
      <c r="AJ11" s="251" t="n">
        <v>20</v>
      </c>
      <c r="AK11" s="247" t="s">
        <v>80</v>
      </c>
      <c r="AL11" s="252" t="s">
        <v>155</v>
      </c>
      <c r="AM11" s="247" t="str">
        <f aca="false">Collar19[[#This Row],[Collection]]&amp;Collar19[[#This Row],[Sleeve]]</f>
        <v>PerformanceShort</v>
      </c>
      <c r="AO11" s="2" t="e">
        <v>#NAME?</v>
      </c>
      <c r="AU11" s="237" t="s">
        <v>316</v>
      </c>
      <c r="AV11" s="231" t="n">
        <v>9</v>
      </c>
      <c r="AW11" s="231" t="str">
        <f aca="false">Size28[[#This Row],[Size]]&amp;IF(Size28[[#This Row],[Price]]="",""," (+"&amp;TEXT(Size28[[#This Row],[Price]],"$0.00")&amp;")")</f>
        <v>5X-Large (+$9.00)</v>
      </c>
      <c r="AX11" s="225" t="n">
        <v>5</v>
      </c>
      <c r="AY11" s="224" t="n">
        <v>9</v>
      </c>
      <c r="AZ11" s="224" t="s">
        <v>76</v>
      </c>
      <c r="BB11" s="224" t="e">
        <v>#NAME?</v>
      </c>
      <c r="BC11" s="224" t="e">
        <v>#NAME?</v>
      </c>
      <c r="BL11" s="231" t="s">
        <v>317</v>
      </c>
      <c r="BM11" s="231" t="n">
        <v>9</v>
      </c>
      <c r="BN11" s="231" t="str">
        <f aca="false">Logos31[[#This Row],[Logos]]&amp;IF(Logos31[[#This Row],[Use]]="Flat"," (+"&amp;TEXT(Logos31[[#This Row],[Flat]],"$0.00")&amp;")"," (+"&amp;TEXT(Logos31[[#This Row],[Pct]],"0%")&amp;" of base price)")</f>
        <v>Lane Masters (+$5.00)</v>
      </c>
      <c r="BO11" s="231" t="s">
        <v>318</v>
      </c>
      <c r="BP11" s="223" t="n">
        <v>0.1</v>
      </c>
      <c r="BQ11" s="265" t="n">
        <v>5</v>
      </c>
      <c r="BR11" s="232" t="s">
        <v>166</v>
      </c>
      <c r="BT11" s="231" t="s">
        <v>319</v>
      </c>
      <c r="BU11" s="231" t="n">
        <v>9</v>
      </c>
      <c r="BV11" s="231" t="str">
        <f aca="false">Chest37[[#This Row],[Logos]]&amp;IF(BZ11="","",IF(Chest37[[#This Row],[Use]]="Flat"," (+"&amp;TEXT(Chest37[[#This Row],[Flat]],"$0.00")&amp;")"," (+"&amp;TEXT(Chest37[[#This Row],[Pct]],"0%")&amp;" of base price)"))</f>
        <v>Ultimate (+$5.00)</v>
      </c>
      <c r="BW11" s="253" t="s">
        <v>319</v>
      </c>
      <c r="BX11" s="224"/>
      <c r="BY11" s="233" t="n">
        <v>5</v>
      </c>
      <c r="BZ11" s="231" t="s">
        <v>166</v>
      </c>
      <c r="CB11" s="231" t="s">
        <v>319</v>
      </c>
      <c r="CC11" s="231" t="n">
        <v>9</v>
      </c>
      <c r="CD11" s="231" t="str">
        <f aca="false">LeftSleeve39[[#This Row],[Logos]]&amp;IF(LeftSleeve39[[#This Row],[Use]]="","",IF(LeftSleeve39[[#This Row],[Use]]="Flat"," (+"&amp;TEXT(LeftSleeve39[[#This Row],[Flat]],"$0.00")&amp;")"," (+"&amp;TEXT(LeftSleeve39[[#This Row],[Pct]],"0%")&amp;" of base price)"))</f>
        <v>Ultimate (+$5.00)</v>
      </c>
      <c r="CE11" s="253" t="s">
        <v>319</v>
      </c>
      <c r="CF11" s="224"/>
      <c r="CG11" s="233" t="n">
        <v>5</v>
      </c>
      <c r="CH11" s="231" t="s">
        <v>166</v>
      </c>
      <c r="CI11" s="231"/>
      <c r="CQ11" s="231"/>
      <c r="DX11" s="264" t="n">
        <v>46016</v>
      </c>
      <c r="DY11" s="231" t="s">
        <v>256</v>
      </c>
      <c r="EB11" s="256" t="n">
        <f aca="true">INT(NOW()+1)</f>
        <v>46107</v>
      </c>
      <c r="EC11" s="257" t="n">
        <f aca="false">(7-WEEKDAY(IHD_Calc47[[#This Row],[Order Date]],15))</f>
        <v>0</v>
      </c>
      <c r="ED11" s="256" t="n">
        <f aca="false">IHD_Calc47[[#This Row],[Order Date]]+(7-WEEKDAY(IHD_Calc47[[#This Row],[Order Date]],15))+IF(IHD_Calc47[[#This Row],[Days]]&lt;3,7,0)</f>
        <v>46114</v>
      </c>
      <c r="EE11" s="256" t="n">
        <f aca="false">IHD_Calc47[[#This Row],[Approval Date]]-5</f>
        <v>46109</v>
      </c>
      <c r="EF11" s="258" t="s">
        <v>35</v>
      </c>
      <c r="EG11" s="256" t="n">
        <f aca="false">IFERROR(IHD_Calc47[[#This Row],[Approval Date]]+VLOOKUP(IHD_Calc47[[#This Row],[Production Priority]],PriorityProduction42[],4),"")</f>
        <v>46130</v>
      </c>
      <c r="EH11" s="256" t="n">
        <f aca="false">IFERROR(IHD_Calc47[[#This Row],[In Transit]]+3,"")</f>
        <v>46133</v>
      </c>
      <c r="EI11" s="228" t="n">
        <f aca="false">IFERROR(IHD_Calc47[[#This Row],[Est Ship Date]]+_xlfn.xlookup(IHD_Calc47[[#This Row],[Shipping]],ShipDays44[Shipping Service],ShipDays44[Ship Days]),0)</f>
        <v>0</v>
      </c>
      <c r="EJ11" s="259" t="s">
        <v>234</v>
      </c>
      <c r="EK11" s="259" t="s">
        <v>312</v>
      </c>
      <c r="EL11" s="260" t="str">
        <f aca="false">"It appears we can meet your in hand date with "&amp;IHD_Calc47[[#This Row],[Production]]&amp;" production, but may be required UPS "&amp;UPPER(IHD_Calc47[[#This Row],[Shipping]])&amp;" delivery service."</f>
        <v>It appears we can meet your in hand date with STANDARD production, but may be required UPS TWO DAY delivery service.</v>
      </c>
      <c r="EM11" s="1"/>
      <c r="EN11" s="231" t="s">
        <v>320</v>
      </c>
      <c r="EP11" s="75" t="n">
        <v>0.4</v>
      </c>
      <c r="EQ11" s="75" t="s">
        <v>3</v>
      </c>
      <c r="ER11" s="75" t="s">
        <v>3</v>
      </c>
      <c r="ES11" s="75" t="s">
        <v>3</v>
      </c>
      <c r="ET11" s="75" t="s">
        <v>3</v>
      </c>
      <c r="EU11" s="75" t="s">
        <v>3</v>
      </c>
      <c r="EV11" s="234"/>
      <c r="EW11" s="234"/>
      <c r="EX11" s="234" t="n">
        <v>49</v>
      </c>
      <c r="EZ11" s="1"/>
      <c r="FA11" s="1"/>
    </row>
    <row r="12" customFormat="false" ht="14.25" hidden="false" customHeight="false" outlineLevel="0" collapsed="false">
      <c r="AF12" s="231" t="s">
        <v>321</v>
      </c>
      <c r="AG12" s="231"/>
      <c r="AH12" s="231" t="str">
        <f aca="false">Collar19[[#This Row],[Collar]]&amp;IF(Collar19[[#This Row],[Price]]="",""," (+"&amp;TEXT(Collar19[[#This Row],[Price]],"$0.00"&amp;")"))</f>
        <v>Lightweight Hoodie (+$15.00)</v>
      </c>
      <c r="AI12" s="236" t="s">
        <v>322</v>
      </c>
      <c r="AJ12" s="262" t="n">
        <v>15</v>
      </c>
      <c r="AK12" s="252" t="s">
        <v>80</v>
      </c>
      <c r="AL12" s="252" t="s">
        <v>155</v>
      </c>
      <c r="AM12" s="252" t="str">
        <f aca="false">Collar19[[#This Row],[Collection]]&amp;Collar19[[#This Row],[Sleeve]]</f>
        <v>PerformanceShort</v>
      </c>
      <c r="AO12" s="2" t="e">
        <v>#NAME?</v>
      </c>
      <c r="AU12" s="237" t="s">
        <v>323</v>
      </c>
      <c r="AV12" s="231" t="n">
        <v>10</v>
      </c>
      <c r="AW12" s="231" t="str">
        <f aca="false">Size28[[#This Row],[Size]]&amp;IF(Size28[[#This Row],[Price]]="",""," (+"&amp;TEXT(Size28[[#This Row],[Price]],"$0.00")&amp;")")</f>
        <v>6X-Large (+$12.00)</v>
      </c>
      <c r="AX12" s="225" t="n">
        <v>6</v>
      </c>
      <c r="AY12" s="224" t="n">
        <v>12</v>
      </c>
      <c r="AZ12" s="224" t="s">
        <v>76</v>
      </c>
      <c r="BB12" s="224" t="e">
        <v>#NAME?</v>
      </c>
      <c r="BC12" s="224" t="e">
        <v>#NAME?</v>
      </c>
      <c r="BL12" s="231" t="s">
        <v>324</v>
      </c>
      <c r="BM12" s="231" t="n">
        <v>10</v>
      </c>
      <c r="BN12" s="231" t="str">
        <f aca="false">Logos31[[#This Row],[Logos]]&amp;IF(Logos31[[#This Row],[Use]]="Flat"," (+"&amp;TEXT(Logos31[[#This Row],[Flat]],"$0.00")&amp;")"," (+"&amp;TEXT(Logos31[[#This Row],[Pct]],"0%")&amp;" of base price)")</f>
        <v>Legends (+$5.00)</v>
      </c>
      <c r="BO12" s="231" t="s">
        <v>324</v>
      </c>
      <c r="BP12" s="223" t="n">
        <v>0.1</v>
      </c>
      <c r="BQ12" s="265" t="n">
        <v>5</v>
      </c>
      <c r="BR12" s="232" t="s">
        <v>166</v>
      </c>
      <c r="BT12" s="231" t="s">
        <v>325</v>
      </c>
      <c r="BU12" s="231" t="n">
        <v>10</v>
      </c>
      <c r="BV12" s="231" t="str">
        <f aca="false">Chest37[[#This Row],[Logos]]&amp;IF(BZ12="","",IF(Chest37[[#This Row],[Use]]="Flat"," (+"&amp;TEXT(Chest37[[#This Row],[Flat]],"$0.00")&amp;")"," (+"&amp;TEXT(Chest37[[#This Row],[Pct]],"0%")&amp;" of base price)"))</f>
        <v>VISE</v>
      </c>
      <c r="BW12" s="231" t="s">
        <v>325</v>
      </c>
      <c r="BX12" s="224"/>
      <c r="BY12" s="233"/>
      <c r="BZ12" s="231"/>
      <c r="CB12" s="231" t="s">
        <v>325</v>
      </c>
      <c r="CC12" s="231" t="n">
        <v>10</v>
      </c>
      <c r="CD12" s="231" t="str">
        <f aca="false">LeftSleeve39[[#This Row],[Logos]]&amp;IF(LeftSleeve39[[#This Row],[Use]]="","",IF(LeftSleeve39[[#This Row],[Use]]="Flat"," (+"&amp;TEXT(LeftSleeve39[[#This Row],[Flat]],"$0.00")&amp;")"," (+"&amp;TEXT(LeftSleeve39[[#This Row],[Pct]],"0%")&amp;" of base price)"))</f>
        <v>VISE</v>
      </c>
      <c r="CE12" s="231" t="s">
        <v>325</v>
      </c>
      <c r="CF12" s="224"/>
      <c r="CG12" s="233"/>
      <c r="CH12" s="231"/>
      <c r="CI12" s="231"/>
      <c r="CQ12" s="231"/>
      <c r="EB12" s="256" t="n">
        <f aca="true">INT(NOW()+1)</f>
        <v>46107</v>
      </c>
      <c r="EC12" s="257" t="n">
        <f aca="false">(7-WEEKDAY(IHD_Calc47[[#This Row],[Order Date]],15))</f>
        <v>0</v>
      </c>
      <c r="ED12" s="256" t="n">
        <f aca="false">IHD_Calc47[[#This Row],[Order Date]]+(7-WEEKDAY(IHD_Calc47[[#This Row],[Order Date]],15))+IF(IHD_Calc47[[#This Row],[Days]]&lt;3,7,0)</f>
        <v>46114</v>
      </c>
      <c r="EE12" s="256" t="n">
        <f aca="false">IHD_Calc47[[#This Row],[Approval Date]]-5</f>
        <v>46109</v>
      </c>
      <c r="EF12" s="258" t="s">
        <v>35</v>
      </c>
      <c r="EG12" s="256" t="n">
        <f aca="false">IFERROR(IHD_Calc47[[#This Row],[Approval Date]]+VLOOKUP(IHD_Calc47[[#This Row],[Production Priority]],PriorityProduction42[],4),"")</f>
        <v>46130</v>
      </c>
      <c r="EH12" s="256" t="n">
        <f aca="false">IFERROR(IHD_Calc47[[#This Row],[In Transit]]+3,"")</f>
        <v>46133</v>
      </c>
      <c r="EI12" s="228" t="n">
        <f aca="false">IFERROR(IHD_Calc47[[#This Row],[Est Ship Date]]+_xlfn.xlookup(IHD_Calc47[[#This Row],[Shipping]],ShipDays44[Shipping Service],ShipDays44[Ship Days]),0)</f>
        <v>0</v>
      </c>
      <c r="EJ12" s="259" t="s">
        <v>255</v>
      </c>
      <c r="EK12" s="259" t="s">
        <v>312</v>
      </c>
      <c r="EL12" s="260" t="str">
        <f aca="false">"It appears we can meet your in hand date with "&amp;IHD_Calc47[[#This Row],[Production]]&amp;" production, but may be required UPS "&amp;UPPER(IHD_Calc47[[#This Row],[Shipping]])&amp;" delivery service."</f>
        <v>It appears we can meet your in hand date with STANDARD production, but may be required UPS 3-DAY SELECT delivery service.</v>
      </c>
      <c r="EM12" s="1"/>
      <c r="EN12" s="231" t="s">
        <v>326</v>
      </c>
      <c r="EO12" s="75" t="n">
        <v>0.5</v>
      </c>
      <c r="EQ12" s="75" t="s">
        <v>3</v>
      </c>
      <c r="ER12" s="75" t="s">
        <v>3</v>
      </c>
      <c r="ES12" s="75" t="s">
        <v>3</v>
      </c>
      <c r="ET12" s="75" t="s">
        <v>3</v>
      </c>
      <c r="EU12" s="75" t="s">
        <v>175</v>
      </c>
      <c r="EV12" s="234"/>
      <c r="EW12" s="234" t="n">
        <v>250</v>
      </c>
      <c r="EX12" s="234" t="n">
        <v>49</v>
      </c>
      <c r="EZ12" s="1"/>
      <c r="FA12" s="1"/>
    </row>
    <row r="13" customFormat="false" ht="14.25" hidden="false" customHeight="false" outlineLevel="0" collapsed="false">
      <c r="AF13" s="249" t="s">
        <v>198</v>
      </c>
      <c r="AG13" s="249"/>
      <c r="AH13" s="231" t="str">
        <f aca="false">Collar19[[#This Row],[Collar]]&amp;IF(Collar19[[#This Row],[Price]]="",""," (+"&amp;TEXT(Collar19[[#This Row],[Price]],"$0.00"&amp;")"))</f>
        <v>1/4 Zip Sash (+$5.00)</v>
      </c>
      <c r="AI13" s="250" t="s">
        <v>327</v>
      </c>
      <c r="AJ13" s="251" t="n">
        <v>5</v>
      </c>
      <c r="AK13" s="247" t="s">
        <v>240</v>
      </c>
      <c r="AL13" s="252" t="s">
        <v>155</v>
      </c>
      <c r="AM13" s="247" t="str">
        <f aca="false">Collar19[[#This Row],[Collection]]&amp;Collar19[[#This Row],[Sleeve]]</f>
        <v>PerformanceLong</v>
      </c>
      <c r="AU13" s="237" t="s">
        <v>328</v>
      </c>
      <c r="AV13" s="231" t="n">
        <v>11</v>
      </c>
      <c r="AW13" s="231" t="str">
        <f aca="false">Size28[[#This Row],[Size]]&amp;IF(Size28[[#This Row],[Price]]="",""," (+"&amp;TEXT(Size28[[#This Row],[Price]],"$0.00")&amp;")")</f>
        <v>7X-Large (+$12.00)</v>
      </c>
      <c r="AX13" s="225" t="n">
        <v>7</v>
      </c>
      <c r="AY13" s="224" t="n">
        <v>12</v>
      </c>
      <c r="AZ13" s="224" t="s">
        <v>76</v>
      </c>
      <c r="BB13" s="224" t="e">
        <v>#NAME?</v>
      </c>
      <c r="BC13" s="224" t="e">
        <v>#NAME?</v>
      </c>
      <c r="BL13" s="231" t="s">
        <v>329</v>
      </c>
      <c r="BM13" s="231" t="n">
        <v>11</v>
      </c>
      <c r="BN13" s="231" t="str">
        <f aca="false">Logos31[[#This Row],[Logos]]&amp;IF(Logos31[[#This Row],[Use]]="Flat"," (+"&amp;TEXT(Logos31[[#This Row],[Flat]],"$0.00")&amp;")"," (+"&amp;TEXT(Logos31[[#This Row],[Pct]],"0%")&amp;" of base price)")</f>
        <v>Lord Field (+$5.00)</v>
      </c>
      <c r="BO13" s="231" t="s">
        <v>330</v>
      </c>
      <c r="BP13" s="223" t="n">
        <v>0.1</v>
      </c>
      <c r="BQ13" s="265" t="n">
        <v>5</v>
      </c>
      <c r="BR13" s="232" t="s">
        <v>166</v>
      </c>
      <c r="CB13" s="231" t="s">
        <v>331</v>
      </c>
      <c r="CC13" s="231" t="n">
        <v>11</v>
      </c>
      <c r="CD13" s="231" t="str">
        <f aca="false">LeftSleeve39[[#This Row],[Logos]]&amp;IF(LeftSleeve39[[#This Row],[Use]]="","",IF(LeftSleeve39[[#This Row],[Use]]="Flat"," (+"&amp;TEXT(LeftSleeve39[[#This Row],[Flat]],"$0.00")&amp;")"," (+"&amp;TEXT(LeftSleeve39[[#This Row],[Pct]],"0%")&amp;" of base price)"))</f>
        <v>US Flag (+$5.00)</v>
      </c>
      <c r="CE13" s="231" t="s">
        <v>332</v>
      </c>
      <c r="CF13" s="224"/>
      <c r="CG13" s="233" t="n">
        <v>5</v>
      </c>
      <c r="CH13" s="231" t="s">
        <v>166</v>
      </c>
      <c r="CI13" s="231"/>
      <c r="CQ13" s="231"/>
      <c r="EB13" s="256" t="n">
        <f aca="true">INT(NOW()+1)</f>
        <v>46107</v>
      </c>
      <c r="EC13" s="257" t="n">
        <f aca="false">(7-WEEKDAY(IHD_Calc47[[#This Row],[Order Date]],15))</f>
        <v>0</v>
      </c>
      <c r="ED13" s="256" t="n">
        <f aca="false">IHD_Calc47[[#This Row],[Order Date]]+(7-WEEKDAY(IHD_Calc47[[#This Row],[Order Date]],15))+IF(IHD_Calc47[[#This Row],[Days]]&lt;3,7,0)</f>
        <v>46114</v>
      </c>
      <c r="EE13" s="256" t="n">
        <f aca="false">IHD_Calc47[[#This Row],[Approval Date]]-5</f>
        <v>46109</v>
      </c>
      <c r="EF13" s="258" t="s">
        <v>35</v>
      </c>
      <c r="EG13" s="256" t="n">
        <f aca="false">IFERROR(IHD_Calc47[[#This Row],[Approval Date]]+VLOOKUP(IHD_Calc47[[#This Row],[Production Priority]],PriorityProduction42[],4),"")</f>
        <v>46130</v>
      </c>
      <c r="EH13" s="256" t="n">
        <f aca="false">IFERROR(IHD_Calc47[[#This Row],[In Transit]]+3,"")</f>
        <v>46133</v>
      </c>
      <c r="EI13" s="228" t="n">
        <f aca="false">IFERROR(IHD_Calc47[[#This Row],[Est Ship Date]]+_xlfn.xlookup(IHD_Calc47[[#This Row],[Shipping]],ShipDays44[Shipping Service],ShipDays44[Ship Days]),0)</f>
        <v>0</v>
      </c>
      <c r="EJ13" s="259" t="s">
        <v>267</v>
      </c>
      <c r="EK13" s="259" t="s">
        <v>312</v>
      </c>
      <c r="EL13" s="260" t="str">
        <f aca="false">"It appears we can meet your in hand date with "&amp;IHD_Calc47[[#This Row],[Production]]&amp;" production and UPS "&amp;UPPER(IHD_Calc47[[#This Row],[Shipping]])&amp;" delivery service."</f>
        <v>It appears we can meet your in hand date with STANDARD production and UPS GROUND delivery service.</v>
      </c>
      <c r="EN13" s="231" t="s">
        <v>333</v>
      </c>
      <c r="EP13" s="75" t="n">
        <v>0.2</v>
      </c>
      <c r="EQ13" s="75" t="s">
        <v>3</v>
      </c>
      <c r="ER13" s="75" t="s">
        <v>3</v>
      </c>
      <c r="ES13" s="75" t="s">
        <v>3</v>
      </c>
      <c r="ET13" s="75" t="s">
        <v>3</v>
      </c>
      <c r="EU13" s="75" t="s">
        <v>3</v>
      </c>
      <c r="EV13" s="234"/>
      <c r="EW13" s="234"/>
      <c r="EX13" s="234" t="n">
        <v>49</v>
      </c>
    </row>
    <row r="14" customFormat="false" ht="14.25" hidden="false" customHeight="false" outlineLevel="0" collapsed="false">
      <c r="AF14" s="231" t="s">
        <v>221</v>
      </c>
      <c r="AG14" s="231"/>
      <c r="AH14" s="231" t="str">
        <f aca="false">Collar19[[#This Row],[Collar]]&amp;IF(Collar19[[#This Row],[Price]]="",""," (+"&amp;TEXT(Collar19[[#This Row],[Price]],"$0.00"&amp;")"))</f>
        <v>Polo (+$5.00)</v>
      </c>
      <c r="AI14" s="236" t="s">
        <v>334</v>
      </c>
      <c r="AJ14" s="262" t="n">
        <v>5</v>
      </c>
      <c r="AK14" s="252" t="s">
        <v>240</v>
      </c>
      <c r="AL14" s="252" t="s">
        <v>155</v>
      </c>
      <c r="AM14" s="252" t="str">
        <f aca="false">Collar19[[#This Row],[Collection]]&amp;Collar19[[#This Row],[Sleeve]]</f>
        <v>PerformanceLong</v>
      </c>
      <c r="AU14" s="237" t="s">
        <v>200</v>
      </c>
      <c r="AV14" s="231" t="n">
        <v>12</v>
      </c>
      <c r="AW14" s="231" t="str">
        <f aca="false">Size28[[#This Row],[Size]]&amp;IF(Size28[[#This Row],[Price]]="",""," (+"&amp;TEXT(Size28[[#This Row],[Price]],"$0.00")&amp;")")</f>
        <v>X-Small</v>
      </c>
      <c r="AX14" s="236" t="s">
        <v>201</v>
      </c>
      <c r="AZ14" s="224" t="s">
        <v>163</v>
      </c>
      <c r="BL14" s="231" t="s">
        <v>248</v>
      </c>
      <c r="BM14" s="231" t="n">
        <v>12</v>
      </c>
      <c r="BN14" s="231" t="str">
        <f aca="false">Logos31[[#This Row],[Logos]]&amp;IF(Logos31[[#This Row],[Use]]="Flat"," (+"&amp;TEXT(Logos31[[#This Row],[Flat]],"$0.00")&amp;")"," (+"&amp;TEXT(Logos31[[#This Row],[Pct]],"0%")&amp;" of base price)")</f>
        <v>Master (+$5.00)</v>
      </c>
      <c r="BO14" s="231" t="s">
        <v>248</v>
      </c>
      <c r="BP14" s="223" t="n">
        <v>0.1</v>
      </c>
      <c r="BQ14" s="265" t="n">
        <v>5</v>
      </c>
      <c r="BR14" s="232" t="s">
        <v>166</v>
      </c>
      <c r="CB14" s="231" t="s">
        <v>335</v>
      </c>
      <c r="CC14" s="231" t="n">
        <v>12</v>
      </c>
      <c r="CD14" s="231" t="str">
        <f aca="false">LeftSleeve39[[#This Row],[Logos]]&amp;IF(LeftSleeve39[[#This Row],[Use]]="","",IF(LeftSleeve39[[#This Row],[Use]]="Flat"," (+"&amp;TEXT(LeftSleeve39[[#This Row],[Flat]],"$0.00")&amp;")"," (+"&amp;TEXT(LeftSleeve39[[#This Row],[Pct]],"0%")&amp;" of base price)"))</f>
        <v>Canada Flag (+$5.00)</v>
      </c>
      <c r="CE14" s="231" t="s">
        <v>336</v>
      </c>
      <c r="CF14" s="224"/>
      <c r="CG14" s="233" t="n">
        <v>5</v>
      </c>
      <c r="CH14" s="231" t="s">
        <v>166</v>
      </c>
      <c r="CI14" s="231"/>
      <c r="CQ14" s="231"/>
      <c r="EB14" s="1"/>
      <c r="ED14" s="1"/>
      <c r="EE14" s="1"/>
      <c r="EF14" s="1"/>
      <c r="EG14" s="228"/>
      <c r="EH14" s="1"/>
      <c r="EJ14" s="1"/>
      <c r="EK14" s="1"/>
      <c r="EL14" s="260"/>
      <c r="EN14" s="231" t="s">
        <v>337</v>
      </c>
      <c r="EO14" s="75" t="n">
        <v>0.3</v>
      </c>
      <c r="EQ14" s="75" t="s">
        <v>175</v>
      </c>
      <c r="ER14" s="75" t="s">
        <v>3</v>
      </c>
      <c r="ES14" s="75" t="s">
        <v>3</v>
      </c>
      <c r="ET14" s="75" t="s">
        <v>3</v>
      </c>
      <c r="EU14" s="75" t="s">
        <v>3</v>
      </c>
      <c r="EV14" s="234"/>
      <c r="EW14" s="234"/>
      <c r="EX14" s="234" t="n">
        <v>49</v>
      </c>
    </row>
    <row r="15" customFormat="false" ht="14.25" hidden="false" customHeight="false" outlineLevel="0" collapsed="false">
      <c r="AF15" s="249" t="s">
        <v>242</v>
      </c>
      <c r="AG15" s="249"/>
      <c r="AH15" s="231" t="str">
        <f aca="false">Collar19[[#This Row],[Collar]]&amp;IF(Collar19[[#This Row],[Price]]="",""," (+"&amp;TEXT(Collar19[[#This Row],[Price]],"$0.00"&amp;")"))</f>
        <v>V-Neck</v>
      </c>
      <c r="AI15" s="250" t="s">
        <v>338</v>
      </c>
      <c r="AJ15" s="251"/>
      <c r="AK15" s="247" t="s">
        <v>240</v>
      </c>
      <c r="AL15" s="252" t="s">
        <v>155</v>
      </c>
      <c r="AM15" s="247" t="str">
        <f aca="false">Collar19[[#This Row],[Collection]]&amp;Collar19[[#This Row],[Sleeve]]</f>
        <v>PerformanceLong</v>
      </c>
      <c r="AU15" s="237" t="s">
        <v>223</v>
      </c>
      <c r="AV15" s="231" t="n">
        <v>13</v>
      </c>
      <c r="AW15" s="231" t="str">
        <f aca="false">Size28[[#This Row],[Size]]&amp;IF(Size28[[#This Row],[Price]]="",""," (+"&amp;TEXT(Size28[[#This Row],[Price]],"$0.00")&amp;")")</f>
        <v>Small</v>
      </c>
      <c r="AX15" s="236" t="s">
        <v>197</v>
      </c>
      <c r="AZ15" s="224" t="s">
        <v>163</v>
      </c>
      <c r="BL15" s="231" t="s">
        <v>339</v>
      </c>
      <c r="BM15" s="231" t="n">
        <v>13</v>
      </c>
      <c r="BN15" s="231" t="str">
        <f aca="false">Logos31[[#This Row],[Logos]]&amp;IF(Logos31[[#This Row],[Use]]="Flat"," (+"&amp;TEXT(Logos31[[#This Row],[Flat]],"$0.00")&amp;")"," (+"&amp;TEXT(Logos31[[#This Row],[Pct]],"0%")&amp;" of base price)")</f>
        <v>Motiv (+$5.00)</v>
      </c>
      <c r="BO15" s="231" t="s">
        <v>339</v>
      </c>
      <c r="BP15" s="223" t="n">
        <v>0.1</v>
      </c>
      <c r="BQ15" s="265" t="n">
        <v>5</v>
      </c>
      <c r="BR15" s="232" t="s">
        <v>166</v>
      </c>
      <c r="CB15" s="231" t="s">
        <v>340</v>
      </c>
      <c r="CC15" s="231" t="n">
        <v>13</v>
      </c>
      <c r="CD15" s="231" t="str">
        <f aca="false">LeftSleeve39[[#This Row],[Logos]]&amp;IF(LeftSleeve39[[#This Row],[Use]]="","",IF(LeftSleeve39[[#This Row],[Use]]="Flat"," (+"&amp;TEXT(LeftSleeve39[[#This Row],[Flat]],"$0.00")&amp;")"," (+"&amp;TEXT(LeftSleeve39[[#This Row],[Pct]],"0%")&amp;" of base price)"))</f>
        <v>Mexico Flag (+$5.00)</v>
      </c>
      <c r="CE15" s="231" t="s">
        <v>341</v>
      </c>
      <c r="CF15" s="224"/>
      <c r="CG15" s="233" t="n">
        <v>5</v>
      </c>
      <c r="CH15" s="231" t="s">
        <v>166</v>
      </c>
      <c r="CI15" s="231"/>
      <c r="CQ15" s="231"/>
      <c r="EN15" s="231" t="s">
        <v>342</v>
      </c>
      <c r="EO15" s="75" t="n">
        <v>0.3</v>
      </c>
      <c r="EQ15" s="75" t="s">
        <v>175</v>
      </c>
      <c r="ER15" s="75" t="s">
        <v>3</v>
      </c>
      <c r="ES15" s="75" t="s">
        <v>3</v>
      </c>
      <c r="ET15" s="75" t="n">
        <v>10</v>
      </c>
      <c r="EU15" s="75" t="s">
        <v>175</v>
      </c>
      <c r="EV15" s="234"/>
      <c r="EW15" s="234"/>
      <c r="EX15" s="234" t="n">
        <v>49</v>
      </c>
    </row>
    <row r="16" customFormat="false" ht="14.25" hidden="false" customHeight="false" outlineLevel="0" collapsed="false">
      <c r="AF16" s="231" t="s">
        <v>260</v>
      </c>
      <c r="AG16" s="231"/>
      <c r="AH16" s="231" t="str">
        <f aca="false">Collar19[[#This Row],[Collar]]&amp;IF(Collar19[[#This Row],[Price]]="",""," (+"&amp;TEXT(Collar19[[#This Row],[Price]],"$0.00"&amp;")"))</f>
        <v>Crew</v>
      </c>
      <c r="AI16" s="236" t="s">
        <v>343</v>
      </c>
      <c r="AJ16" s="262"/>
      <c r="AK16" s="252" t="s">
        <v>240</v>
      </c>
      <c r="AL16" s="252" t="s">
        <v>155</v>
      </c>
      <c r="AM16" s="252" t="str">
        <f aca="false">Collar19[[#This Row],[Collection]]&amp;Collar19[[#This Row],[Sleeve]]</f>
        <v>PerformanceLong</v>
      </c>
      <c r="AO16" s="231"/>
      <c r="AP16" s="231"/>
      <c r="AQ16" s="231"/>
      <c r="AR16" s="231"/>
      <c r="AS16" s="231"/>
      <c r="AU16" s="237" t="s">
        <v>244</v>
      </c>
      <c r="AV16" s="231" t="n">
        <v>14</v>
      </c>
      <c r="AW16" s="231" t="str">
        <f aca="false">Size28[[#This Row],[Size]]&amp;IF(Size28[[#This Row],[Price]]="",""," (+"&amp;TEXT(Size28[[#This Row],[Price]],"$0.00")&amp;")")</f>
        <v>Medium</v>
      </c>
      <c r="AX16" s="236" t="s">
        <v>194</v>
      </c>
      <c r="AZ16" s="224" t="s">
        <v>163</v>
      </c>
      <c r="BL16" s="231" t="s">
        <v>274</v>
      </c>
      <c r="BM16" s="231" t="n">
        <v>14</v>
      </c>
      <c r="BN16" s="231" t="str">
        <f aca="false">Logos31[[#This Row],[Logos]]&amp;IF(Logos31[[#This Row],[Use]]="Flat"," (+"&amp;TEXT(Logos31[[#This Row],[Flat]],"$0.00")&amp;")"," (+"&amp;TEXT(Logos31[[#This Row],[Pct]],"0%")&amp;" of base price)")</f>
        <v>Powerhouse (+$5.00)</v>
      </c>
      <c r="BO16" s="231" t="s">
        <v>274</v>
      </c>
      <c r="BP16" s="223" t="n">
        <v>0.1</v>
      </c>
      <c r="BQ16" s="265" t="n">
        <v>5</v>
      </c>
      <c r="BR16" s="232" t="s">
        <v>166</v>
      </c>
      <c r="CI16" s="231"/>
      <c r="CQ16" s="231"/>
      <c r="EL16" s="268"/>
      <c r="EN16" s="231" t="s">
        <v>344</v>
      </c>
      <c r="EO16" s="75" t="n">
        <v>0.2</v>
      </c>
      <c r="EQ16" s="75" t="s">
        <v>3</v>
      </c>
      <c r="ER16" s="75" t="s">
        <v>3</v>
      </c>
      <c r="ES16" s="75" t="s">
        <v>3</v>
      </c>
      <c r="ET16" s="75" t="s">
        <v>3</v>
      </c>
      <c r="EU16" s="75" t="s">
        <v>3</v>
      </c>
      <c r="EV16" s="234"/>
      <c r="EW16" s="234"/>
      <c r="EX16" s="234" t="n">
        <v>49</v>
      </c>
    </row>
    <row r="17" customFormat="false" ht="14.25" hidden="false" customHeight="false" outlineLevel="0" collapsed="false">
      <c r="AF17" s="249" t="s">
        <v>296</v>
      </c>
      <c r="AG17" s="249"/>
      <c r="AH17" s="231" t="str">
        <f aca="false">Collar19[[#This Row],[Collar]]&amp;IF(Collar19[[#This Row],[Price]]="",""," (+"&amp;TEXT(Collar19[[#This Row],[Price]],"$0.00"&amp;")"))</f>
        <v>1/4 Zip Polo (+$5.00)</v>
      </c>
      <c r="AI17" s="250" t="s">
        <v>345</v>
      </c>
      <c r="AJ17" s="251" t="n">
        <v>5</v>
      </c>
      <c r="AK17" s="247" t="s">
        <v>240</v>
      </c>
      <c r="AL17" s="252" t="s">
        <v>155</v>
      </c>
      <c r="AM17" s="247" t="str">
        <f aca="false">Collar19[[#This Row],[Collection]]&amp;Collar19[[#This Row],[Sleeve]]</f>
        <v>PerformanceLong</v>
      </c>
      <c r="AO17" s="231"/>
      <c r="AP17" s="231"/>
      <c r="AQ17" s="231"/>
      <c r="AR17" s="231"/>
      <c r="AS17" s="231"/>
      <c r="AU17" s="237" t="s">
        <v>77</v>
      </c>
      <c r="AV17" s="231" t="n">
        <v>15</v>
      </c>
      <c r="AW17" s="231" t="str">
        <f aca="false">Size28[[#This Row],[Size]]&amp;IF(Size28[[#This Row],[Price]]="",""," (+"&amp;TEXT(Size28[[#This Row],[Price]],"$0.00")&amp;")")</f>
        <v>Large</v>
      </c>
      <c r="AX17" s="236" t="s">
        <v>241</v>
      </c>
      <c r="AZ17" s="224" t="s">
        <v>163</v>
      </c>
      <c r="BL17" s="231" t="s">
        <v>346</v>
      </c>
      <c r="BM17" s="231" t="n">
        <v>15</v>
      </c>
      <c r="BN17" s="231" t="str">
        <f aca="false">Logos31[[#This Row],[Logos]]&amp;IF(Logos31[[#This Row],[Use]]="Flat"," (+"&amp;TEXT(Logos31[[#This Row],[Flat]],"$0.00")&amp;")"," (+"&amp;TEXT(Logos31[[#This Row],[Pct]],"0%")&amp;" of base price)")</f>
        <v>Radical (+$5.00)</v>
      </c>
      <c r="BO17" s="231" t="s">
        <v>346</v>
      </c>
      <c r="BP17" s="223" t="n">
        <v>0.1</v>
      </c>
      <c r="BQ17" s="265" t="n">
        <v>5</v>
      </c>
      <c r="BR17" s="232" t="s">
        <v>166</v>
      </c>
      <c r="CI17" s="231"/>
      <c r="CQ17" s="231"/>
      <c r="EN17" s="231" t="s">
        <v>347</v>
      </c>
      <c r="EO17" s="75" t="n">
        <v>0.3</v>
      </c>
      <c r="EQ17" s="75" t="s">
        <v>3</v>
      </c>
      <c r="ER17" s="75" t="s">
        <v>3</v>
      </c>
      <c r="ES17" s="75" t="s">
        <v>3</v>
      </c>
      <c r="ET17" s="75" t="s">
        <v>3</v>
      </c>
      <c r="EU17" s="75" t="s">
        <v>3</v>
      </c>
      <c r="EV17" s="234"/>
      <c r="EW17" s="234"/>
      <c r="EX17" s="234" t="n">
        <v>49</v>
      </c>
    </row>
    <row r="18" customFormat="false" ht="14.25" hidden="false" customHeight="false" outlineLevel="0" collapsed="false">
      <c r="AC18" s="231"/>
      <c r="AF18" s="231" t="s">
        <v>348</v>
      </c>
      <c r="AG18" s="231"/>
      <c r="AH18" s="231" t="str">
        <f aca="false">Collar19[[#This Row],[Collar]]&amp;IF(Collar19[[#This Row],[Price]]="",""," (+"&amp;TEXT(Collar19[[#This Row],[Price]],"$0.00"&amp;")"))</f>
        <v>1/4 Zip Pullover (+$5.00)</v>
      </c>
      <c r="AI18" s="236" t="s">
        <v>349</v>
      </c>
      <c r="AJ18" s="262" t="n">
        <v>5</v>
      </c>
      <c r="AK18" s="252" t="s">
        <v>240</v>
      </c>
      <c r="AL18" s="252" t="s">
        <v>155</v>
      </c>
      <c r="AM18" s="252" t="str">
        <f aca="false">Collar19[[#This Row],[Collection]]&amp;Collar19[[#This Row],[Sleeve]]</f>
        <v>PerformanceLong</v>
      </c>
      <c r="AN18" s="231"/>
      <c r="AP18" s="231"/>
      <c r="AQ18" s="231"/>
      <c r="AR18" s="231"/>
      <c r="AS18" s="231"/>
      <c r="AU18" s="237" t="s">
        <v>272</v>
      </c>
      <c r="AV18" s="231" t="n">
        <v>16</v>
      </c>
      <c r="AW18" s="231" t="str">
        <f aca="false">Size28[[#This Row],[Size]]&amp;IF(Size28[[#This Row],[Price]]="",""," (+"&amp;TEXT(Size28[[#This Row],[Price]],"$0.00")&amp;")")</f>
        <v>X-Large</v>
      </c>
      <c r="AX18" s="236" t="s">
        <v>116</v>
      </c>
      <c r="AZ18" s="224" t="s">
        <v>163</v>
      </c>
      <c r="BL18" s="231" t="s">
        <v>350</v>
      </c>
      <c r="BM18" s="231" t="n">
        <v>16</v>
      </c>
      <c r="BN18" s="231" t="str">
        <f aca="false">Logos31[[#This Row],[Logos]]&amp;IF(Logos31[[#This Row],[Use]]="Flat"," (+"&amp;TEXT(Logos31[[#This Row],[Flat]],"$0.00")&amp;")"," (+"&amp;TEXT(Logos31[[#This Row],[Pct]],"0%")&amp;" of base price)")</f>
        <v>Robby's  (+$5.00)</v>
      </c>
      <c r="BO18" s="231" t="s">
        <v>351</v>
      </c>
      <c r="BP18" s="223" t="n">
        <v>0.1</v>
      </c>
      <c r="BQ18" s="265" t="n">
        <v>5</v>
      </c>
      <c r="BR18" s="232" t="s">
        <v>166</v>
      </c>
      <c r="CI18" s="231"/>
      <c r="CQ18" s="231"/>
      <c r="EN18" s="231" t="s">
        <v>352</v>
      </c>
      <c r="EO18" s="75" t="n">
        <v>0.4</v>
      </c>
      <c r="EQ18" s="75" t="s">
        <v>3</v>
      </c>
      <c r="ER18" s="75" t="s">
        <v>3</v>
      </c>
      <c r="ES18" s="75" t="s">
        <v>3</v>
      </c>
      <c r="ET18" s="75" t="s">
        <v>3</v>
      </c>
      <c r="EU18" s="75" t="s">
        <v>3</v>
      </c>
      <c r="EV18" s="234"/>
      <c r="EW18" s="234"/>
      <c r="EX18" s="234" t="n">
        <v>49</v>
      </c>
    </row>
    <row r="19" customFormat="false" ht="14.25" hidden="false" customHeight="false" outlineLevel="0" collapsed="false">
      <c r="AF19" s="249" t="s">
        <v>321</v>
      </c>
      <c r="AG19" s="249"/>
      <c r="AH19" s="231" t="str">
        <f aca="false">Collar19[[#This Row],[Collar]]&amp;IF(Collar19[[#This Row],[Price]]="",""," (+"&amp;TEXT(Collar19[[#This Row],[Price]],"$0.00"&amp;")"))</f>
        <v>Lightweight Hoodie (+$5.00)</v>
      </c>
      <c r="AI19" s="250" t="s">
        <v>353</v>
      </c>
      <c r="AJ19" s="251" t="n">
        <v>5</v>
      </c>
      <c r="AK19" s="247" t="s">
        <v>240</v>
      </c>
      <c r="AL19" s="252" t="s">
        <v>155</v>
      </c>
      <c r="AM19" s="247" t="str">
        <f aca="false">Collar19[[#This Row],[Collection]]&amp;Collar19[[#This Row],[Sleeve]]</f>
        <v>PerformanceLong</v>
      </c>
      <c r="AN19" s="231"/>
      <c r="AO19" s="231"/>
      <c r="AP19" s="231"/>
      <c r="AQ19" s="231"/>
      <c r="AR19" s="231"/>
      <c r="AS19" s="231"/>
      <c r="AU19" s="237" t="s">
        <v>286</v>
      </c>
      <c r="AV19" s="231" t="n">
        <v>17</v>
      </c>
      <c r="AW19" s="231" t="str">
        <f aca="false">Size28[[#This Row],[Size]]&amp;IF(Size28[[#This Row],[Price]]="",""," (+"&amp;TEXT(Size28[[#This Row],[Price]],"$0.00")&amp;")")</f>
        <v>2X-Large (+$2.00)</v>
      </c>
      <c r="AX19" s="225" t="n">
        <v>2</v>
      </c>
      <c r="AY19" s="224" t="n">
        <v>2</v>
      </c>
      <c r="AZ19" s="224" t="s">
        <v>163</v>
      </c>
      <c r="BL19" s="231" t="s">
        <v>354</v>
      </c>
      <c r="BM19" s="231" t="n">
        <v>17</v>
      </c>
      <c r="BN19" s="231" t="str">
        <f aca="false">Logos31[[#This Row],[Logos]]&amp;IF(Logos31[[#This Row],[Use]]="Flat"," (+"&amp;TEXT(Logos31[[#This Row],[Flat]],"$0.00")&amp;")"," (+"&amp;TEXT(Logos31[[#This Row],[Pct]],"0%")&amp;" of base price)")</f>
        <v>Roto-Grip (+$5.00)</v>
      </c>
      <c r="BO19" s="231" t="s">
        <v>355</v>
      </c>
      <c r="BP19" s="223" t="n">
        <v>0.1</v>
      </c>
      <c r="BQ19" s="265" t="n">
        <v>5</v>
      </c>
      <c r="BR19" s="232" t="s">
        <v>166</v>
      </c>
      <c r="CI19" s="231"/>
      <c r="CQ19" s="231"/>
      <c r="EL19" s="268"/>
      <c r="EN19" s="231" t="s">
        <v>356</v>
      </c>
      <c r="EO19" s="75" t="n">
        <v>0.5</v>
      </c>
      <c r="EQ19" s="75" t="s">
        <v>3</v>
      </c>
      <c r="ER19" s="75" t="s">
        <v>3</v>
      </c>
      <c r="ES19" s="75" t="s">
        <v>3</v>
      </c>
      <c r="ET19" s="75" t="s">
        <v>3</v>
      </c>
      <c r="EU19" s="75" t="s">
        <v>3</v>
      </c>
      <c r="EV19" s="234"/>
      <c r="EW19" s="234"/>
      <c r="EX19" s="234" t="n">
        <v>49</v>
      </c>
    </row>
    <row r="20" customFormat="false" ht="14.25" hidden="false" customHeight="false" outlineLevel="0" collapsed="false">
      <c r="AF20" s="231" t="s">
        <v>357</v>
      </c>
      <c r="AG20" s="231"/>
      <c r="AH20" s="231" t="str">
        <f aca="false">Collar19[[#This Row],[Collar]]&amp;IF(Collar19[[#This Row],[Price]]="",""," (+"&amp;TEXT(Collar19[[#This Row],[Price]],"$0.00"&amp;")"))</f>
        <v>Lightweight 1/4 Zip Hoodie (+$10.00)</v>
      </c>
      <c r="AI20" s="236" t="s">
        <v>358</v>
      </c>
      <c r="AJ20" s="262" t="n">
        <v>10</v>
      </c>
      <c r="AK20" s="252" t="s">
        <v>240</v>
      </c>
      <c r="AL20" s="252" t="s">
        <v>155</v>
      </c>
      <c r="AM20" s="252" t="str">
        <f aca="false">Collar19[[#This Row],[Collection]]&amp;Collar19[[#This Row],[Sleeve]]</f>
        <v>PerformanceLong</v>
      </c>
      <c r="AN20" s="231"/>
      <c r="AO20" s="231"/>
      <c r="AP20" s="231"/>
      <c r="AQ20" s="231"/>
      <c r="AR20" s="231"/>
      <c r="AS20" s="231"/>
      <c r="AU20" s="237" t="s">
        <v>298</v>
      </c>
      <c r="AV20" s="231" t="n">
        <v>18</v>
      </c>
      <c r="AW20" s="231" t="str">
        <f aca="false">Size28[[#This Row],[Size]]&amp;IF(Size28[[#This Row],[Price]]="",""," (+"&amp;TEXT(Size28[[#This Row],[Price]],"$0.00")&amp;")")</f>
        <v>3X-Large (+$4.00)</v>
      </c>
      <c r="AX20" s="225" t="n">
        <v>3</v>
      </c>
      <c r="AY20" s="224" t="n">
        <v>4</v>
      </c>
      <c r="AZ20" s="224" t="s">
        <v>163</v>
      </c>
      <c r="BL20" s="231" t="s">
        <v>359</v>
      </c>
      <c r="BM20" s="231" t="n">
        <v>18</v>
      </c>
      <c r="BN20" s="231" t="str">
        <f aca="false">Logos31[[#This Row],[Logos]]&amp;IF(Logos31[[#This Row],[Use]]="Flat"," (+"&amp;TEXT(Logos31[[#This Row],[Flat]],"$0.00")&amp;")"," (+"&amp;TEXT(Logos31[[#This Row],[Pct]],"0%")&amp;" of base price)")</f>
        <v>Storm (+$5.00)</v>
      </c>
      <c r="BO20" s="231" t="s">
        <v>359</v>
      </c>
      <c r="BP20" s="223" t="n">
        <v>0.1</v>
      </c>
      <c r="BQ20" s="265" t="n">
        <v>5</v>
      </c>
      <c r="BR20" s="232" t="s">
        <v>166</v>
      </c>
      <c r="CI20" s="231"/>
      <c r="CQ20" s="231"/>
      <c r="EN20" s="231" t="s">
        <v>1</v>
      </c>
      <c r="EQ20" s="75" t="s">
        <v>3</v>
      </c>
      <c r="ER20" s="75" t="s">
        <v>3</v>
      </c>
      <c r="ES20" s="75" t="s">
        <v>3</v>
      </c>
      <c r="ET20" s="75" t="s">
        <v>3</v>
      </c>
      <c r="EU20" s="75" t="s">
        <v>3</v>
      </c>
      <c r="EV20" s="234"/>
      <c r="EW20" s="234"/>
      <c r="EX20" s="234" t="n">
        <v>49</v>
      </c>
    </row>
    <row r="21" customFormat="false" ht="14.25" hidden="false" customHeight="false" outlineLevel="0" collapsed="false">
      <c r="AF21" s="249" t="s">
        <v>198</v>
      </c>
      <c r="AG21" s="249"/>
      <c r="AH21" s="231" t="str">
        <f aca="false">Collar19[[#This Row],[Collar]]&amp;IF(Collar19[[#This Row],[Price]]="",""," (+"&amp;TEXT(Collar19[[#This Row],[Price]],"$0.00"&amp;")"))</f>
        <v>1/4 Zip Sash (+$10.00)</v>
      </c>
      <c r="AI21" s="250" t="s">
        <v>360</v>
      </c>
      <c r="AJ21" s="251" t="n">
        <v>10</v>
      </c>
      <c r="AK21" s="247" t="s">
        <v>219</v>
      </c>
      <c r="AL21" s="252" t="s">
        <v>155</v>
      </c>
      <c r="AM21" s="247" t="str">
        <f aca="false">Collar19[[#This Row],[Collection]]&amp;Collar19[[#This Row],[Sleeve]]</f>
        <v>PerformanceSleeveless</v>
      </c>
      <c r="AN21" s="231"/>
      <c r="AO21" s="231"/>
      <c r="AP21" s="231"/>
      <c r="AQ21" s="231"/>
      <c r="AR21" s="231"/>
      <c r="AS21" s="231"/>
      <c r="AU21" s="237" t="s">
        <v>308</v>
      </c>
      <c r="AV21" s="231" t="n">
        <v>19</v>
      </c>
      <c r="AW21" s="231" t="str">
        <f aca="false">Size28[[#This Row],[Size]]&amp;IF(Size28[[#This Row],[Price]]="",""," (+"&amp;TEXT(Size28[[#This Row],[Price]],"$0.00")&amp;")")</f>
        <v>4X-Large (+$6.00)</v>
      </c>
      <c r="AX21" s="225" t="n">
        <v>4</v>
      </c>
      <c r="AY21" s="224" t="n">
        <v>6</v>
      </c>
      <c r="AZ21" s="224" t="s">
        <v>163</v>
      </c>
      <c r="BL21" s="231" t="s">
        <v>361</v>
      </c>
      <c r="BM21" s="231" t="n">
        <v>19</v>
      </c>
      <c r="BN21" s="231" t="str">
        <f aca="false">Logos31[[#This Row],[Logos]]&amp;IF(Logos31[[#This Row],[Use]]="Flat"," (+"&amp;TEXT(Logos31[[#This Row],[Flat]],"$0.00")&amp;")"," (+"&amp;TEXT(Logos31[[#This Row],[Pct]],"0%")&amp;" of base price)")</f>
        <v>SWAG (+$5.00)</v>
      </c>
      <c r="BO21" s="231" t="s">
        <v>361</v>
      </c>
      <c r="BP21" s="223" t="n">
        <v>0.1</v>
      </c>
      <c r="BQ21" s="265" t="n">
        <v>5</v>
      </c>
      <c r="BR21" s="232" t="s">
        <v>166</v>
      </c>
      <c r="CI21" s="231"/>
      <c r="CQ21" s="231"/>
    </row>
    <row r="22" customFormat="false" ht="14.25" hidden="false" customHeight="false" outlineLevel="0" collapsed="false">
      <c r="AF22" s="231" t="s">
        <v>221</v>
      </c>
      <c r="AG22" s="231"/>
      <c r="AH22" s="231" t="str">
        <f aca="false">Collar19[[#This Row],[Collar]]&amp;IF(Collar19[[#This Row],[Price]]="",""," (+"&amp;TEXT(Collar19[[#This Row],[Price]],"$0.00"&amp;")"))</f>
        <v>Polo (+$10.00)</v>
      </c>
      <c r="AI22" s="236" t="s">
        <v>362</v>
      </c>
      <c r="AJ22" s="262" t="n">
        <v>10</v>
      </c>
      <c r="AK22" s="252" t="s">
        <v>219</v>
      </c>
      <c r="AL22" s="252" t="s">
        <v>155</v>
      </c>
      <c r="AM22" s="252" t="str">
        <f aca="false">Collar19[[#This Row],[Collection]]&amp;Collar19[[#This Row],[Sleeve]]</f>
        <v>PerformanceSleeveless</v>
      </c>
      <c r="AN22" s="231"/>
      <c r="AO22" s="231"/>
      <c r="AP22" s="231"/>
      <c r="AQ22" s="231"/>
      <c r="AR22" s="231"/>
      <c r="AS22" s="231"/>
      <c r="AU22" s="237" t="s">
        <v>316</v>
      </c>
      <c r="AV22" s="231" t="n">
        <v>20</v>
      </c>
      <c r="AW22" s="231" t="str">
        <f aca="false">Size28[[#This Row],[Size]]&amp;IF(Size28[[#This Row],[Price]]="",""," (+"&amp;TEXT(Size28[[#This Row],[Price]],"$0.00")&amp;")")</f>
        <v>5X-Large (+$9.00)</v>
      </c>
      <c r="AX22" s="225" t="n">
        <v>5</v>
      </c>
      <c r="AY22" s="224" t="n">
        <v>9</v>
      </c>
      <c r="AZ22" s="224" t="s">
        <v>163</v>
      </c>
      <c r="BL22" s="231" t="s">
        <v>363</v>
      </c>
      <c r="BM22" s="231" t="n">
        <v>20</v>
      </c>
      <c r="BN22" s="231" t="str">
        <f aca="false">Logos31[[#This Row],[Logos]]&amp;IF(Logos31[[#This Row],[Use]]="Flat"," (+"&amp;TEXT(Logos31[[#This Row],[Flat]],"$0.00")&amp;")"," (+"&amp;TEXT(Logos31[[#This Row],[Pct]],"0%")&amp;" of base price)")</f>
        <v>Track (+$5.00)</v>
      </c>
      <c r="BO22" s="231" t="s">
        <v>363</v>
      </c>
      <c r="BP22" s="223" t="n">
        <v>0.1</v>
      </c>
      <c r="BQ22" s="265" t="n">
        <v>5</v>
      </c>
      <c r="BR22" s="232" t="s">
        <v>166</v>
      </c>
      <c r="CI22" s="231"/>
      <c r="CQ22" s="231"/>
      <c r="EL22" s="268"/>
    </row>
    <row r="23" customFormat="false" ht="14.25" hidden="false" customHeight="false" outlineLevel="0" collapsed="false">
      <c r="AF23" s="249" t="s">
        <v>242</v>
      </c>
      <c r="AG23" s="249"/>
      <c r="AH23" s="231" t="str">
        <f aca="false">Collar19[[#This Row],[Collar]]&amp;IF(Collar19[[#This Row],[Price]]="",""," (+"&amp;TEXT(Collar19[[#This Row],[Price]],"$0.00"&amp;")"))</f>
        <v>V-Neck</v>
      </c>
      <c r="AI23" s="250" t="s">
        <v>364</v>
      </c>
      <c r="AJ23" s="251"/>
      <c r="AK23" s="247" t="s">
        <v>219</v>
      </c>
      <c r="AL23" s="252" t="s">
        <v>155</v>
      </c>
      <c r="AM23" s="247" t="str">
        <f aca="false">Collar19[[#This Row],[Collection]]&amp;Collar19[[#This Row],[Sleeve]]</f>
        <v>PerformanceSleeveless</v>
      </c>
      <c r="AN23" s="231"/>
      <c r="AO23" s="231"/>
      <c r="AP23" s="231"/>
      <c r="AQ23" s="231"/>
      <c r="AR23" s="231"/>
      <c r="AS23" s="231"/>
      <c r="AU23" s="237" t="s">
        <v>323</v>
      </c>
      <c r="AV23" s="231" t="n">
        <v>21</v>
      </c>
      <c r="AW23" s="231" t="str">
        <f aca="false">Size28[[#This Row],[Size]]&amp;IF(Size28[[#This Row],[Price]]="",""," (+"&amp;TEXT(Size28[[#This Row],[Price]],"$0.00")&amp;")")</f>
        <v>6X-Large (+$12.00)</v>
      </c>
      <c r="AX23" s="225" t="n">
        <v>6</v>
      </c>
      <c r="AY23" s="224" t="n">
        <v>12</v>
      </c>
      <c r="AZ23" s="224" t="s">
        <v>163</v>
      </c>
      <c r="BL23" s="231" t="s">
        <v>289</v>
      </c>
      <c r="BM23" s="231" t="n">
        <v>21</v>
      </c>
      <c r="BN23" s="231" t="e">
        <f aca="false">RightSleeve48[[#This Row],[Logos]]</f>
        <v>#VALUE!</v>
      </c>
      <c r="BO23" s="231" t="s">
        <v>290</v>
      </c>
      <c r="BP23" s="224"/>
      <c r="BQ23" s="233"/>
      <c r="BR23" s="231"/>
      <c r="CI23" s="231"/>
      <c r="CQ23" s="231"/>
    </row>
    <row r="24" customFormat="false" ht="14.25" hidden="false" customHeight="false" outlineLevel="0" collapsed="false">
      <c r="AF24" s="231" t="s">
        <v>260</v>
      </c>
      <c r="AG24" s="231"/>
      <c r="AH24" s="231" t="str">
        <f aca="false">Collar19[[#This Row],[Collar]]&amp;IF(Collar19[[#This Row],[Price]]="",""," (+"&amp;TEXT(Collar19[[#This Row],[Price]],"$0.00"&amp;")"))</f>
        <v>Crew</v>
      </c>
      <c r="AI24" s="236" t="s">
        <v>365</v>
      </c>
      <c r="AJ24" s="262"/>
      <c r="AK24" s="252" t="s">
        <v>219</v>
      </c>
      <c r="AL24" s="252" t="s">
        <v>155</v>
      </c>
      <c r="AM24" s="252" t="str">
        <f aca="false">Collar19[[#This Row],[Collection]]&amp;Collar19[[#This Row],[Sleeve]]</f>
        <v>PerformanceSleeveless</v>
      </c>
      <c r="AN24" s="231"/>
      <c r="AO24" s="231"/>
      <c r="AP24" s="231"/>
      <c r="AQ24" s="231"/>
      <c r="AR24" s="231"/>
      <c r="AS24" s="231"/>
      <c r="AU24" s="237" t="s">
        <v>328</v>
      </c>
      <c r="AV24" s="231" t="n">
        <v>22</v>
      </c>
      <c r="AW24" s="231" t="str">
        <f aca="false">Size28[[#This Row],[Size]]&amp;IF(Size28[[#This Row],[Price]]="",""," (+"&amp;TEXT(Size28[[#This Row],[Price]],"$0.00")&amp;")")</f>
        <v>7X-Large (+$12.00)</v>
      </c>
      <c r="AX24" s="225" t="n">
        <v>7</v>
      </c>
      <c r="AY24" s="224" t="n">
        <v>12</v>
      </c>
      <c r="AZ24" s="224" t="s">
        <v>163</v>
      </c>
      <c r="CQ24" s="231"/>
    </row>
    <row r="25" customFormat="false" ht="14.25" hidden="false" customHeight="false" outlineLevel="0" collapsed="false">
      <c r="AF25" s="249" t="s">
        <v>321</v>
      </c>
      <c r="AG25" s="249"/>
      <c r="AH25" s="231" t="str">
        <f aca="false">Collar19[[#This Row],[Collar]]&amp;IF(Collar19[[#This Row],[Price]]="",""," (+"&amp;TEXT(Collar19[[#This Row],[Price]],"$0.00"&amp;")"))</f>
        <v>Lightweight Hoodie (+$15.00)</v>
      </c>
      <c r="AI25" s="250" t="s">
        <v>366</v>
      </c>
      <c r="AJ25" s="251" t="n">
        <v>15</v>
      </c>
      <c r="AK25" s="247" t="s">
        <v>219</v>
      </c>
      <c r="AL25" s="252" t="s">
        <v>155</v>
      </c>
      <c r="AM25" s="247" t="str">
        <f aca="false">Collar19[[#This Row],[Collection]]&amp;Collar19[[#This Row],[Sleeve]]</f>
        <v>PerformanceSleeveless</v>
      </c>
      <c r="AN25" s="231"/>
      <c r="AO25" s="231"/>
      <c r="AP25" s="231"/>
      <c r="AQ25" s="231"/>
      <c r="AR25" s="231"/>
      <c r="AS25" s="231"/>
      <c r="AU25" s="237" t="s">
        <v>200</v>
      </c>
      <c r="AV25" s="231" t="n">
        <v>23</v>
      </c>
      <c r="AW25" s="231" t="str">
        <f aca="false">Size28[[#This Row],[Size]]&amp;IF(Size28[[#This Row],[Price]]="",""," (+"&amp;TEXT(Size28[[#This Row],[Price]],"$0.00")&amp;")")</f>
        <v>X-Small</v>
      </c>
      <c r="AX25" s="236" t="s">
        <v>201</v>
      </c>
      <c r="AZ25" s="224" t="s">
        <v>152</v>
      </c>
      <c r="CQ25" s="231"/>
    </row>
    <row r="26" customFormat="false" ht="14.25" hidden="false" customHeight="false" outlineLevel="0" collapsed="false">
      <c r="AF26" s="231" t="s">
        <v>198</v>
      </c>
      <c r="AG26" s="231"/>
      <c r="AH26" s="231" t="str">
        <f aca="false">Collar19[[#This Row],[Collar]]&amp;IF(Collar19[[#This Row],[Price]]="",""," (+"&amp;TEXT(Collar19[[#This Row],[Price]],"$0.00"&amp;")"))</f>
        <v>1/4 Zip Sash (+$10.00)</v>
      </c>
      <c r="AI26" s="236" t="s">
        <v>367</v>
      </c>
      <c r="AJ26" s="262" t="n">
        <v>10</v>
      </c>
      <c r="AK26" s="252" t="s">
        <v>80</v>
      </c>
      <c r="AL26" s="252" t="s">
        <v>156</v>
      </c>
      <c r="AM26" s="252" t="str">
        <f aca="false">Collar19[[#This Row],[Collection]]&amp;Collar19[[#This Row],[Sleeve]]</f>
        <v>TourShort</v>
      </c>
      <c r="AN26" s="231"/>
      <c r="AO26" s="231"/>
      <c r="AP26" s="231"/>
      <c r="AQ26" s="231"/>
      <c r="AR26" s="231"/>
      <c r="AS26" s="231"/>
      <c r="AU26" s="237" t="s">
        <v>223</v>
      </c>
      <c r="AV26" s="231" t="n">
        <v>24</v>
      </c>
      <c r="AW26" s="231" t="str">
        <f aca="false">Size28[[#This Row],[Size]]&amp;IF(Size28[[#This Row],[Price]]="",""," (+"&amp;TEXT(Size28[[#This Row],[Price]],"$0.00")&amp;")")</f>
        <v>Small</v>
      </c>
      <c r="AX26" s="236" t="s">
        <v>197</v>
      </c>
      <c r="AZ26" s="224" t="s">
        <v>152</v>
      </c>
      <c r="CQ26" s="231"/>
    </row>
    <row r="27" customFormat="false" ht="14.25" hidden="false" customHeight="false" outlineLevel="0" collapsed="false">
      <c r="AF27" s="249" t="s">
        <v>221</v>
      </c>
      <c r="AG27" s="249"/>
      <c r="AH27" s="231" t="str">
        <f aca="false">Collar19[[#This Row],[Collar]]&amp;IF(Collar19[[#This Row],[Price]]="",""," (+"&amp;TEXT(Collar19[[#This Row],[Price]],"$0.00"&amp;")"))</f>
        <v>Polo (+$10.00)</v>
      </c>
      <c r="AI27" s="250" t="s">
        <v>368</v>
      </c>
      <c r="AJ27" s="251" t="n">
        <v>10</v>
      </c>
      <c r="AK27" s="247" t="s">
        <v>80</v>
      </c>
      <c r="AL27" s="252" t="s">
        <v>156</v>
      </c>
      <c r="AM27" s="247" t="str">
        <f aca="false">Collar19[[#This Row],[Collection]]&amp;Collar19[[#This Row],[Sleeve]]</f>
        <v>TourShort</v>
      </c>
      <c r="AN27" s="231"/>
      <c r="AO27" s="231"/>
      <c r="AP27" s="231"/>
      <c r="AQ27" s="231"/>
      <c r="AR27" s="231"/>
      <c r="AS27" s="231"/>
      <c r="AU27" s="237" t="s">
        <v>244</v>
      </c>
      <c r="AV27" s="231" t="n">
        <v>25</v>
      </c>
      <c r="AW27" s="231" t="str">
        <f aca="false">Size28[[#This Row],[Size]]&amp;IF(Size28[[#This Row],[Price]]="",""," (+"&amp;TEXT(Size28[[#This Row],[Price]],"$0.00")&amp;")")</f>
        <v>Medium</v>
      </c>
      <c r="AX27" s="236" t="s">
        <v>194</v>
      </c>
      <c r="AZ27" s="224" t="s">
        <v>152</v>
      </c>
      <c r="CQ27" s="231"/>
    </row>
    <row r="28" customFormat="false" ht="14.25" hidden="false" customHeight="false" outlineLevel="0" collapsed="false">
      <c r="AF28" s="231" t="s">
        <v>242</v>
      </c>
      <c r="AG28" s="231"/>
      <c r="AH28" s="231" t="str">
        <f aca="false">Collar19[[#This Row],[Collar]]&amp;IF(Collar19[[#This Row],[Price]]="",""," (+"&amp;TEXT(Collar19[[#This Row],[Price]],"$0.00"&amp;")"))</f>
        <v>V-Neck</v>
      </c>
      <c r="AI28" s="236" t="s">
        <v>369</v>
      </c>
      <c r="AJ28" s="262"/>
      <c r="AK28" s="252" t="s">
        <v>80</v>
      </c>
      <c r="AL28" s="252" t="s">
        <v>156</v>
      </c>
      <c r="AM28" s="252" t="str">
        <f aca="false">Collar19[[#This Row],[Collection]]&amp;Collar19[[#This Row],[Sleeve]]</f>
        <v>TourShort</v>
      </c>
      <c r="AN28" s="231"/>
      <c r="AO28" s="231"/>
      <c r="AP28" s="231"/>
      <c r="AQ28" s="231"/>
      <c r="AR28" s="231"/>
      <c r="AS28" s="231"/>
      <c r="AU28" s="237" t="s">
        <v>77</v>
      </c>
      <c r="AV28" s="231" t="n">
        <v>26</v>
      </c>
      <c r="AW28" s="231" t="str">
        <f aca="false">Size28[[#This Row],[Size]]&amp;IF(Size28[[#This Row],[Price]]="",""," (+"&amp;TEXT(Size28[[#This Row],[Price]],"$0.00")&amp;")")</f>
        <v>Large</v>
      </c>
      <c r="AX28" s="236" t="s">
        <v>241</v>
      </c>
      <c r="AZ28" s="224" t="s">
        <v>152</v>
      </c>
      <c r="CQ28" s="231"/>
    </row>
    <row r="29" customFormat="false" ht="14.25" hidden="false" customHeight="false" outlineLevel="0" collapsed="false">
      <c r="AF29" s="249" t="s">
        <v>260</v>
      </c>
      <c r="AG29" s="249"/>
      <c r="AH29" s="231" t="str">
        <f aca="false">Collar19[[#This Row],[Collar]]&amp;IF(Collar19[[#This Row],[Price]]="",""," (+"&amp;TEXT(Collar19[[#This Row],[Price]],"$0.00"&amp;")"))</f>
        <v>Crew</v>
      </c>
      <c r="AI29" s="250" t="s">
        <v>370</v>
      </c>
      <c r="AJ29" s="251"/>
      <c r="AK29" s="247" t="s">
        <v>80</v>
      </c>
      <c r="AL29" s="252" t="s">
        <v>156</v>
      </c>
      <c r="AM29" s="247" t="str">
        <f aca="false">Collar19[[#This Row],[Collection]]&amp;Collar19[[#This Row],[Sleeve]]</f>
        <v>TourShort</v>
      </c>
      <c r="AN29" s="231"/>
      <c r="AO29" s="231"/>
      <c r="AP29" s="231"/>
      <c r="AQ29" s="231"/>
      <c r="AR29" s="231"/>
      <c r="AS29" s="231"/>
      <c r="AU29" s="237" t="s">
        <v>272</v>
      </c>
      <c r="AV29" s="231" t="n">
        <v>27</v>
      </c>
      <c r="AW29" s="231" t="str">
        <f aca="false">Size28[[#This Row],[Size]]&amp;IF(Size28[[#This Row],[Price]]="",""," (+"&amp;TEXT(Size28[[#This Row],[Price]],"$0.00")&amp;")")</f>
        <v>X-Large</v>
      </c>
      <c r="AX29" s="236" t="s">
        <v>116</v>
      </c>
      <c r="AZ29" s="233" t="s">
        <v>152</v>
      </c>
    </row>
    <row r="30" customFormat="false" ht="14.25" hidden="false" customHeight="false" outlineLevel="0" collapsed="false">
      <c r="AF30" s="231" t="s">
        <v>270</v>
      </c>
      <c r="AG30" s="231"/>
      <c r="AH30" s="231" t="str">
        <f aca="false">Collar19[[#This Row],[Collar]]&amp;IF(Collar19[[#This Row],[Price]]="",""," (+"&amp;TEXT(Collar19[[#This Row],[Price]],"$0.00"&amp;")"))</f>
        <v>1/4 Zip Blade (+$10.00)</v>
      </c>
      <c r="AI30" s="236" t="s">
        <v>371</v>
      </c>
      <c r="AJ30" s="262" t="n">
        <v>10</v>
      </c>
      <c r="AK30" s="252" t="s">
        <v>80</v>
      </c>
      <c r="AL30" s="252" t="s">
        <v>156</v>
      </c>
      <c r="AM30" s="252" t="str">
        <f aca="false">Collar19[[#This Row],[Collection]]&amp;Collar19[[#This Row],[Sleeve]]</f>
        <v>TourShort</v>
      </c>
      <c r="AN30" s="231"/>
      <c r="AO30" s="231"/>
      <c r="AP30" s="231"/>
      <c r="AQ30" s="231"/>
      <c r="AR30" s="231"/>
      <c r="AS30" s="231"/>
      <c r="AU30" s="237" t="s">
        <v>372</v>
      </c>
      <c r="AV30" s="231" t="n">
        <v>28</v>
      </c>
      <c r="AW30" s="231" t="str">
        <f aca="false">Size28[[#This Row],[Size]]&amp;IF(Size28[[#This Row],[Price]]="",""," (+"&amp;TEXT(Size28[[#This Row],[Price]],"$0.00")&amp;")")</f>
        <v>2T</v>
      </c>
      <c r="AX30" s="234" t="str">
        <f aca="false">Size28[[#This Row],[Size]]&amp;IF(Size28[[#This Row],[Price]]="",""," (+"&amp;TEXT(Size28[[#This Row],[Price]],"$0.00")&amp;")")</f>
        <v>2T</v>
      </c>
      <c r="AZ30" s="224" t="s">
        <v>153</v>
      </c>
    </row>
    <row r="31" customFormat="false" ht="14.25" hidden="false" customHeight="false" outlineLevel="0" collapsed="false">
      <c r="AF31" s="249" t="s">
        <v>284</v>
      </c>
      <c r="AG31" s="249"/>
      <c r="AH31" s="231" t="str">
        <f aca="false">Collar19[[#This Row],[Collar]]&amp;IF(Collar19[[#This Row],[Price]]="",""," (+"&amp;TEXT(Collar19[[#This Row],[Price]],"$0.00"&amp;")"))</f>
        <v>3 Button Blade (+$10.00)</v>
      </c>
      <c r="AI31" s="250" t="s">
        <v>373</v>
      </c>
      <c r="AJ31" s="251" t="n">
        <v>10</v>
      </c>
      <c r="AK31" s="247" t="s">
        <v>80</v>
      </c>
      <c r="AL31" s="252" t="s">
        <v>156</v>
      </c>
      <c r="AM31" s="247" t="str">
        <f aca="false">Collar19[[#This Row],[Collection]]&amp;Collar19[[#This Row],[Sleeve]]</f>
        <v>TourShort</v>
      </c>
      <c r="AN31" s="231"/>
      <c r="AO31" s="231"/>
      <c r="AP31" s="231"/>
      <c r="AQ31" s="231"/>
      <c r="AR31" s="231"/>
      <c r="AS31" s="231"/>
      <c r="AU31" s="237" t="s">
        <v>374</v>
      </c>
      <c r="AV31" s="231" t="n">
        <v>29</v>
      </c>
      <c r="AW31" s="231" t="str">
        <f aca="false">Size28[[#This Row],[Size]]&amp;IF(Size28[[#This Row],[Price]]="",""," (+"&amp;TEXT(Size28[[#This Row],[Price]],"$0.00")&amp;")")</f>
        <v>3T</v>
      </c>
      <c r="AX31" s="234" t="str">
        <f aca="false">Size28[[#This Row],[Size]]&amp;IF(Size28[[#This Row],[Price]]="",""," (+"&amp;TEXT(Size28[[#This Row],[Price]],"$0.00")&amp;")")</f>
        <v>3T</v>
      </c>
      <c r="AZ31" s="224" t="s">
        <v>153</v>
      </c>
    </row>
    <row r="32" customFormat="false" ht="14.25" hidden="false" customHeight="false" outlineLevel="0" collapsed="false">
      <c r="AF32" s="231" t="s">
        <v>296</v>
      </c>
      <c r="AG32" s="231"/>
      <c r="AH32" s="231" t="str">
        <f aca="false">Collar19[[#This Row],[Collar]]&amp;IF(Collar19[[#This Row],[Price]]="",""," (+"&amp;TEXT(Collar19[[#This Row],[Price]],"$0.00"&amp;")"))</f>
        <v>1/4 Zip Polo (+$10.00)</v>
      </c>
      <c r="AI32" s="236" t="s">
        <v>375</v>
      </c>
      <c r="AJ32" s="262" t="n">
        <v>10</v>
      </c>
      <c r="AK32" s="252" t="s">
        <v>80</v>
      </c>
      <c r="AL32" s="252" t="s">
        <v>156</v>
      </c>
      <c r="AM32" s="252" t="str">
        <f aca="false">Collar19[[#This Row],[Collection]]&amp;Collar19[[#This Row],[Sleeve]]</f>
        <v>TourShort</v>
      </c>
      <c r="AN32" s="231"/>
      <c r="AO32" s="231"/>
      <c r="AP32" s="231"/>
      <c r="AQ32" s="231"/>
      <c r="AR32" s="231"/>
      <c r="AS32" s="231"/>
      <c r="AU32" s="237" t="s">
        <v>376</v>
      </c>
      <c r="AV32" s="231" t="n">
        <v>30</v>
      </c>
      <c r="AW32" s="231" t="str">
        <f aca="false">Size28[[#This Row],[Size]]&amp;IF(Size28[[#This Row],[Price]]="",""," (+"&amp;TEXT(Size28[[#This Row],[Price]],"$0.00")&amp;")")</f>
        <v>4T</v>
      </c>
      <c r="AX32" s="234" t="str">
        <f aca="false">Size28[[#This Row],[Size]]&amp;IF(Size28[[#This Row],[Price]]="",""," (+"&amp;TEXT(Size28[[#This Row],[Price]],"$0.00")&amp;")")</f>
        <v>4T</v>
      </c>
      <c r="AZ32" s="224" t="s">
        <v>153</v>
      </c>
    </row>
    <row r="33" customFormat="false" ht="14.25" hidden="false" customHeight="false" outlineLevel="0" collapsed="false">
      <c r="AF33" s="249" t="s">
        <v>306</v>
      </c>
      <c r="AG33" s="249"/>
      <c r="AH33" s="231" t="str">
        <f aca="false">Collar19[[#This Row],[Collar]]&amp;IF(Collar19[[#This Row],[Price]]="",""," (+"&amp;TEXT(Collar19[[#This Row],[Price]],"$0.00"&amp;")"))</f>
        <v>Mock Turtleneck (+$5.00)</v>
      </c>
      <c r="AI33" s="250" t="s">
        <v>377</v>
      </c>
      <c r="AJ33" s="251" t="n">
        <v>5</v>
      </c>
      <c r="AK33" s="247" t="s">
        <v>80</v>
      </c>
      <c r="AL33" s="252" t="s">
        <v>156</v>
      </c>
      <c r="AM33" s="247" t="str">
        <f aca="false">Collar19[[#This Row],[Collection]]&amp;Collar19[[#This Row],[Sleeve]]</f>
        <v>TourShort</v>
      </c>
      <c r="AN33" s="231"/>
      <c r="AO33" s="231"/>
      <c r="AP33" s="231"/>
      <c r="AQ33" s="231"/>
      <c r="AR33" s="231"/>
      <c r="AS33" s="231"/>
      <c r="AU33" s="237" t="s">
        <v>378</v>
      </c>
      <c r="AV33" s="231" t="n">
        <v>31</v>
      </c>
      <c r="AW33" s="231" t="str">
        <f aca="false">Size28[[#This Row],[Size]]&amp;IF(Size28[[#This Row],[Price]]="",""," (+"&amp;TEXT(Size28[[#This Row],[Price]],"$0.00")&amp;")")</f>
        <v>5T</v>
      </c>
      <c r="AX33" s="234" t="str">
        <f aca="false">Size28[[#This Row],[Size]]&amp;IF(Size28[[#This Row],[Price]]="",""," (+"&amp;TEXT(Size28[[#This Row],[Price]],"$0.00")&amp;")")</f>
        <v>5T</v>
      </c>
      <c r="AZ33" s="224" t="s">
        <v>153</v>
      </c>
    </row>
    <row r="34" customFormat="false" ht="14.25" hidden="false" customHeight="false" outlineLevel="0" collapsed="false">
      <c r="AF34" s="231" t="s">
        <v>198</v>
      </c>
      <c r="AG34" s="231"/>
      <c r="AH34" s="231" t="str">
        <f aca="false">Collar19[[#This Row],[Collar]]&amp;IF(Collar19[[#This Row],[Price]]="",""," (+"&amp;TEXT(Collar19[[#This Row],[Price]],"$0.00"&amp;")"))</f>
        <v>1/4 Zip Sash (+$10.00)</v>
      </c>
      <c r="AI34" s="236" t="s">
        <v>379</v>
      </c>
      <c r="AJ34" s="262" t="n">
        <v>10</v>
      </c>
      <c r="AK34" s="252" t="s">
        <v>240</v>
      </c>
      <c r="AL34" s="252" t="s">
        <v>156</v>
      </c>
      <c r="AM34" s="252" t="str">
        <f aca="false">Collar19[[#This Row],[Collection]]&amp;Collar19[[#This Row],[Sleeve]]</f>
        <v>TourLong</v>
      </c>
      <c r="AN34" s="231"/>
      <c r="AO34" s="231"/>
      <c r="AP34" s="231"/>
      <c r="AQ34" s="231"/>
      <c r="AR34" s="231"/>
      <c r="AS34" s="231"/>
    </row>
    <row r="35" customFormat="false" ht="14.25" hidden="false" customHeight="false" outlineLevel="0" collapsed="false">
      <c r="AF35" s="249" t="s">
        <v>221</v>
      </c>
      <c r="AG35" s="249"/>
      <c r="AH35" s="231" t="str">
        <f aca="false">Collar19[[#This Row],[Collar]]&amp;IF(Collar19[[#This Row],[Price]]="",""," (+"&amp;TEXT(Collar19[[#This Row],[Price]],"$0.00"&amp;")"))</f>
        <v>Polo (+$10.00)</v>
      </c>
      <c r="AI35" s="250" t="s">
        <v>380</v>
      </c>
      <c r="AJ35" s="251" t="n">
        <v>10</v>
      </c>
      <c r="AK35" s="247" t="s">
        <v>240</v>
      </c>
      <c r="AL35" s="252" t="s">
        <v>156</v>
      </c>
      <c r="AM35" s="247" t="str">
        <f aca="false">Collar19[[#This Row],[Collection]]&amp;Collar19[[#This Row],[Sleeve]]</f>
        <v>TourLong</v>
      </c>
      <c r="AN35" s="231"/>
      <c r="AO35" s="231"/>
      <c r="AP35" s="231"/>
      <c r="AQ35" s="231"/>
      <c r="AR35" s="231"/>
      <c r="AS35" s="231"/>
    </row>
    <row r="36" customFormat="false" ht="14.25" hidden="false" customHeight="false" outlineLevel="0" collapsed="false">
      <c r="AF36" s="231" t="s">
        <v>242</v>
      </c>
      <c r="AG36" s="231"/>
      <c r="AH36" s="231" t="str">
        <f aca="false">Collar19[[#This Row],[Collar]]&amp;IF(Collar19[[#This Row],[Price]]="",""," (+"&amp;TEXT(Collar19[[#This Row],[Price]],"$0.00"&amp;")"))</f>
        <v>V-Neck</v>
      </c>
      <c r="AI36" s="236" t="s">
        <v>381</v>
      </c>
      <c r="AJ36" s="262"/>
      <c r="AK36" s="252" t="s">
        <v>240</v>
      </c>
      <c r="AL36" s="252" t="s">
        <v>156</v>
      </c>
      <c r="AM36" s="252" t="str">
        <f aca="false">Collar19[[#This Row],[Collection]]&amp;Collar19[[#This Row],[Sleeve]]</f>
        <v>TourLong</v>
      </c>
      <c r="AN36" s="231"/>
      <c r="AO36" s="231"/>
      <c r="AP36" s="231"/>
      <c r="AQ36" s="231"/>
      <c r="AR36" s="231"/>
      <c r="AS36" s="231"/>
    </row>
    <row r="37" customFormat="false" ht="14.25" hidden="false" customHeight="false" outlineLevel="0" collapsed="false">
      <c r="AF37" s="249" t="s">
        <v>260</v>
      </c>
      <c r="AG37" s="249"/>
      <c r="AH37" s="231" t="str">
        <f aca="false">Collar19[[#This Row],[Collar]]&amp;IF(Collar19[[#This Row],[Price]]="",""," (+"&amp;TEXT(Collar19[[#This Row],[Price]],"$0.00"&amp;")"))</f>
        <v>Crew</v>
      </c>
      <c r="AI37" s="250" t="s">
        <v>382</v>
      </c>
      <c r="AJ37" s="251"/>
      <c r="AK37" s="247" t="s">
        <v>240</v>
      </c>
      <c r="AL37" s="252" t="s">
        <v>156</v>
      </c>
      <c r="AM37" s="247" t="str">
        <f aca="false">Collar19[[#This Row],[Collection]]&amp;Collar19[[#This Row],[Sleeve]]</f>
        <v>TourLong</v>
      </c>
      <c r="AN37" s="231"/>
      <c r="AO37" s="231"/>
      <c r="AP37" s="231"/>
      <c r="AQ37" s="231"/>
      <c r="AR37" s="231"/>
      <c r="AS37" s="231"/>
    </row>
    <row r="38" customFormat="false" ht="14.25" hidden="false" customHeight="false" outlineLevel="0" collapsed="false">
      <c r="AF38" s="231" t="s">
        <v>296</v>
      </c>
      <c r="AG38" s="231"/>
      <c r="AH38" s="231" t="str">
        <f aca="false">Collar19[[#This Row],[Collar]]&amp;IF(Collar19[[#This Row],[Price]]="",""," (+"&amp;TEXT(Collar19[[#This Row],[Price]],"$0.00"&amp;")"))</f>
        <v>1/4 Zip Polo (+$10.00)</v>
      </c>
      <c r="AI38" s="236" t="s">
        <v>383</v>
      </c>
      <c r="AJ38" s="262" t="n">
        <v>10</v>
      </c>
      <c r="AK38" s="252" t="s">
        <v>240</v>
      </c>
      <c r="AL38" s="252" t="s">
        <v>156</v>
      </c>
      <c r="AM38" s="252" t="str">
        <f aca="false">Collar19[[#This Row],[Collection]]&amp;Collar19[[#This Row],[Sleeve]]</f>
        <v>TourLong</v>
      </c>
      <c r="AN38" s="231"/>
      <c r="AO38" s="231"/>
      <c r="AP38" s="231"/>
      <c r="AQ38" s="231"/>
      <c r="AR38" s="231"/>
      <c r="AS38" s="231"/>
    </row>
    <row r="39" customFormat="false" ht="14.25" hidden="false" customHeight="false" outlineLevel="0" collapsed="false">
      <c r="AF39" s="231"/>
      <c r="AG39" s="231"/>
      <c r="AN39" s="231"/>
      <c r="AO39" s="231"/>
      <c r="AP39" s="231"/>
      <c r="AQ39" s="231"/>
      <c r="AR39" s="231"/>
      <c r="AS39" s="231"/>
    </row>
    <row r="40" customFormat="false" ht="14.25" hidden="false" customHeight="false" outlineLevel="0" collapsed="false">
      <c r="AF40" s="231"/>
      <c r="AG40" s="231"/>
      <c r="AN40" s="231"/>
      <c r="AO40" s="252"/>
      <c r="AP40" s="252"/>
      <c r="AQ40" s="252"/>
      <c r="AR40" s="252"/>
      <c r="AS40" s="252"/>
    </row>
    <row r="41" customFormat="false" ht="14.25" hidden="false" customHeight="false" outlineLevel="0" collapsed="false">
      <c r="AF41" s="231"/>
      <c r="AG41" s="231"/>
      <c r="AN41" s="231"/>
    </row>
    <row r="42" customFormat="false" ht="14.25" hidden="false" customHeight="false" outlineLevel="0" collapsed="false">
      <c r="AN42" s="252"/>
    </row>
    <row r="78" customFormat="false" ht="23.25" hidden="false" customHeight="true" outlineLevel="0" collapsed="false"/>
    <row r="79" customFormat="false" ht="14.25" hidden="false" customHeight="true" outlineLevel="0" collapsed="false"/>
    <row r="80" customFormat="false" ht="14.25" hidden="false" customHeight="true" outlineLevel="0" collapsed="false"/>
    <row r="81" customFormat="false" ht="15" hidden="false" customHeight="true" outlineLevel="0" collapsed="false"/>
    <row r="92" customFormat="false" ht="14.25" hidden="false" customHeight="false" outlineLevel="0" collapsed="false">
      <c r="EW92" s="245"/>
      <c r="EX92" s="245"/>
      <c r="EY92" s="245"/>
    </row>
    <row r="93" customFormat="false" ht="14.25" hidden="false" customHeight="false" outlineLevel="0" collapsed="false">
      <c r="EW93" s="234"/>
      <c r="EX93" s="234"/>
      <c r="EY93" s="234"/>
    </row>
    <row r="94" customFormat="false" ht="14.25" hidden="false" customHeight="false" outlineLevel="0" collapsed="false">
      <c r="EW94" s="234"/>
      <c r="EX94" s="234"/>
      <c r="EY94" s="234"/>
    </row>
    <row r="95" customFormat="false" ht="14.25" hidden="false" customHeight="false" outlineLevel="0" collapsed="false">
      <c r="EW95" s="234"/>
      <c r="EX95" s="234"/>
      <c r="EY95" s="234"/>
    </row>
    <row r="96" customFormat="false" ht="14.25" hidden="false" customHeight="false" outlineLevel="0" collapsed="false">
      <c r="EW96" s="234"/>
      <c r="EX96" s="234"/>
      <c r="EY96" s="234"/>
    </row>
    <row r="97" customFormat="false" ht="14.25" hidden="false" customHeight="false" outlineLevel="0" collapsed="false">
      <c r="EW97" s="234"/>
      <c r="EX97" s="234"/>
      <c r="EY97" s="234"/>
    </row>
    <row r="98" customFormat="false" ht="14.25" hidden="false" customHeight="false" outlineLevel="0" collapsed="false">
      <c r="EW98" s="234"/>
      <c r="EX98" s="234"/>
      <c r="EY98" s="234"/>
    </row>
    <row r="99" customFormat="false" ht="14.25" hidden="false" customHeight="false" outlineLevel="0" collapsed="false">
      <c r="EW99" s="234"/>
      <c r="EX99" s="234"/>
      <c r="EY99" s="234"/>
    </row>
    <row r="100" customFormat="false" ht="14.25" hidden="false" customHeight="false" outlineLevel="0" collapsed="false">
      <c r="EW100" s="234"/>
      <c r="EX100" s="234"/>
      <c r="EY100" s="234"/>
    </row>
    <row r="101" customFormat="false" ht="14.25" hidden="false" customHeight="false" outlineLevel="0" collapsed="false">
      <c r="EW101" s="234"/>
      <c r="EX101" s="234"/>
      <c r="EY101" s="234"/>
    </row>
    <row r="102" customFormat="false" ht="14.25" hidden="false" customHeight="false" outlineLevel="0" collapsed="false">
      <c r="EW102" s="234"/>
      <c r="EX102" s="234"/>
      <c r="EY102" s="234"/>
    </row>
    <row r="103" customFormat="false" ht="14.25" hidden="false" customHeight="false" outlineLevel="0" collapsed="false">
      <c r="EW103" s="234"/>
      <c r="EX103" s="234"/>
      <c r="EY103" s="234"/>
    </row>
    <row r="104" customFormat="false" ht="14.25" hidden="false" customHeight="false" outlineLevel="0" collapsed="false">
      <c r="EW104" s="234"/>
      <c r="EX104" s="234"/>
      <c r="EY104" s="234"/>
    </row>
    <row r="105" customFormat="false" ht="14.25" hidden="false" customHeight="false" outlineLevel="0" collapsed="false">
      <c r="EW105" s="234"/>
      <c r="EX105" s="234"/>
      <c r="EY105" s="234"/>
    </row>
    <row r="106" customFormat="false" ht="14.25" hidden="false" customHeight="false" outlineLevel="0" collapsed="false">
      <c r="EW106" s="234"/>
      <c r="EX106" s="234"/>
      <c r="EY106" s="234"/>
    </row>
    <row r="107" customFormat="false" ht="14.25" hidden="false" customHeight="false" outlineLevel="0" collapsed="false">
      <c r="EW107" s="234"/>
      <c r="EX107" s="234"/>
      <c r="EY107" s="234"/>
    </row>
    <row r="108" customFormat="false" ht="14.25" hidden="false" customHeight="false" outlineLevel="0" collapsed="false">
      <c r="EW108" s="234"/>
      <c r="EX108" s="234"/>
      <c r="EY108" s="234"/>
    </row>
    <row r="109" customFormat="false" ht="14.25" hidden="false" customHeight="false" outlineLevel="0" collapsed="false">
      <c r="EW109" s="234"/>
      <c r="EX109" s="234"/>
      <c r="EY109" s="234"/>
    </row>
    <row r="110" customFormat="false" ht="14.25" hidden="false" customHeight="false" outlineLevel="0" collapsed="false">
      <c r="EW110" s="234"/>
      <c r="EX110" s="234"/>
      <c r="EY110" s="234"/>
    </row>
  </sheetData>
  <sheetProtection algorithmName="SHA-512" hashValue="NhUVA4q5ucDmSjxUIDltE0Iw+iDpRDw5parHZESoJU28WAFYo2jzxO/EQ8wyaJN6yWX4ZA2UrZUUMHaOu+ZEew==" saltValue="K1SwZujMhVKEj9fgltuKJA==" spinCount="100000" sheet="true" objects="true" scenarios="true"/>
  <protectedRanges>
    <protectedRange name="IHD_3" sqref="EZ5:EZ7"/>
    <protectedRange name="ProductionPriority_3" sqref="EF3:EF13"/>
  </protectedRanges>
  <mergeCells count="14">
    <mergeCell ref="A1:C1"/>
    <mergeCell ref="E1:N1"/>
    <mergeCell ref="P1:T1"/>
    <mergeCell ref="V1:AD1"/>
    <mergeCell ref="AF1:AS1"/>
    <mergeCell ref="AU1:BJ1"/>
    <mergeCell ref="BL1:BR1"/>
    <mergeCell ref="BT1:BZ1"/>
    <mergeCell ref="CB1:CH1"/>
    <mergeCell ref="CJ1:CP1"/>
    <mergeCell ref="CR1:DA1"/>
    <mergeCell ref="DC1:DN1"/>
    <mergeCell ref="DR1:EL1"/>
    <mergeCell ref="EN1:EX1"/>
  </mergeCells>
  <dataValidations count="2">
    <dataValidation allowBlank="true" errorStyle="stop" operator="between" showDropDown="false" showErrorMessage="true" showInputMessage="true" sqref="EF3:EF6 DK5 EF7:EF13" type="list">
      <formula1>$DD$3:$DD$5</formula1>
      <formula2>0</formula2>
    </dataValidation>
    <dataValidation allowBlank="true" errorStyle="stop" operator="between" showDropDown="false" showErrorMessage="true" showInputMessage="true" sqref="AO16" type="list">
      <formula1>"UNIQUE(FILTER(V3:V39,AA3:AA39=AA3))"</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tableParts>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A110"/>
  <sheetViews>
    <sheetView showFormulas="false" showGridLines="true" showRowColHeaders="true" showZeros="true" rightToLeft="false" tabSelected="false" showOutlineSymbols="true" defaultGridColor="true" view="normal" topLeftCell="XFD1" colorId="64" zoomScale="100" zoomScaleNormal="100" zoomScalePageLayoutView="100" workbookViewId="0">
      <selection pane="topLeft" activeCell="A2" activeCellId="0" sqref="A2"/>
    </sheetView>
  </sheetViews>
  <sheetFormatPr defaultColWidth="8.73046875" defaultRowHeight="14.25" zeroHeight="false" outlineLevelRow="0" outlineLevelCol="0"/>
  <cols>
    <col collapsed="false" customWidth="true" hidden="true" outlineLevel="0" max="1" min="1" style="2" width="10.45"/>
    <col collapsed="false" customWidth="true" hidden="true" outlineLevel="0" max="2" min="2" style="223" width="10.45"/>
    <col collapsed="false" customWidth="true" hidden="true" outlineLevel="0" max="3" min="3" style="224" width="6.73"/>
    <col collapsed="false" customWidth="false" hidden="true" outlineLevel="0" max="5" min="4" style="2" width="8.73"/>
    <col collapsed="false" customWidth="true" hidden="true" outlineLevel="0" max="6" min="6" style="75" width="7.27"/>
    <col collapsed="false" customWidth="true" hidden="true" outlineLevel="0" max="7" min="7" style="224" width="6.73"/>
    <col collapsed="false" customWidth="true" hidden="true" outlineLevel="0" max="8" min="8" style="224" width="8.36"/>
    <col collapsed="false" customWidth="true" hidden="true" outlineLevel="0" max="9" min="9" style="224" width="11.09"/>
    <col collapsed="false" customWidth="true" hidden="true" outlineLevel="0" max="10" min="10" style="224" width="8.36"/>
    <col collapsed="false" customWidth="true" hidden="true" outlineLevel="0" max="12" min="11" style="224" width="17.18"/>
    <col collapsed="false" customWidth="true" hidden="true" outlineLevel="0" max="14" min="13" style="224" width="15.64"/>
    <col collapsed="false" customWidth="false" hidden="true" outlineLevel="0" max="15" min="15" style="2" width="8.73"/>
    <col collapsed="false" customWidth="true" hidden="true" outlineLevel="0" max="16" min="16" style="2" width="15.73"/>
    <col collapsed="false" customWidth="true" hidden="true" outlineLevel="0" max="17" min="17" style="2" width="17.27"/>
    <col collapsed="false" customWidth="true" hidden="true" outlineLevel="0" max="18" min="18" style="2" width="7.27"/>
    <col collapsed="false" customWidth="true" hidden="true" outlineLevel="0" max="19" min="19" style="224" width="6.73"/>
    <col collapsed="false" customWidth="true" hidden="true" outlineLevel="0" max="20" min="20" style="224" width="11.54"/>
    <col collapsed="false" customWidth="true" hidden="true" outlineLevel="0" max="21" min="21" style="224" width="5.9"/>
    <col collapsed="false" customWidth="true" hidden="true" outlineLevel="0" max="22" min="22" style="2" width="15.64"/>
    <col collapsed="false" customWidth="false" hidden="true" outlineLevel="0" max="23" min="23" style="2" width="8.73"/>
    <col collapsed="false" customWidth="true" hidden="true" outlineLevel="0" max="24" min="24" style="2" width="13.09"/>
    <col collapsed="false" customWidth="true" hidden="true" outlineLevel="0" max="25" min="25" style="2" width="7.37"/>
    <col collapsed="false" customWidth="true" hidden="true" outlineLevel="0" max="26" min="26" style="2" width="7.18"/>
    <col collapsed="false" customWidth="true" hidden="true" outlineLevel="0" max="27" min="27" style="2" width="15.64"/>
    <col collapsed="false" customWidth="false" hidden="true" outlineLevel="0" max="28" min="28" style="2" width="8.73"/>
    <col collapsed="false" customWidth="true" hidden="true" outlineLevel="0" max="29" min="29" style="2" width="11.64"/>
    <col collapsed="false" customWidth="false" hidden="true" outlineLevel="0" max="31" min="30" style="2" width="8.73"/>
    <col collapsed="false" customWidth="true" hidden="true" outlineLevel="0" max="32" min="32" style="2" width="14.64"/>
    <col collapsed="false" customWidth="true" hidden="true" outlineLevel="0" max="33" min="33" style="2" width="10.73"/>
    <col collapsed="false" customWidth="true" hidden="true" outlineLevel="0" max="34" min="34" style="2" width="22.09"/>
    <col collapsed="false" customWidth="true" hidden="true" outlineLevel="0" max="35" min="35" style="225" width="9.73"/>
    <col collapsed="false" customWidth="true" hidden="true" outlineLevel="0" max="36" min="36" style="224" width="7.18"/>
    <col collapsed="false" customWidth="true" hidden="true" outlineLevel="0" max="37" min="37" style="2" width="10.27"/>
    <col collapsed="false" customWidth="true" hidden="true" outlineLevel="0" max="38" min="38" style="2" width="15.64"/>
    <col collapsed="false" customWidth="true" hidden="true" outlineLevel="0" max="39" min="39" style="2" width="24.18"/>
    <col collapsed="false" customWidth="true" hidden="true" outlineLevel="0" max="40" min="40" style="2" width="11.54"/>
    <col collapsed="false" customWidth="true" hidden="true" outlineLevel="0" max="42" min="41" style="2" width="25.36"/>
    <col collapsed="false" customWidth="true" hidden="true" outlineLevel="0" max="43" min="43" style="2" width="31.64"/>
    <col collapsed="false" customWidth="true" hidden="true" outlineLevel="0" max="44" min="44" style="2" width="22.09"/>
    <col collapsed="false" customWidth="true" hidden="true" outlineLevel="0" max="45" min="45" style="2" width="19.27"/>
    <col collapsed="false" customWidth="false" hidden="true" outlineLevel="0" max="46" min="46" style="2" width="8.73"/>
    <col collapsed="false" customWidth="false" hidden="true" outlineLevel="0" max="48" min="47" style="226" width="8.73"/>
    <col collapsed="false" customWidth="true" hidden="true" outlineLevel="0" max="49" min="49" style="1" width="16.27"/>
    <col collapsed="false" customWidth="false" hidden="true" outlineLevel="0" max="50" min="50" style="225" width="8.73"/>
    <col collapsed="false" customWidth="false" hidden="true" outlineLevel="0" max="53" min="51" style="224" width="8.73"/>
    <col collapsed="false" customWidth="true" hidden="true" outlineLevel="0" max="55" min="54" style="224" width="16.27"/>
    <col collapsed="false" customWidth="true" hidden="true" outlineLevel="0" max="56" min="56" style="224" width="7.82"/>
    <col collapsed="false" customWidth="true" hidden="true" outlineLevel="0" max="57" min="57" style="224" width="7.27"/>
    <col collapsed="false" customWidth="false" hidden="true" outlineLevel="0" max="58" min="58" style="2" width="8.73"/>
    <col collapsed="false" customWidth="false" hidden="true" outlineLevel="0" max="59" min="59" style="226" width="8.73"/>
    <col collapsed="false" customWidth="true" hidden="true" outlineLevel="0" max="60" min="60" style="226" width="10.18"/>
    <col collapsed="false" customWidth="false" hidden="true" outlineLevel="0" max="61" min="61" style="75" width="8.73"/>
    <col collapsed="false" customWidth="true" hidden="true" outlineLevel="0" max="62" min="62" style="224" width="6.73"/>
    <col collapsed="false" customWidth="false" hidden="true" outlineLevel="0" max="63" min="63" style="2" width="8.73"/>
    <col collapsed="false" customWidth="true" hidden="true" outlineLevel="0" max="64" min="64" style="2" width="13.45"/>
    <col collapsed="false" customWidth="true" hidden="true" outlineLevel="0" max="65" min="65" style="2" width="8"/>
    <col collapsed="false" customWidth="true" hidden="true" outlineLevel="0" max="66" min="66" style="2" width="20.63"/>
    <col collapsed="false" customWidth="true" hidden="true" outlineLevel="0" max="67" min="67" style="2" width="13.45"/>
    <col collapsed="false" customWidth="true" hidden="true" outlineLevel="0" max="68" min="68" style="2" width="6.73"/>
    <col collapsed="false" customWidth="true" hidden="true" outlineLevel="0" max="69" min="69" style="224" width="6.73"/>
    <col collapsed="false" customWidth="true" hidden="true" outlineLevel="0" max="70" min="70" style="2" width="6.73"/>
    <col collapsed="false" customWidth="false" hidden="true" outlineLevel="0" max="71" min="71" style="2" width="8.73"/>
    <col collapsed="false" customWidth="true" hidden="true" outlineLevel="0" max="72" min="72" style="2" width="20.54"/>
    <col collapsed="false" customWidth="true" hidden="true" outlineLevel="0" max="73" min="73" style="2" width="8"/>
    <col collapsed="false" customWidth="true" hidden="true" outlineLevel="0" max="74" min="74" style="2" width="20.63"/>
    <col collapsed="false" customWidth="true" hidden="true" outlineLevel="0" max="75" min="75" style="1" width="16.09"/>
    <col collapsed="false" customWidth="true" hidden="true" outlineLevel="0" max="76" min="76" style="2" width="6.73"/>
    <col collapsed="false" customWidth="true" hidden="true" outlineLevel="0" max="77" min="77" style="224" width="6.73"/>
    <col collapsed="false" customWidth="true" hidden="true" outlineLevel="0" max="78" min="78" style="2" width="6.73"/>
    <col collapsed="false" customWidth="false" hidden="true" outlineLevel="0" max="79" min="79" style="2" width="8.73"/>
    <col collapsed="false" customWidth="true" hidden="true" outlineLevel="0" max="80" min="80" style="2" width="20.54"/>
    <col collapsed="false" customWidth="true" hidden="true" outlineLevel="0" max="81" min="81" style="2" width="13.45"/>
    <col collapsed="false" customWidth="true" hidden="true" outlineLevel="0" max="82" min="82" style="2" width="20.54"/>
    <col collapsed="false" customWidth="true" hidden="true" outlineLevel="0" max="83" min="83" style="2" width="16.09"/>
    <col collapsed="false" customWidth="true" hidden="true" outlineLevel="0" max="84" min="84" style="2" width="6.73"/>
    <col collapsed="false" customWidth="true" hidden="true" outlineLevel="0" max="85" min="85" style="224" width="6.73"/>
    <col collapsed="false" customWidth="false" hidden="true" outlineLevel="0" max="87" min="86" style="2" width="8.73"/>
    <col collapsed="false" customWidth="true" hidden="true" outlineLevel="0" max="89" min="88" style="2" width="13.45"/>
    <col collapsed="false" customWidth="true" hidden="true" outlineLevel="0" max="90" min="90" style="2" width="30.18"/>
    <col collapsed="false" customWidth="true" hidden="true" outlineLevel="0" max="91" min="91" style="2" width="13.45"/>
    <col collapsed="false" customWidth="true" hidden="true" outlineLevel="0" max="93" min="92" style="2" width="6.73"/>
    <col collapsed="false" customWidth="false" hidden="true" outlineLevel="0" max="96" min="94" style="2" width="8.73"/>
    <col collapsed="false" customWidth="false" hidden="true" outlineLevel="0" max="97" min="97" style="224" width="8.73"/>
    <col collapsed="false" customWidth="false" hidden="true" outlineLevel="0" max="98" min="98" style="2" width="8.73"/>
    <col collapsed="false" customWidth="true" hidden="true" outlineLevel="0" max="99" min="99" style="2" width="15.27"/>
    <col collapsed="false" customWidth="false" hidden="true" outlineLevel="0" max="100" min="100" style="2" width="8.73"/>
    <col collapsed="false" customWidth="true" hidden="true" outlineLevel="0" max="101" min="101" style="2" width="15.73"/>
    <col collapsed="false" customWidth="false" hidden="true" outlineLevel="0" max="102" min="102" style="2" width="8.73"/>
    <col collapsed="false" customWidth="true" hidden="true" outlineLevel="0" max="103" min="103" style="2" width="12.27"/>
    <col collapsed="false" customWidth="false" hidden="true" outlineLevel="0" max="104" min="104" style="2" width="8.73"/>
    <col collapsed="false" customWidth="false" hidden="true" outlineLevel="0" max="105" min="105" style="224" width="8.73"/>
    <col collapsed="false" customWidth="false" hidden="true" outlineLevel="0" max="106" min="106" style="2" width="8.73"/>
    <col collapsed="false" customWidth="true" hidden="true" outlineLevel="0" max="107" min="107" style="2" width="23.27"/>
    <col collapsed="false" customWidth="true" hidden="true" outlineLevel="0" max="108" min="108" style="2" width="53.27"/>
    <col collapsed="false" customWidth="true" hidden="true" outlineLevel="0" max="110" min="109" style="2" width="8.54"/>
    <col collapsed="false" customWidth="true" hidden="true" outlineLevel="0" max="111" min="111" style="224" width="8.54"/>
    <col collapsed="false" customWidth="true" hidden="true" outlineLevel="0" max="112" min="112" style="223" width="8.54"/>
    <col collapsed="false" customWidth="true" hidden="true" outlineLevel="0" max="113" min="113" style="224" width="8.54"/>
    <col collapsed="false" customWidth="true" hidden="true" outlineLevel="0" max="114" min="114" style="75" width="10.45"/>
    <col collapsed="false" customWidth="true" hidden="true" outlineLevel="0" max="115" min="115" style="179" width="27.27"/>
    <col collapsed="false" customWidth="false" hidden="true" outlineLevel="0" max="119" min="116" style="2" width="8.73"/>
    <col collapsed="false" customWidth="true" hidden="true" outlineLevel="0" max="120" min="120" style="2" width="16.18"/>
    <col collapsed="false" customWidth="false" hidden="true" outlineLevel="0" max="121" min="121" style="2" width="8.73"/>
    <col collapsed="false" customWidth="true" hidden="true" outlineLevel="0" max="122" min="122" style="75" width="13.27"/>
    <col collapsed="false" customWidth="true" hidden="true" outlineLevel="0" max="123" min="123" style="2" width="13.73"/>
    <col collapsed="false" customWidth="false" hidden="true" outlineLevel="0" max="124" min="124" style="2" width="8.73"/>
    <col collapsed="false" customWidth="true" hidden="true" outlineLevel="0" max="125" min="125" style="2" width="13.27"/>
    <col collapsed="false" customWidth="true" hidden="true" outlineLevel="0" max="126" min="126" style="2" width="16.54"/>
    <col collapsed="false" customWidth="false" hidden="true" outlineLevel="0" max="127" min="127" style="2" width="8.73"/>
    <col collapsed="false" customWidth="true" hidden="true" outlineLevel="0" max="128" min="128" style="2" width="13.27"/>
    <col collapsed="false" customWidth="true" hidden="true" outlineLevel="0" max="129" min="129" style="2" width="16.54"/>
    <col collapsed="false" customWidth="true" hidden="true" outlineLevel="0" max="130" min="130" style="2" width="11.73"/>
    <col collapsed="false" customWidth="false" hidden="true" outlineLevel="0" max="131" min="131" style="2" width="8.73"/>
    <col collapsed="false" customWidth="true" hidden="true" outlineLevel="0" max="132" min="132" style="2" width="12.18"/>
    <col collapsed="false" customWidth="true" hidden="true" outlineLevel="0" max="133" min="133" style="227" width="12.18"/>
    <col collapsed="false" customWidth="true" hidden="true" outlineLevel="0" max="135" min="134" style="2" width="14.73"/>
    <col collapsed="false" customWidth="true" hidden="true" outlineLevel="0" max="136" min="136" style="2" width="26.27"/>
    <col collapsed="false" customWidth="true" hidden="true" outlineLevel="0" max="137" min="137" style="2" width="13.73"/>
    <col collapsed="false" customWidth="true" hidden="true" outlineLevel="0" max="138" min="138" style="2" width="14.18"/>
    <col collapsed="false" customWidth="true" hidden="true" outlineLevel="0" max="139" min="139" style="228" width="14"/>
    <col collapsed="false" customWidth="true" hidden="true" outlineLevel="0" max="141" min="140" style="2" width="17.82"/>
    <col collapsed="false" customWidth="true" hidden="true" outlineLevel="0" max="142" min="142" style="179" width="114.45"/>
    <col collapsed="false" customWidth="true" hidden="true" outlineLevel="0" max="143" min="143" style="2" width="4.82"/>
    <col collapsed="false" customWidth="true" hidden="true" outlineLevel="0" max="144" min="144" style="75" width="17.9"/>
    <col collapsed="false" customWidth="true" hidden="true" outlineLevel="0" max="145" min="145" style="75" width="12.73"/>
    <col collapsed="false" customWidth="true" hidden="true" outlineLevel="0" max="146" min="146" style="75" width="12.36"/>
    <col collapsed="false" customWidth="true" hidden="true" outlineLevel="0" max="147" min="147" style="75" width="10.27"/>
    <col collapsed="false" customWidth="true" hidden="true" outlineLevel="0" max="148" min="148" style="2" width="10.18"/>
    <col collapsed="false" customWidth="true" hidden="true" outlineLevel="0" max="149" min="149" style="2" width="13.36"/>
    <col collapsed="false" customWidth="true" hidden="true" outlineLevel="0" max="150" min="150" style="2" width="10"/>
    <col collapsed="false" customWidth="true" hidden="true" outlineLevel="0" max="151" min="151" style="2" width="13.54"/>
    <col collapsed="false" customWidth="true" hidden="true" outlineLevel="0" max="152" min="152" style="2" width="13.9"/>
    <col collapsed="false" customWidth="true" hidden="true" outlineLevel="0" max="153" min="153" style="2" width="12.45"/>
    <col collapsed="false" customWidth="true" hidden="true" outlineLevel="0" max="155" min="154" style="2" width="10.27"/>
    <col collapsed="false" customWidth="true" hidden="true" outlineLevel="0" max="156" min="156" style="2" width="11.73"/>
    <col collapsed="false" customWidth="true" hidden="true" outlineLevel="0" max="157" min="157" style="2" width="10.16"/>
    <col collapsed="false" customWidth="false" hidden="true" outlineLevel="0" max="16384" min="158" style="2" width="8.73"/>
  </cols>
  <sheetData>
    <row r="1" customFormat="false" ht="24" hidden="false" customHeight="false" outlineLevel="0" collapsed="false">
      <c r="A1" s="229" t="s">
        <v>129</v>
      </c>
      <c r="B1" s="229"/>
      <c r="C1" s="229"/>
      <c r="E1" s="229" t="s">
        <v>130</v>
      </c>
      <c r="F1" s="229"/>
      <c r="G1" s="229"/>
      <c r="H1" s="229"/>
      <c r="I1" s="229"/>
      <c r="J1" s="229"/>
      <c r="K1" s="229"/>
      <c r="L1" s="229"/>
      <c r="M1" s="229"/>
      <c r="N1" s="229"/>
      <c r="P1" s="229" t="s">
        <v>131</v>
      </c>
      <c r="Q1" s="229"/>
      <c r="R1" s="229"/>
      <c r="S1" s="229"/>
      <c r="T1" s="229"/>
      <c r="V1" s="229" t="s">
        <v>132</v>
      </c>
      <c r="W1" s="229"/>
      <c r="X1" s="229"/>
      <c r="Y1" s="229"/>
      <c r="Z1" s="229"/>
      <c r="AA1" s="229"/>
      <c r="AB1" s="229"/>
      <c r="AC1" s="229"/>
      <c r="AD1" s="229"/>
      <c r="AF1" s="229" t="s">
        <v>133</v>
      </c>
      <c r="AG1" s="229"/>
      <c r="AH1" s="229"/>
      <c r="AI1" s="229"/>
      <c r="AJ1" s="229"/>
      <c r="AK1" s="229"/>
      <c r="AL1" s="229"/>
      <c r="AM1" s="229"/>
      <c r="AN1" s="229"/>
      <c r="AO1" s="229"/>
      <c r="AP1" s="229"/>
      <c r="AQ1" s="229"/>
      <c r="AR1" s="229"/>
      <c r="AS1" s="229"/>
      <c r="AU1" s="229" t="s">
        <v>134</v>
      </c>
      <c r="AV1" s="229"/>
      <c r="AW1" s="229"/>
      <c r="AX1" s="229"/>
      <c r="AY1" s="229"/>
      <c r="AZ1" s="229"/>
      <c r="BA1" s="229"/>
      <c r="BB1" s="229"/>
      <c r="BC1" s="229"/>
      <c r="BD1" s="229"/>
      <c r="BE1" s="229"/>
      <c r="BF1" s="229"/>
      <c r="BG1" s="229"/>
      <c r="BH1" s="229"/>
      <c r="BI1" s="229"/>
      <c r="BJ1" s="229"/>
      <c r="BL1" s="229" t="s">
        <v>135</v>
      </c>
      <c r="BM1" s="229"/>
      <c r="BN1" s="229"/>
      <c r="BO1" s="229"/>
      <c r="BP1" s="229"/>
      <c r="BQ1" s="229"/>
      <c r="BR1" s="229"/>
      <c r="BT1" s="229" t="s">
        <v>136</v>
      </c>
      <c r="BU1" s="229"/>
      <c r="BV1" s="229"/>
      <c r="BW1" s="229"/>
      <c r="BX1" s="229"/>
      <c r="BY1" s="229"/>
      <c r="BZ1" s="229"/>
      <c r="CB1" s="229" t="s">
        <v>137</v>
      </c>
      <c r="CC1" s="229"/>
      <c r="CD1" s="229"/>
      <c r="CE1" s="229"/>
      <c r="CF1" s="229"/>
      <c r="CG1" s="229"/>
      <c r="CH1" s="229"/>
      <c r="CJ1" s="229" t="s">
        <v>138</v>
      </c>
      <c r="CK1" s="229"/>
      <c r="CL1" s="229"/>
      <c r="CM1" s="229"/>
      <c r="CN1" s="229"/>
      <c r="CO1" s="229"/>
      <c r="CP1" s="229"/>
      <c r="CR1" s="229" t="s">
        <v>139</v>
      </c>
      <c r="CS1" s="229"/>
      <c r="CT1" s="229"/>
      <c r="CU1" s="229"/>
      <c r="CV1" s="229"/>
      <c r="CW1" s="229"/>
      <c r="CX1" s="229"/>
      <c r="CY1" s="229"/>
      <c r="CZ1" s="229"/>
      <c r="DA1" s="229"/>
      <c r="DC1" s="229" t="s">
        <v>140</v>
      </c>
      <c r="DD1" s="229"/>
      <c r="DE1" s="229"/>
      <c r="DF1" s="229"/>
      <c r="DG1" s="229"/>
      <c r="DH1" s="229"/>
      <c r="DI1" s="229"/>
      <c r="DJ1" s="229"/>
      <c r="DK1" s="229"/>
      <c r="DL1" s="229"/>
      <c r="DM1" s="229"/>
      <c r="DN1" s="229"/>
      <c r="DP1" s="230" t="s">
        <v>141</v>
      </c>
      <c r="DR1" s="229" t="s">
        <v>142</v>
      </c>
      <c r="DS1" s="229"/>
      <c r="DT1" s="229"/>
      <c r="DU1" s="229"/>
      <c r="DV1" s="229"/>
      <c r="DW1" s="229"/>
      <c r="DX1" s="229"/>
      <c r="DY1" s="229"/>
      <c r="DZ1" s="229"/>
      <c r="EA1" s="229"/>
      <c r="EB1" s="229"/>
      <c r="EC1" s="229"/>
      <c r="ED1" s="229"/>
      <c r="EE1" s="229"/>
      <c r="EF1" s="229"/>
      <c r="EG1" s="229"/>
      <c r="EH1" s="229"/>
      <c r="EI1" s="229"/>
      <c r="EJ1" s="229"/>
      <c r="EK1" s="229"/>
      <c r="EL1" s="229"/>
      <c r="EM1" s="1"/>
      <c r="EN1" s="229" t="s">
        <v>143</v>
      </c>
      <c r="EO1" s="229"/>
      <c r="EP1" s="229"/>
      <c r="EQ1" s="229"/>
      <c r="ER1" s="229"/>
      <c r="ES1" s="229"/>
      <c r="ET1" s="229"/>
      <c r="EU1" s="229"/>
      <c r="EV1" s="229"/>
      <c r="EW1" s="229"/>
      <c r="EX1" s="229"/>
      <c r="EZ1" s="1"/>
      <c r="FA1" s="1"/>
    </row>
    <row r="2" customFormat="false" ht="43.5" hidden="false" customHeight="false" outlineLevel="0" collapsed="false">
      <c r="A2" s="231" t="s">
        <v>112</v>
      </c>
      <c r="B2" s="232" t="s">
        <v>114</v>
      </c>
      <c r="C2" s="233" t="s">
        <v>144</v>
      </c>
      <c r="E2" s="231" t="s">
        <v>145</v>
      </c>
      <c r="F2" s="234" t="s">
        <v>146</v>
      </c>
      <c r="G2" s="233" t="s">
        <v>147</v>
      </c>
      <c r="H2" s="233" t="s">
        <v>148</v>
      </c>
      <c r="I2" s="233" t="s">
        <v>149</v>
      </c>
      <c r="J2" s="233"/>
      <c r="K2" s="235" t="s">
        <v>150</v>
      </c>
      <c r="L2" s="235" t="s">
        <v>151</v>
      </c>
      <c r="M2" s="235" t="s">
        <v>152</v>
      </c>
      <c r="N2" s="235" t="s">
        <v>153</v>
      </c>
      <c r="P2" s="231" t="s">
        <v>58</v>
      </c>
      <c r="Q2" s="231" t="s">
        <v>145</v>
      </c>
      <c r="R2" s="231" t="s">
        <v>146</v>
      </c>
      <c r="S2" s="233" t="s">
        <v>147</v>
      </c>
      <c r="T2" s="233" t="s">
        <v>149</v>
      </c>
      <c r="U2" s="233"/>
      <c r="V2" s="231" t="s">
        <v>95</v>
      </c>
      <c r="W2" s="231" t="s">
        <v>154</v>
      </c>
      <c r="X2" s="231" t="s">
        <v>145</v>
      </c>
      <c r="Y2" s="231" t="s">
        <v>146</v>
      </c>
      <c r="Z2" s="233" t="s">
        <v>147</v>
      </c>
      <c r="AA2" s="231" t="s">
        <v>149</v>
      </c>
      <c r="AC2" s="235" t="s">
        <v>155</v>
      </c>
      <c r="AD2" s="235" t="s">
        <v>156</v>
      </c>
      <c r="AF2" s="231" t="s">
        <v>96</v>
      </c>
      <c r="AG2" s="231" t="s">
        <v>154</v>
      </c>
      <c r="AH2" s="231" t="s">
        <v>145</v>
      </c>
      <c r="AI2" s="236" t="s">
        <v>146</v>
      </c>
      <c r="AJ2" s="233" t="s">
        <v>147</v>
      </c>
      <c r="AK2" s="231" t="s">
        <v>95</v>
      </c>
      <c r="AL2" s="231" t="s">
        <v>58</v>
      </c>
      <c r="AM2" s="231" t="s">
        <v>157</v>
      </c>
      <c r="AO2" s="235" t="s">
        <v>158</v>
      </c>
      <c r="AP2" s="235" t="s">
        <v>159</v>
      </c>
      <c r="AQ2" s="235" t="s">
        <v>160</v>
      </c>
      <c r="AR2" s="235" t="s">
        <v>161</v>
      </c>
      <c r="AS2" s="235" t="s">
        <v>162</v>
      </c>
      <c r="AU2" s="237" t="s">
        <v>93</v>
      </c>
      <c r="AV2" s="237" t="s">
        <v>154</v>
      </c>
      <c r="AW2" s="231" t="s">
        <v>145</v>
      </c>
      <c r="AX2" s="236" t="s">
        <v>146</v>
      </c>
      <c r="AY2" s="233" t="s">
        <v>147</v>
      </c>
      <c r="AZ2" s="237" t="s">
        <v>148</v>
      </c>
      <c r="BA2" s="233"/>
      <c r="BB2" s="238" t="s">
        <v>76</v>
      </c>
      <c r="BC2" s="238" t="s">
        <v>163</v>
      </c>
      <c r="BD2" s="238" t="s">
        <v>152</v>
      </c>
      <c r="BE2" s="238" t="s">
        <v>153</v>
      </c>
      <c r="BG2" s="237" t="s">
        <v>94</v>
      </c>
      <c r="BH2" s="237" t="s">
        <v>145</v>
      </c>
      <c r="BI2" s="234" t="s">
        <v>146</v>
      </c>
      <c r="BJ2" s="233" t="s">
        <v>147</v>
      </c>
      <c r="BL2" s="231" t="s">
        <v>164</v>
      </c>
      <c r="BM2" s="231" t="s">
        <v>154</v>
      </c>
      <c r="BN2" s="231" t="s">
        <v>145</v>
      </c>
      <c r="BO2" s="231" t="s">
        <v>146</v>
      </c>
      <c r="BP2" s="233" t="s">
        <v>165</v>
      </c>
      <c r="BQ2" s="233" t="s">
        <v>166</v>
      </c>
      <c r="BR2" s="233" t="s">
        <v>167</v>
      </c>
      <c r="BT2" s="231" t="s">
        <v>164</v>
      </c>
      <c r="BU2" s="231" t="s">
        <v>154</v>
      </c>
      <c r="BV2" s="231" t="s">
        <v>145</v>
      </c>
      <c r="BW2" s="231" t="s">
        <v>146</v>
      </c>
      <c r="BX2" s="233" t="s">
        <v>165</v>
      </c>
      <c r="BY2" s="233" t="s">
        <v>166</v>
      </c>
      <c r="BZ2" s="233" t="s">
        <v>167</v>
      </c>
      <c r="CB2" s="231" t="s">
        <v>164</v>
      </c>
      <c r="CC2" s="231" t="s">
        <v>154</v>
      </c>
      <c r="CD2" s="231" t="s">
        <v>145</v>
      </c>
      <c r="CE2" s="231" t="s">
        <v>146</v>
      </c>
      <c r="CF2" s="233" t="s">
        <v>165</v>
      </c>
      <c r="CG2" s="233" t="s">
        <v>166</v>
      </c>
      <c r="CH2" s="233" t="s">
        <v>167</v>
      </c>
      <c r="CI2" s="233"/>
      <c r="CJ2" s="231" t="s">
        <v>164</v>
      </c>
      <c r="CK2" s="231" t="s">
        <v>154</v>
      </c>
      <c r="CL2" s="231" t="s">
        <v>145</v>
      </c>
      <c r="CM2" s="231" t="s">
        <v>146</v>
      </c>
      <c r="CN2" s="233" t="s">
        <v>165</v>
      </c>
      <c r="CO2" s="233" t="s">
        <v>166</v>
      </c>
      <c r="CP2" s="233" t="s">
        <v>167</v>
      </c>
      <c r="CQ2" s="233"/>
      <c r="CR2" s="231" t="s">
        <v>90</v>
      </c>
      <c r="CS2" s="233" t="s">
        <v>147</v>
      </c>
      <c r="CU2" s="231" t="s">
        <v>62</v>
      </c>
      <c r="CW2" s="231" t="s">
        <v>168</v>
      </c>
      <c r="CY2" s="231" t="s">
        <v>63</v>
      </c>
      <c r="CZ2" s="231" t="s">
        <v>146</v>
      </c>
      <c r="DA2" s="233" t="s">
        <v>147</v>
      </c>
      <c r="DC2" s="231" t="s">
        <v>169</v>
      </c>
      <c r="DD2" s="231" t="s">
        <v>145</v>
      </c>
      <c r="DE2" s="233" t="s">
        <v>147</v>
      </c>
      <c r="DF2" s="233" t="s">
        <v>170</v>
      </c>
      <c r="DG2" s="233" t="s">
        <v>171</v>
      </c>
      <c r="DH2" s="232" t="s">
        <v>172</v>
      </c>
      <c r="DI2" s="233" t="s">
        <v>173</v>
      </c>
      <c r="DJ2" s="234"/>
      <c r="DK2" s="239" t="s">
        <v>174</v>
      </c>
      <c r="DL2" s="231" t="s">
        <v>3</v>
      </c>
      <c r="DM2" s="231" t="s">
        <v>175</v>
      </c>
      <c r="DN2" s="231" t="s">
        <v>176</v>
      </c>
      <c r="DP2" s="231" t="s">
        <v>177</v>
      </c>
      <c r="DR2" s="234" t="s">
        <v>178</v>
      </c>
      <c r="DS2" s="231" t="s">
        <v>30</v>
      </c>
      <c r="DU2" s="234" t="s">
        <v>179</v>
      </c>
      <c r="DV2" s="231" t="s">
        <v>180</v>
      </c>
      <c r="DX2" s="234" t="s">
        <v>181</v>
      </c>
      <c r="DY2" s="231" t="s">
        <v>180</v>
      </c>
      <c r="DZ2" s="240" t="s">
        <v>182</v>
      </c>
      <c r="EB2" s="231" t="s">
        <v>183</v>
      </c>
      <c r="EC2" s="241" t="s">
        <v>176</v>
      </c>
      <c r="ED2" s="231" t="s">
        <v>184</v>
      </c>
      <c r="EE2" s="231" t="s">
        <v>185</v>
      </c>
      <c r="EF2" s="231" t="s">
        <v>6</v>
      </c>
      <c r="EG2" s="242" t="s">
        <v>186</v>
      </c>
      <c r="EH2" s="231" t="s">
        <v>187</v>
      </c>
      <c r="EI2" s="243" t="s">
        <v>188</v>
      </c>
      <c r="EJ2" s="168" t="s">
        <v>23</v>
      </c>
      <c r="EK2" s="168" t="s">
        <v>169</v>
      </c>
      <c r="EL2" s="239" t="s">
        <v>189</v>
      </c>
      <c r="EM2" s="244"/>
      <c r="EN2" s="245" t="s">
        <v>190</v>
      </c>
      <c r="EO2" s="246" t="s">
        <v>19</v>
      </c>
      <c r="EP2" s="246" t="s">
        <v>191</v>
      </c>
      <c r="EQ2" s="246" t="s">
        <v>8</v>
      </c>
      <c r="ER2" s="246" t="s">
        <v>9</v>
      </c>
      <c r="ES2" s="246" t="s">
        <v>10</v>
      </c>
      <c r="ET2" s="246" t="s">
        <v>17</v>
      </c>
      <c r="EU2" s="246" t="s">
        <v>12</v>
      </c>
      <c r="EV2" s="246" t="s">
        <v>192</v>
      </c>
      <c r="EW2" s="246" t="s">
        <v>13</v>
      </c>
      <c r="EX2" s="246" t="s">
        <v>193</v>
      </c>
      <c r="EZ2" s="244"/>
      <c r="FA2" s="1"/>
    </row>
    <row r="3" customFormat="false" ht="14.25" hidden="false" customHeight="false" outlineLevel="0" collapsed="false">
      <c r="A3" s="2" t="n">
        <v>1</v>
      </c>
      <c r="B3" s="223" t="n">
        <v>0</v>
      </c>
      <c r="C3" s="224" t="n">
        <v>49</v>
      </c>
      <c r="E3" s="231" t="s">
        <v>76</v>
      </c>
      <c r="F3" s="234" t="s">
        <v>194</v>
      </c>
      <c r="G3" s="233"/>
      <c r="H3" s="233" t="s">
        <v>150</v>
      </c>
      <c r="I3" s="233" t="s">
        <v>195</v>
      </c>
      <c r="J3" s="233"/>
      <c r="K3" s="247" t="str">
        <f aca="false">Collection3558[[#This Row],[Collection]]&amp;IF(Collection3558[[#This Row],[Price]]="",""," (+"&amp;TEXT(Collection3558[[#This Row],[Price]],"$0.00"&amp;")"))</f>
        <v>Performance-Line</v>
      </c>
      <c r="L3" s="247" t="str">
        <f aca="false">Collection3558[[#This Row],[Collection]]&amp;IF(Collection3558[[#This Row],[Price]]="",""," (+"&amp;TEXT(Collection3558[[#This Row],[Price]],"$0.00"&amp;")"))</f>
        <v>Performance-Line</v>
      </c>
      <c r="M3" s="247" t="str">
        <f aca="false">Collection3558[[#This Row],[Collection]]&amp;IF(Collection3558[[#This Row],[Price]]="",""," (+"&amp;TEXT(Collection3558[[#This Row],[Price]],"$0.00"&amp;")"))</f>
        <v>Performance-Line</v>
      </c>
      <c r="N3" s="247" t="str">
        <f aca="false">Collection3558[[#This Row],[Collection]]&amp;IF(Collection3558[[#This Row],[Price]]="",""," (+"&amp;TEXT(Collection3558[[#This Row],[Price]],"$0.00"&amp;")"))</f>
        <v>Performance-Line</v>
      </c>
      <c r="P3" s="231" t="s">
        <v>79</v>
      </c>
      <c r="Q3" s="231" t="str">
        <f aca="false">Collection3558[[#This Row],[Collection]]&amp;IF(Collection3558[[#This Row],[Price]]="",""," (+"&amp;TEXT(Collection3558[[#This Row],[Price]],"$0.00"&amp;")"))</f>
        <v>Performance-Line</v>
      </c>
      <c r="R3" s="231" t="s">
        <v>196</v>
      </c>
      <c r="T3" s="224" t="s">
        <v>155</v>
      </c>
      <c r="V3" s="231" t="s">
        <v>80</v>
      </c>
      <c r="W3" s="231" t="n">
        <v>1</v>
      </c>
      <c r="X3" s="231" t="str">
        <f aca="false">Sleeve3255[[#This Row],[Sleeve]]&amp;IF(Sleeve3255[[#This Row],[Price]]="",""," (+"&amp;TEXT(Sleeve3255[[#This Row],[Price]],"$0.00"&amp;")"))</f>
        <v>Short</v>
      </c>
      <c r="Y3" s="231" t="s">
        <v>197</v>
      </c>
      <c r="Z3" s="224"/>
      <c r="AA3" s="248" t="s">
        <v>155</v>
      </c>
      <c r="AC3" s="2" t="e">
        <f aca="false" t="array" ref="AC3:AC5">_xlfn._xlws.filter(Sleeve3255[Sleeve],Sleeve3255[Line]=AC2)</f>
        <v>#NAME?</v>
      </c>
      <c r="AD3" s="2" t="e">
        <f aca="false" t="array" ref="AD3:AD4">_xlfn._xlws.filter(Sleeve3255[Sleeve],Sleeve3255[Line]=AD2)</f>
        <v>#NAME?</v>
      </c>
      <c r="AF3" s="249" t="s">
        <v>198</v>
      </c>
      <c r="AG3" s="249"/>
      <c r="AH3" s="231" t="str">
        <f aca="false">Collar1949[[#This Row],[Collar]]&amp;IF(Collar1949[[#This Row],[Price]]="",""," (+"&amp;TEXT(Collar1949[[#This Row],[Price]],"$0.00"&amp;")"))</f>
        <v>1/4 Zip Sash (+$8.00)</v>
      </c>
      <c r="AI3" s="250" t="s">
        <v>199</v>
      </c>
      <c r="AJ3" s="251" t="n">
        <v>8</v>
      </c>
      <c r="AK3" s="247" t="s">
        <v>80</v>
      </c>
      <c r="AL3" s="252" t="s">
        <v>155</v>
      </c>
      <c r="AM3" s="247" t="str">
        <f aca="false">Collar1949[[#This Row],[Collection]]&amp;Collar1949[[#This Row],[Sleeve]]</f>
        <v>PerformanceShort</v>
      </c>
      <c r="AO3" s="2" t="e">
        <f aca="false" t="array" ref="AO3:AO12">_xlfn._xlws.filter(Collar1949[Display],Collar1949[C&amp;S]=AO$2)</f>
        <v>#NAME?</v>
      </c>
      <c r="AP3" s="2" t="e">
        <f aca="false" t="array" ref="AP3:AP7">_xlfn._xlws.filter(Collar1949[Display],Collar1949[C&amp;S]=AP$2)</f>
        <v>#NAME?</v>
      </c>
      <c r="AQ3" s="2" t="e">
        <f aca="false" t="array" ref="AQ3:AQ10">_xlfn._xlws.filter(Collar1949[Display],Collar1949[C&amp;S]=AQ$2)</f>
        <v>#NAME?</v>
      </c>
      <c r="AR3" s="2" t="e">
        <f aca="false" t="array" ref="AR3:AR10">_xlfn._xlws.filter(Collar1949[Display],Collar1949[C&amp;S]=AR$2)</f>
        <v>#NAME?</v>
      </c>
      <c r="AS3" s="2" t="e">
        <f aca="false" t="array" ref="AS3:AS7">_xlfn._xlws.filter(Collar1949[Display],Collar1949[C&amp;S]=AS$2)</f>
        <v>#NAME?</v>
      </c>
      <c r="AU3" s="237" t="s">
        <v>200</v>
      </c>
      <c r="AV3" s="231" t="n">
        <v>1</v>
      </c>
      <c r="AW3" s="231" t="str">
        <f aca="false">Size2851[[#This Row],[Size]]&amp;IF(Size2851[[#This Row],[Price]]="",""," (+"&amp;TEXT(Size2851[[#This Row],[Price]],"$0.00")&amp;")")</f>
        <v>X-Small</v>
      </c>
      <c r="AX3" s="236" t="s">
        <v>201</v>
      </c>
      <c r="AZ3" s="224" t="s">
        <v>76</v>
      </c>
      <c r="BB3" s="224" t="e">
        <f aca="false" t="array" ref="BB3:BB13">_xlfn._xlws.filter(Size2851[Display],Size2851[Cut]=BB$2)</f>
        <v>#NAME?</v>
      </c>
      <c r="BC3" s="224" t="e">
        <f aca="false" t="array" ref="BC3:BC13">_xlfn._xlws.filter(Size2851[Display],Size2851[Cut]=BC$2)</f>
        <v>#NAME?</v>
      </c>
      <c r="BD3" s="224" t="e">
        <f aca="false" t="array" ref="BD3:BD7">_xlfn._xlws.filter(Size2851[Display],Size2851[Cut]=BD$2)</f>
        <v>#NAME?</v>
      </c>
      <c r="BE3" s="224" t="e">
        <f aca="false" t="array" ref="BE3:BE6">_xlfn._xlws.filter(Size2851[Display],Size2851[Cut]=BE$2)</f>
        <v>#NAME?</v>
      </c>
      <c r="BG3" s="237" t="s">
        <v>202</v>
      </c>
      <c r="BH3" s="231" t="str">
        <f aca="false">Length2952[[#This Row],[Length]]&amp;IF(Length2952[[#This Row],[Price]]="",""," (+"&amp;TEXT(Length2952[[#This Row],[Price]],"$0.00"&amp;")"))</f>
        <v>+2 (+$3.00)</v>
      </c>
      <c r="BI3" s="236" t="s">
        <v>202</v>
      </c>
      <c r="BJ3" s="224" t="n">
        <v>3</v>
      </c>
      <c r="BL3" s="231" t="s">
        <v>203</v>
      </c>
      <c r="BM3" s="231" t="n">
        <v>1</v>
      </c>
      <c r="BN3" s="231" t="str">
        <f aca="false">Logos3154[[#This Row],[Logos]]&amp;" ($30 Per Order)"</f>
        <v>Custom ($30 Per Order)</v>
      </c>
      <c r="BO3" s="231" t="s">
        <v>203</v>
      </c>
      <c r="BP3" s="224"/>
      <c r="BQ3" s="233"/>
      <c r="BR3" s="233"/>
      <c r="BT3" s="231" t="s">
        <v>204</v>
      </c>
      <c r="BU3" s="231" t="n">
        <v>1</v>
      </c>
      <c r="BV3" s="231" t="str">
        <f aca="false">Chest3760[[#This Row],[Logos]]&amp;IF(BZ3="","",IF(Chest3760[[#This Row],[Use]]="Flat"," (+"&amp;TEXT(Chest3760[[#This Row],[Flat]],"$0.00")&amp;")"," (+"&amp;TEXT(Chest3760[[#This Row],[Pct]],"0%")&amp;" of base price)"))</f>
        <v>Creating The Difference</v>
      </c>
      <c r="BW3" s="253" t="s">
        <v>205</v>
      </c>
      <c r="BX3" s="224"/>
      <c r="BY3" s="233"/>
      <c r="BZ3" s="231"/>
      <c r="CB3" s="231" t="s">
        <v>204</v>
      </c>
      <c r="CC3" s="231" t="n">
        <v>1</v>
      </c>
      <c r="CD3" s="231" t="str">
        <f aca="false">LeftSleeve3962[[#This Row],[Logos]]&amp;IF(LeftSleeve3962[[#This Row],[Use]]="","",IF(LeftSleeve3962[[#This Row],[Use]]="Flat"," (+"&amp;TEXT(LeftSleeve3962[[#This Row],[Flat]],"$0.00")&amp;")"," (+"&amp;TEXT(LeftSleeve3962[[#This Row],[Pct]],"0%")&amp;" of base price)"))</f>
        <v>Creating The Difference</v>
      </c>
      <c r="CE3" s="253" t="s">
        <v>205</v>
      </c>
      <c r="CF3" s="224"/>
      <c r="CG3" s="233"/>
      <c r="CH3" s="231"/>
      <c r="CI3" s="231"/>
      <c r="CJ3" s="231" t="s">
        <v>206</v>
      </c>
      <c r="CK3" s="231" t="n">
        <v>1</v>
      </c>
      <c r="CL3" s="231" t="str">
        <f aca="false">RightSleeve4871[[#This Row],[Logos]]</f>
        <v>PBA</v>
      </c>
      <c r="CM3" s="231" t="s">
        <v>206</v>
      </c>
      <c r="CN3" s="233"/>
      <c r="CO3" s="233"/>
      <c r="CP3" s="231"/>
      <c r="CQ3" s="231"/>
      <c r="CR3" s="231" t="s">
        <v>90</v>
      </c>
      <c r="CS3" s="224" t="n">
        <v>7</v>
      </c>
      <c r="CU3" s="231" t="s">
        <v>207</v>
      </c>
      <c r="CW3" s="231" t="s">
        <v>83</v>
      </c>
      <c r="CY3" s="231" t="s">
        <v>208</v>
      </c>
      <c r="CZ3" s="231" t="s">
        <v>209</v>
      </c>
      <c r="DC3" s="231" t="s">
        <v>35</v>
      </c>
      <c r="DD3" s="231" t="str">
        <f aca="false">ProductionPriority3659[[#This Row],[Production]]&amp;IF(ProductionPriority3659[[#This Row],[Price]]="",""," +"&amp;TEXT(ProductionPriority3659[[#This Row],[Price]],"00%"))</f>
        <v>Standard (approx 3 weeks)</v>
      </c>
      <c r="DH3" s="223" t="n">
        <f aca="false">IF(_xlfn.xlookup(CustGroup,CustomerGroup4063[Customer Groups],CustomerGroup4063[Free Express Production])="Yes",ProductionPriority3659[[#This Row],[Upgrade]],ProductionPriority3659[[#This Row],[Price]])</f>
        <v>0</v>
      </c>
      <c r="DI3" s="224" t="n">
        <f aca="false">ROUNDUP(IF(ProductionPriority3659[[#This Row],[Actual]]&gt;0,MAX(ProductionPriority3659[[#This Row],[Minimum]],BOD_Subtotal*ProductionPriority3659[[#This Row],[Actual]]),0),2)</f>
        <v>0</v>
      </c>
      <c r="DJ3" s="234"/>
      <c r="DK3" s="239" t="s">
        <v>210</v>
      </c>
      <c r="DL3" s="254" t="n">
        <f aca="false">MAX(Summary!$D$23*SUMIF(ProductionPriority3659[Display],PriorityProduction4265[[#This Row],[Priority Production]],ProductionPriority3659[Price]),25)</f>
        <v>81.375</v>
      </c>
      <c r="DM3" s="2" t="n">
        <v>0</v>
      </c>
      <c r="DN3" s="2" t="n">
        <v>9</v>
      </c>
      <c r="DP3" s="231" t="s">
        <v>175</v>
      </c>
      <c r="DR3" s="75" t="n">
        <v>1</v>
      </c>
      <c r="DS3" s="231" t="s">
        <v>211</v>
      </c>
      <c r="DU3" s="75" t="n">
        <v>1</v>
      </c>
      <c r="DV3" s="231" t="s">
        <v>212</v>
      </c>
      <c r="DX3" s="255" t="n">
        <v>0</v>
      </c>
      <c r="DY3" s="231"/>
      <c r="EB3" s="256" t="n">
        <f aca="true">INT(NOW()+1)</f>
        <v>46107</v>
      </c>
      <c r="EC3" s="257" t="n">
        <f aca="false">(7-WEEKDAY(IHD_Calc4770[[#This Row],[Order Date]],15))</f>
        <v>0</v>
      </c>
      <c r="ED3" s="256" t="n">
        <f aca="false">IHD_Calc4770[[#This Row],[Order Date]]+(7-WEEKDAY(IHD_Calc4770[[#This Row],[Order Date]],15))+IF(IHD_Calc4770[[#This Row],[Days]]&lt;3,7,0)</f>
        <v>46114</v>
      </c>
      <c r="EE3" s="256" t="n">
        <f aca="false">IHD_Calc4770[[#This Row],[Approval Date]]-5</f>
        <v>46109</v>
      </c>
      <c r="EF3" s="258"/>
      <c r="EG3" s="256" t="str">
        <f aca="false">IFERROR(IHD_Calc4770[[#This Row],[Approval Date]]+VLOOKUP(IHD_Calc4770[[#This Row],[Production Priority]],PriorityProduction4265[],4),"")</f>
        <v/>
      </c>
      <c r="EH3" s="256" t="str">
        <f aca="false">IFERROR(IHD_Calc4770[[#This Row],[In Transit]]+3,"")</f>
        <v/>
      </c>
      <c r="EI3" s="228" t="n">
        <f aca="false">IFERROR(IHD_Calc4770[[#This Row],[Est Ship Date]]+_xlfn.xlookup(IHD_Calc4770[[#This Row],[Shipping]],ShipDays4467[Shipping Service],ShipDays4467[Ship Days]),0)</f>
        <v>0</v>
      </c>
      <c r="EJ3" s="259"/>
      <c r="EK3" s="259"/>
      <c r="EL3" s="260" t="s">
        <v>213</v>
      </c>
      <c r="EM3" s="10"/>
      <c r="EN3" s="231" t="s">
        <v>214</v>
      </c>
      <c r="EO3" s="234"/>
      <c r="EP3" s="75" t="n">
        <v>0.2</v>
      </c>
      <c r="EQ3" s="75" t="s">
        <v>3</v>
      </c>
      <c r="ER3" s="75" t="s">
        <v>3</v>
      </c>
      <c r="ES3" s="75" t="s">
        <v>3</v>
      </c>
      <c r="ET3" s="75" t="s">
        <v>3</v>
      </c>
      <c r="EU3" s="75" t="s">
        <v>3</v>
      </c>
      <c r="EV3" s="234"/>
      <c r="EW3" s="234"/>
      <c r="EX3" s="234" t="n">
        <v>49</v>
      </c>
      <c r="EZ3" s="10"/>
      <c r="FA3" s="1"/>
    </row>
    <row r="4" customFormat="false" ht="15" hidden="false" customHeight="false" outlineLevel="0" collapsed="false">
      <c r="A4" s="2" t="n">
        <v>2</v>
      </c>
      <c r="B4" s="223" t="n">
        <v>0.05</v>
      </c>
      <c r="C4" s="224" t="n">
        <f aca="false">$C$3*(1-B4)</f>
        <v>46.55</v>
      </c>
      <c r="E4" s="231" t="s">
        <v>163</v>
      </c>
      <c r="F4" s="234" t="s">
        <v>215</v>
      </c>
      <c r="G4" s="233"/>
      <c r="H4" s="233" t="s">
        <v>151</v>
      </c>
      <c r="I4" s="233" t="s">
        <v>216</v>
      </c>
      <c r="J4" s="233"/>
      <c r="K4" s="261" t="str">
        <f aca="false">Collection3558[[#This Row],[Collection]]&amp;IF(Collection3558[[#This Row],[Price]]="",""," (+"&amp;TEXT(Collection3558[[#This Row],[Price]],"$0.00"&amp;")"))</f>
        <v>Tour-Line (+$0.00)</v>
      </c>
      <c r="L4" s="261" t="str">
        <f aca="false">Collection3558[[#This Row],[Collection]]&amp;IF(Collection3558[[#This Row],[Price]]="",""," (+"&amp;TEXT(Collection3558[[#This Row],[Price]],"$0.00"&amp;")"))</f>
        <v>Tour-Line (+$0.00)</v>
      </c>
      <c r="M4" s="261"/>
      <c r="N4" s="261"/>
      <c r="P4" s="231" t="s">
        <v>217</v>
      </c>
      <c r="Q4" s="231" t="str">
        <f aca="false">Collection3558[[#This Row],[Collection]]&amp;IF(Collection3558[[#This Row],[Price]]="",""," (+"&amp;TEXT(Collection3558[[#This Row],[Price]],"$0.00"&amp;")"))</f>
        <v>Tour-Line (+$0.00)</v>
      </c>
      <c r="R4" s="231" t="s">
        <v>218</v>
      </c>
      <c r="S4" s="224" t="n">
        <v>0</v>
      </c>
      <c r="T4" s="224" t="s">
        <v>156</v>
      </c>
      <c r="V4" s="231" t="s">
        <v>219</v>
      </c>
      <c r="W4" s="231" t="n">
        <v>2</v>
      </c>
      <c r="X4" s="231" t="str">
        <f aca="false">Sleeve3255[[#This Row],[Sleeve]]&amp;IF(Sleeve3255[[#This Row],[Price]]="",""," (+"&amp;TEXT(Sleeve3255[[#This Row],[Price]],"$0.00"&amp;")"))</f>
        <v>Sleeveless</v>
      </c>
      <c r="Y4" s="231" t="s">
        <v>220</v>
      </c>
      <c r="Z4" s="224"/>
      <c r="AA4" s="248" t="s">
        <v>155</v>
      </c>
      <c r="AC4" s="2" t="e">
        <v>#NAME?</v>
      </c>
      <c r="AD4" s="2" t="e">
        <v>#NAME?</v>
      </c>
      <c r="AF4" s="231" t="s">
        <v>221</v>
      </c>
      <c r="AG4" s="231"/>
      <c r="AH4" s="231" t="str">
        <f aca="false">Collar1949[[#This Row],[Collar]]&amp;IF(Collar1949[[#This Row],[Price]]="",""," (+"&amp;TEXT(Collar1949[[#This Row],[Price]],"$0.00"&amp;")"))</f>
        <v>Polo (+$8.00)</v>
      </c>
      <c r="AI4" s="236" t="s">
        <v>222</v>
      </c>
      <c r="AJ4" s="262" t="n">
        <v>8</v>
      </c>
      <c r="AK4" s="252" t="s">
        <v>80</v>
      </c>
      <c r="AL4" s="252" t="s">
        <v>155</v>
      </c>
      <c r="AM4" s="252" t="str">
        <f aca="false">Collar1949[[#This Row],[Collection]]&amp;Collar1949[[#This Row],[Sleeve]]</f>
        <v>PerformanceShort</v>
      </c>
      <c r="AO4" s="2" t="e">
        <v>#NAME?</v>
      </c>
      <c r="AP4" s="2" t="e">
        <v>#NAME?</v>
      </c>
      <c r="AQ4" s="2" t="e">
        <v>#NAME?</v>
      </c>
      <c r="AR4" s="2" t="e">
        <v>#NAME?</v>
      </c>
      <c r="AS4" s="2" t="e">
        <v>#NAME?</v>
      </c>
      <c r="AU4" s="237" t="s">
        <v>223</v>
      </c>
      <c r="AV4" s="231" t="n">
        <v>2</v>
      </c>
      <c r="AW4" s="231" t="str">
        <f aca="false">Size2851[[#This Row],[Size]]&amp;IF(Size2851[[#This Row],[Price]]="",""," (+"&amp;TEXT(Size2851[[#This Row],[Price]],"$0.00")&amp;")")</f>
        <v>Small</v>
      </c>
      <c r="AX4" s="236" t="s">
        <v>197</v>
      </c>
      <c r="AZ4" s="224" t="s">
        <v>76</v>
      </c>
      <c r="BB4" s="224" t="e">
        <v>#NAME?</v>
      </c>
      <c r="BC4" s="224" t="e">
        <v>#NAME?</v>
      </c>
      <c r="BD4" s="224" t="e">
        <v>#NAME?</v>
      </c>
      <c r="BE4" s="224" t="e">
        <v>#NAME?</v>
      </c>
      <c r="BG4" s="237" t="s">
        <v>224</v>
      </c>
      <c r="BH4" s="231" t="str">
        <f aca="false">Length2952[[#This Row],[Length]]&amp;IF(Length2952[[#This Row],[Price]]="",""," (+"&amp;TEXT(Length2952[[#This Row],[Price]],"$0.00"&amp;")"))</f>
        <v>+4 (+$6.00)</v>
      </c>
      <c r="BI4" s="236" t="s">
        <v>224</v>
      </c>
      <c r="BJ4" s="224" t="n">
        <v>6</v>
      </c>
      <c r="BL4" s="231" t="s">
        <v>225</v>
      </c>
      <c r="BM4" s="231" t="n">
        <v>2</v>
      </c>
      <c r="BN4" s="231" t="str">
        <f aca="false">Logos3154[[#This Row],[Logos]]&amp;" (FREE)"</f>
        <v>Custom On File (FREE)</v>
      </c>
      <c r="BO4" s="231" t="s">
        <v>225</v>
      </c>
      <c r="BP4" s="224"/>
      <c r="BQ4" s="233"/>
      <c r="BR4" s="233"/>
      <c r="BT4" s="231" t="s">
        <v>226</v>
      </c>
      <c r="BU4" s="231" t="n">
        <v>2</v>
      </c>
      <c r="BV4" s="231" t="str">
        <f aca="false">Chest3760[[#This Row],[Logos]]&amp;IF(BZ4="","",IF(Chest3760[[#This Row],[Use]]="Flat"," (+"&amp;TEXT(Chest3760[[#This Row],[Flat]],"$0.00")&amp;")"," (+"&amp;TEXT(Chest3760[[#This Row],[Pct]],"0%")&amp;" of base price)"))</f>
        <v>Genesis (+$15.00)</v>
      </c>
      <c r="BW4" s="253" t="s">
        <v>226</v>
      </c>
      <c r="BX4" s="224"/>
      <c r="BY4" s="233" t="n">
        <v>15</v>
      </c>
      <c r="BZ4" s="223" t="s">
        <v>166</v>
      </c>
      <c r="CB4" s="231" t="s">
        <v>226</v>
      </c>
      <c r="CC4" s="231" t="n">
        <v>2</v>
      </c>
      <c r="CD4" s="231" t="str">
        <f aca="false">LeftSleeve3962[[#This Row],[Logos]]&amp;IF(LeftSleeve3962[[#This Row],[Use]]="","",IF(LeftSleeve3962[[#This Row],[Use]]="Flat"," (+"&amp;TEXT(LeftSleeve3962[[#This Row],[Flat]],"$0.00")&amp;")"," (+"&amp;TEXT(LeftSleeve3962[[#This Row],[Pct]],"0%")&amp;" of base price)"))</f>
        <v>Genesis (+$15.00)</v>
      </c>
      <c r="CE4" s="253" t="s">
        <v>226</v>
      </c>
      <c r="CF4" s="224"/>
      <c r="CG4" s="233" t="n">
        <v>15</v>
      </c>
      <c r="CH4" s="231" t="s">
        <v>166</v>
      </c>
      <c r="CI4" s="231"/>
      <c r="CJ4" s="231" t="s">
        <v>227</v>
      </c>
      <c r="CK4" s="231" t="n">
        <v>2</v>
      </c>
      <c r="CL4" s="231" t="str">
        <f aca="false">RightSleeve4871[[#This Row],[Logos]]</f>
        <v>PBA50</v>
      </c>
      <c r="CM4" s="231" t="s">
        <v>227</v>
      </c>
      <c r="CN4" s="233"/>
      <c r="CO4" s="233"/>
      <c r="CP4" s="231"/>
      <c r="CQ4" s="231"/>
      <c r="CU4" s="231" t="s">
        <v>84</v>
      </c>
      <c r="CW4" s="231" t="s">
        <v>228</v>
      </c>
      <c r="CY4" s="231" t="s">
        <v>229</v>
      </c>
      <c r="CZ4" s="231" t="s">
        <v>230</v>
      </c>
      <c r="DC4" s="231" t="s">
        <v>231</v>
      </c>
      <c r="DD4" s="231" t="str">
        <f aca="false">ProductionPriority3659[[#This Row],[Production]]&amp;IF(ProductionPriority3659[[#This Row],[Price]]="",""," +"&amp;TEXT(ProductionPriority3659[[#This Row],[Price]],"00%"))</f>
        <v>Express (approx 2 weeks) +25%</v>
      </c>
      <c r="DE4" s="263" t="n">
        <v>0.25</v>
      </c>
      <c r="DF4" s="263" t="n">
        <v>0</v>
      </c>
      <c r="DG4" s="224" t="n">
        <v>25</v>
      </c>
      <c r="DH4" s="223" t="n">
        <f aca="false">IF(_xlfn.xlookup(CustGroup,CustomerGroup4063[Customer Groups],CustomerGroup4063[Free Express Production])="Yes",ProductionPriority3659[[#This Row],[Upgrade]],ProductionPriority3659[[#This Row],[Price]])</f>
        <v>0.25</v>
      </c>
      <c r="DI4" s="224" t="n">
        <f aca="false">ROUNDUP(IF(ProductionPriority3659[[#This Row],[Actual]]&gt;0,MAX(ProductionPriority3659[[#This Row],[Minimum]],BOD_Subtotal*ProductionPriority3659[[#This Row],[Actual]]),0),2)</f>
        <v>81.38</v>
      </c>
      <c r="DJ4" s="234"/>
      <c r="DK4" s="239" t="s">
        <v>232</v>
      </c>
      <c r="DL4" s="254" t="n">
        <f aca="false">MAX(Summary!$D$23*SUMIF(ProductionPriority3659[Display],PriorityProduction4265[[#This Row],[Priority Production]],ProductionPriority3659[Price]),35)</f>
        <v>113.925</v>
      </c>
      <c r="DM4" s="224" t="n">
        <f aca="false">DL4-DL3</f>
        <v>32.55</v>
      </c>
      <c r="DN4" s="2" t="n">
        <v>2</v>
      </c>
      <c r="DP4" s="231" t="s">
        <v>3</v>
      </c>
      <c r="DR4" s="75" t="n">
        <v>2</v>
      </c>
      <c r="DS4" s="231" t="s">
        <v>233</v>
      </c>
      <c r="DU4" s="75" t="n">
        <v>2</v>
      </c>
      <c r="DV4" s="231" t="s">
        <v>234</v>
      </c>
      <c r="DX4" s="264" t="n">
        <v>45624</v>
      </c>
      <c r="DY4" s="231" t="s">
        <v>235</v>
      </c>
      <c r="EB4" s="256" t="n">
        <f aca="true">INT(NOW()+1)</f>
        <v>46107</v>
      </c>
      <c r="EC4" s="257" t="n">
        <f aca="false">(7-WEEKDAY(IHD_Calc4770[[#This Row],[Order Date]],15))</f>
        <v>0</v>
      </c>
      <c r="ED4" s="256" t="n">
        <f aca="false">IHD_Calc4770[[#This Row],[Order Date]]+(7-WEEKDAY(IHD_Calc4770[[#This Row],[Order Date]],15))+IF(IHD_Calc4770[[#This Row],[Days]]&lt;3,7,0)</f>
        <v>46114</v>
      </c>
      <c r="EE4" s="256" t="n">
        <f aca="false">IHD_Calc4770[[#This Row],[Approval Date]]-5</f>
        <v>46109</v>
      </c>
      <c r="EF4" s="258" t="s">
        <v>232</v>
      </c>
      <c r="EG4" s="256" t="n">
        <f aca="false">IFERROR(IHD_Calc4770[[#This Row],[Approval Date]]+VLOOKUP(IHD_Calc4770[[#This Row],[Production Priority]],PriorityProduction4265[],4),"")</f>
        <v>46116</v>
      </c>
      <c r="EH4" s="256" t="n">
        <f aca="false">IFERROR(IHD_Calc4770[[#This Row],[In Transit]]+3,"")</f>
        <v>46119</v>
      </c>
      <c r="EI4" s="228" t="n">
        <f aca="false">IFERROR(IHD_Calc4770[[#This Row],[Est Ship Date]]+_xlfn.xlookup(IHD_Calc4770[[#This Row],[Shipping]],ShipDays4467[Shipping Service],ShipDays4467[Ship Days]),0)</f>
        <v>0</v>
      </c>
      <c r="EJ4" s="259" t="s">
        <v>212</v>
      </c>
      <c r="EK4" s="259" t="s">
        <v>236</v>
      </c>
      <c r="EL4" s="260" t="str">
        <f aca="false">"To meet your in hand date it may require "&amp;IHD_Calc4770[[#This Row],[Production]]&amp;" production and UPS "&amp;UPPER(IHD_Calc4770[[#This Row],[Shipping]])&amp;" delivery service."</f>
        <v>To meet your in hand date it may require PRIORITY production and UPS OVERNIGHT delivery service.</v>
      </c>
      <c r="EM4" s="259"/>
      <c r="EN4" s="231" t="s">
        <v>237</v>
      </c>
      <c r="EO4" s="234" t="n">
        <v>0.35</v>
      </c>
      <c r="EQ4" s="75" t="s">
        <v>3</v>
      </c>
      <c r="ER4" s="75" t="s">
        <v>3</v>
      </c>
      <c r="ES4" s="75" t="s">
        <v>3</v>
      </c>
      <c r="ET4" s="75" t="s">
        <v>3</v>
      </c>
      <c r="EU4" s="75" t="s">
        <v>175</v>
      </c>
      <c r="EV4" s="234"/>
      <c r="EW4" s="234" t="n">
        <v>250</v>
      </c>
      <c r="EX4" s="234" t="n">
        <v>49</v>
      </c>
      <c r="EZ4" s="259"/>
      <c r="FA4" s="1"/>
    </row>
    <row r="5" customFormat="false" ht="14.25" hidden="false" customHeight="false" outlineLevel="0" collapsed="false">
      <c r="A5" s="2" t="n">
        <v>4</v>
      </c>
      <c r="B5" s="223" t="n">
        <v>0.1</v>
      </c>
      <c r="C5" s="224" t="n">
        <f aca="false">$C$3*(1-B5)</f>
        <v>44.1</v>
      </c>
      <c r="E5" s="231" t="s">
        <v>152</v>
      </c>
      <c r="F5" s="234" t="s">
        <v>238</v>
      </c>
      <c r="G5" s="233"/>
      <c r="H5" s="233" t="s">
        <v>152</v>
      </c>
      <c r="I5" s="233" t="s">
        <v>239</v>
      </c>
      <c r="J5" s="233"/>
      <c r="K5" s="233"/>
      <c r="L5" s="233"/>
      <c r="M5" s="233"/>
      <c r="N5" s="233"/>
      <c r="V5" s="231" t="s">
        <v>240</v>
      </c>
      <c r="W5" s="231" t="n">
        <v>3</v>
      </c>
      <c r="X5" s="231" t="str">
        <f aca="false">Sleeve3255[[#This Row],[Sleeve]]&amp;IF(Sleeve3255[[#This Row],[Price]]="",""," (+"&amp;TEXT(Sleeve3255[[#This Row],[Price]],"$0.00"&amp;")"))</f>
        <v>Long (+$10.00)</v>
      </c>
      <c r="Y5" s="231" t="s">
        <v>241</v>
      </c>
      <c r="Z5" s="224" t="n">
        <v>10</v>
      </c>
      <c r="AA5" s="248" t="s">
        <v>155</v>
      </c>
      <c r="AC5" s="2" t="e">
        <v>#NAME?</v>
      </c>
      <c r="AF5" s="249" t="s">
        <v>242</v>
      </c>
      <c r="AG5" s="249"/>
      <c r="AH5" s="231" t="str">
        <f aca="false">Collar1949[[#This Row],[Collar]]&amp;IF(Collar1949[[#This Row],[Price]]="",""," (+"&amp;TEXT(Collar1949[[#This Row],[Price]],"$0.00"&amp;")"))</f>
        <v>V-Neck</v>
      </c>
      <c r="AI5" s="250" t="s">
        <v>243</v>
      </c>
      <c r="AJ5" s="251"/>
      <c r="AK5" s="247" t="s">
        <v>80</v>
      </c>
      <c r="AL5" s="252" t="s">
        <v>155</v>
      </c>
      <c r="AM5" s="247" t="str">
        <f aca="false">Collar1949[[#This Row],[Collection]]&amp;Collar1949[[#This Row],[Sleeve]]</f>
        <v>PerformanceShort</v>
      </c>
      <c r="AO5" s="2" t="e">
        <v>#NAME?</v>
      </c>
      <c r="AP5" s="2" t="e">
        <v>#NAME?</v>
      </c>
      <c r="AQ5" s="2" t="e">
        <v>#NAME?</v>
      </c>
      <c r="AR5" s="2" t="e">
        <v>#NAME?</v>
      </c>
      <c r="AS5" s="2" t="e">
        <v>#NAME?</v>
      </c>
      <c r="AU5" s="237" t="s">
        <v>244</v>
      </c>
      <c r="AV5" s="231" t="n">
        <v>3</v>
      </c>
      <c r="AW5" s="231" t="str">
        <f aca="false">Size2851[[#This Row],[Size]]&amp;IF(Size2851[[#This Row],[Price]]="",""," (+"&amp;TEXT(Size2851[[#This Row],[Price]],"$0.00")&amp;")")</f>
        <v>Medium</v>
      </c>
      <c r="AX5" s="236" t="s">
        <v>194</v>
      </c>
      <c r="AZ5" s="224" t="s">
        <v>76</v>
      </c>
      <c r="BB5" s="224" t="e">
        <v>#NAME?</v>
      </c>
      <c r="BC5" s="224" t="e">
        <v>#NAME?</v>
      </c>
      <c r="BD5" s="224" t="e">
        <v>#NAME?</v>
      </c>
      <c r="BE5" s="224" t="e">
        <v>#NAME?</v>
      </c>
      <c r="BG5" s="237" t="s">
        <v>245</v>
      </c>
      <c r="BH5" s="231" t="str">
        <f aca="false">Length2952[[#This Row],[Length]]&amp;IF(Length2952[[#This Row],[Price]]="",""," (+"&amp;TEXT(Length2952[[#This Row],[Price]],"$0.00"&amp;")"))</f>
        <v>+6 (+$9.00)</v>
      </c>
      <c r="BI5" s="236" t="s">
        <v>245</v>
      </c>
      <c r="BJ5" s="224" t="n">
        <v>9</v>
      </c>
      <c r="BL5" s="231" t="s">
        <v>246</v>
      </c>
      <c r="BM5" s="231" t="n">
        <v>3</v>
      </c>
      <c r="BN5" s="231" t="str">
        <f aca="false">Logos3154[[#This Row],[Logos]]&amp;IF(Logos3154[[#This Row],[Use]]="Flat"," (+"&amp;TEXT(Logos3154[[#This Row],[Flat]],"$0.00")&amp;")"," (+"&amp;TEXT(Logos3154[[#This Row],[Pct]],"0%")&amp;" of base price)")</f>
        <v>900 Global (+10% of base price)</v>
      </c>
      <c r="BO5" s="231" t="s">
        <v>247</v>
      </c>
      <c r="BP5" s="223" t="n">
        <v>0.1</v>
      </c>
      <c r="BQ5" s="265" t="n">
        <v>5</v>
      </c>
      <c r="BR5" s="232" t="s">
        <v>165</v>
      </c>
      <c r="BT5" s="231" t="s">
        <v>248</v>
      </c>
      <c r="BU5" s="231" t="n">
        <v>3</v>
      </c>
      <c r="BV5" s="231" t="str">
        <f aca="false">Chest3760[[#This Row],[Logos]]&amp;IF(BZ5="","",IF(Chest3760[[#This Row],[Use]]="Flat"," (+"&amp;TEXT(Chest3760[[#This Row],[Flat]],"$0.00")&amp;")"," (+"&amp;TEXT(Chest3760[[#This Row],[Pct]],"0%")&amp;" of base price)"))</f>
        <v>Master (+10% of base price)</v>
      </c>
      <c r="BW5" s="253" t="s">
        <v>248</v>
      </c>
      <c r="BX5" s="223" t="n">
        <v>0.1</v>
      </c>
      <c r="BY5" s="233" t="n">
        <v>5</v>
      </c>
      <c r="BZ5" s="223" t="s">
        <v>165</v>
      </c>
      <c r="CB5" s="231" t="s">
        <v>248</v>
      </c>
      <c r="CC5" s="231" t="n">
        <v>3</v>
      </c>
      <c r="CD5" s="231" t="str">
        <f aca="false">LeftSleeve3962[[#This Row],[Logos]]&amp;IF(LeftSleeve3962[[#This Row],[Use]]="","",IF(LeftSleeve3962[[#This Row],[Use]]="Flat"," (+"&amp;TEXT(LeftSleeve3962[[#This Row],[Flat]],"$0.00")&amp;")"," (+"&amp;TEXT(LeftSleeve3962[[#This Row],[Pct]],"0%")&amp;" of base price)"))</f>
        <v>Master (+10% of base price)</v>
      </c>
      <c r="CE5" s="253" t="s">
        <v>248</v>
      </c>
      <c r="CF5" s="223" t="n">
        <v>0.1</v>
      </c>
      <c r="CG5" s="233" t="n">
        <v>5</v>
      </c>
      <c r="CH5" s="231" t="s">
        <v>165</v>
      </c>
      <c r="CI5" s="231"/>
      <c r="CJ5" s="231" t="s">
        <v>249</v>
      </c>
      <c r="CK5" s="231"/>
      <c r="CL5" s="231" t="str">
        <f aca="false">RightSleeve4871[[#This Row],[Logos]]</f>
        <v>PBA Jr</v>
      </c>
      <c r="CM5" s="231" t="s">
        <v>250</v>
      </c>
      <c r="CN5" s="233"/>
      <c r="CO5" s="233"/>
      <c r="CP5" s="231"/>
      <c r="CQ5" s="231"/>
      <c r="CY5" s="231" t="s">
        <v>251</v>
      </c>
      <c r="CZ5" s="231" t="s">
        <v>252</v>
      </c>
      <c r="DC5" s="231" t="s">
        <v>253</v>
      </c>
      <c r="DD5" s="231" t="str">
        <f aca="false">ProductionPriority3659[[#This Row],[Production]]&amp;IF(ProductionPriority3659[[#This Row],[Price]]="",""," +"&amp;TEXT(ProductionPriority3659[[#This Row],[Price]],"00%"))</f>
        <v>Priority (approx 1 week) +35%</v>
      </c>
      <c r="DE5" s="266" t="n">
        <v>0.35</v>
      </c>
      <c r="DF5" s="266" t="n">
        <v>0.1</v>
      </c>
      <c r="DG5" s="224" t="n">
        <v>35</v>
      </c>
      <c r="DH5" s="223" t="n">
        <f aca="false">IF(_xlfn.xlookup(CustGroup,CustomerGroup4063[Customer Groups],CustomerGroup4063[Free Express Production])="Yes",ProductionPriority3659[[#This Row],[Upgrade]],ProductionPriority3659[[#This Row],[Price]])</f>
        <v>0.35</v>
      </c>
      <c r="DI5" s="224" t="n">
        <f aca="false">ROUNDUP(IF(ProductionPriority3659[[#This Row],[Actual]]&gt;0,MAX(ProductionPriority3659[[#This Row],[Minimum]],BOD_Subtotal*ProductionPriority3659[[#This Row],[Actual]]),0),2)</f>
        <v>113.93</v>
      </c>
      <c r="DJ5" s="234"/>
      <c r="DK5" s="239" t="s">
        <v>35</v>
      </c>
      <c r="DL5" s="254" t="n">
        <v>0</v>
      </c>
      <c r="DM5" s="224" t="n">
        <v>0</v>
      </c>
      <c r="DN5" s="2" t="n">
        <v>16</v>
      </c>
      <c r="DR5" s="75" t="n">
        <v>3</v>
      </c>
      <c r="DS5" s="231" t="s">
        <v>254</v>
      </c>
      <c r="DU5" s="75" t="n">
        <v>3</v>
      </c>
      <c r="DV5" s="231" t="s">
        <v>255</v>
      </c>
      <c r="DX5" s="264" t="n">
        <v>45651</v>
      </c>
      <c r="DY5" s="231" t="s">
        <v>256</v>
      </c>
      <c r="EB5" s="256" t="n">
        <f aca="true">INT(NOW()+1)</f>
        <v>46107</v>
      </c>
      <c r="EC5" s="257" t="n">
        <f aca="false">(7-WEEKDAY(IHD_Calc4770[[#This Row],[Order Date]],15))</f>
        <v>0</v>
      </c>
      <c r="ED5" s="256" t="n">
        <f aca="false">IHD_Calc4770[[#This Row],[Order Date]]+(7-WEEKDAY(IHD_Calc4770[[#This Row],[Order Date]],15))+IF(IHD_Calc4770[[#This Row],[Days]]&lt;3,7,0)</f>
        <v>46114</v>
      </c>
      <c r="EE5" s="256" t="n">
        <f aca="false">IHD_Calc4770[[#This Row],[Approval Date]]-5</f>
        <v>46109</v>
      </c>
      <c r="EF5" s="258" t="s">
        <v>232</v>
      </c>
      <c r="EG5" s="256" t="n">
        <f aca="false">IFERROR(IHD_Calc4770[[#This Row],[Approval Date]]+VLOOKUP(IHD_Calc4770[[#This Row],[Production Priority]],PriorityProduction4265[],4),"")</f>
        <v>46116</v>
      </c>
      <c r="EH5" s="256" t="n">
        <f aca="false">IFERROR(IHD_Calc4770[[#This Row],[In Transit]]+3,"")</f>
        <v>46119</v>
      </c>
      <c r="EI5" s="228" t="n">
        <f aca="false">IFERROR(IHD_Calc4770[[#This Row],[Est Ship Date]]+_xlfn.xlookup(IHD_Calc4770[[#This Row],[Shipping]],ShipDays4467[Shipping Service],ShipDays4467[Ship Days]),0)</f>
        <v>0</v>
      </c>
      <c r="EJ5" s="259" t="s">
        <v>234</v>
      </c>
      <c r="EK5" s="259" t="s">
        <v>236</v>
      </c>
      <c r="EL5" s="260" t="str">
        <f aca="false">"To meet your in hand date it may require "&amp;IHD_Calc4770[[#This Row],[Production]]&amp;" production and UPS "&amp;UPPER(IHD_Calc4770[[#This Row],[Shipping]])&amp;" delivery service."</f>
        <v>To meet your in hand date it may require PRIORITY production and UPS TWO DAY delivery service.</v>
      </c>
      <c r="EM5" s="256"/>
      <c r="EN5" s="231" t="s">
        <v>257</v>
      </c>
      <c r="EP5" s="234" t="n">
        <v>0.3</v>
      </c>
      <c r="EQ5" s="75" t="s">
        <v>3</v>
      </c>
      <c r="ER5" s="75" t="s">
        <v>3</v>
      </c>
      <c r="ES5" s="75" t="s">
        <v>3</v>
      </c>
      <c r="ET5" s="75" t="s">
        <v>3</v>
      </c>
      <c r="EU5" s="75" t="s">
        <v>3</v>
      </c>
      <c r="EV5" s="234"/>
      <c r="EW5" s="234"/>
      <c r="EX5" s="234" t="n">
        <v>49</v>
      </c>
      <c r="EZ5" s="256"/>
      <c r="FA5" s="1"/>
    </row>
    <row r="6" customFormat="false" ht="14.25" hidden="false" customHeight="false" outlineLevel="0" collapsed="false">
      <c r="A6" s="2" t="n">
        <v>25</v>
      </c>
      <c r="B6" s="223" t="n">
        <v>0.15</v>
      </c>
      <c r="C6" s="224" t="n">
        <f aca="false">$C$3*(1-B6)</f>
        <v>41.65</v>
      </c>
      <c r="E6" s="231" t="s">
        <v>153</v>
      </c>
      <c r="F6" s="234" t="s">
        <v>258</v>
      </c>
      <c r="G6" s="233"/>
      <c r="H6" s="233" t="s">
        <v>153</v>
      </c>
      <c r="I6" s="233" t="s">
        <v>259</v>
      </c>
      <c r="J6" s="233"/>
      <c r="K6" s="233"/>
      <c r="L6" s="233"/>
      <c r="M6" s="233"/>
      <c r="N6" s="233"/>
      <c r="V6" s="231" t="s">
        <v>80</v>
      </c>
      <c r="W6" s="231"/>
      <c r="X6" s="231" t="str">
        <f aca="false">Sleeve3255[[#This Row],[Sleeve]]&amp;IF(Sleeve3255[[#This Row],[Price]]="",""," (+"&amp;TEXT(Sleeve3255[[#This Row],[Price]],"$0.00"&amp;")"))</f>
        <v>Short</v>
      </c>
      <c r="Y6" s="231" t="s">
        <v>197</v>
      </c>
      <c r="Z6" s="224"/>
      <c r="AA6" s="267" t="s">
        <v>156</v>
      </c>
      <c r="AF6" s="231" t="s">
        <v>260</v>
      </c>
      <c r="AG6" s="231"/>
      <c r="AH6" s="231" t="str">
        <f aca="false">Collar1949[[#This Row],[Collar]]&amp;IF(Collar1949[[#This Row],[Price]]="",""," (+"&amp;TEXT(Collar1949[[#This Row],[Price]],"$0.00"&amp;")"))</f>
        <v>Crew</v>
      </c>
      <c r="AI6" s="236" t="s">
        <v>261</v>
      </c>
      <c r="AJ6" s="262"/>
      <c r="AK6" s="252" t="s">
        <v>80</v>
      </c>
      <c r="AL6" s="252" t="s">
        <v>155</v>
      </c>
      <c r="AM6" s="252" t="str">
        <f aca="false">Collar1949[[#This Row],[Collection]]&amp;Collar1949[[#This Row],[Sleeve]]</f>
        <v>PerformanceShort</v>
      </c>
      <c r="AO6" s="2" t="e">
        <v>#NAME?</v>
      </c>
      <c r="AP6" s="2" t="e">
        <v>#NAME?</v>
      </c>
      <c r="AQ6" s="2" t="e">
        <v>#NAME?</v>
      </c>
      <c r="AR6" s="2" t="e">
        <v>#NAME?</v>
      </c>
      <c r="AS6" s="2" t="e">
        <v>#NAME?</v>
      </c>
      <c r="AU6" s="237" t="s">
        <v>77</v>
      </c>
      <c r="AV6" s="231" t="n">
        <v>4</v>
      </c>
      <c r="AW6" s="231" t="str">
        <f aca="false">Size2851[[#This Row],[Size]]&amp;IF(Size2851[[#This Row],[Price]]="",""," (+"&amp;TEXT(Size2851[[#This Row],[Price]],"$0.00")&amp;")")</f>
        <v>Large</v>
      </c>
      <c r="AX6" s="236" t="s">
        <v>241</v>
      </c>
      <c r="AZ6" s="224" t="s">
        <v>76</v>
      </c>
      <c r="BB6" s="224" t="e">
        <v>#NAME?</v>
      </c>
      <c r="BC6" s="224" t="e">
        <v>#NAME?</v>
      </c>
      <c r="BD6" s="224" t="e">
        <v>#NAME?</v>
      </c>
      <c r="BE6" s="224" t="e">
        <v>#NAME?</v>
      </c>
      <c r="BL6" s="231" t="s">
        <v>262</v>
      </c>
      <c r="BM6" s="231" t="n">
        <v>4</v>
      </c>
      <c r="BN6" s="231" t="str">
        <f aca="false">Logos3154[[#This Row],[Logos]]&amp;IF(Logos3154[[#This Row],[Use]]="Flat"," (+"&amp;TEXT(Logos3154[[#This Row],[Flat]],"$0.00")&amp;")"," (+"&amp;TEXT(Logos3154[[#This Row],[Pct]],"0%")&amp;" of base price)")</f>
        <v>Brunswick (+10% of base price)</v>
      </c>
      <c r="BO6" s="231" t="s">
        <v>262</v>
      </c>
      <c r="BP6" s="223" t="n">
        <v>0.1</v>
      </c>
      <c r="BQ6" s="265" t="n">
        <v>5</v>
      </c>
      <c r="BR6" s="232" t="s">
        <v>165</v>
      </c>
      <c r="BT6" s="231" t="s">
        <v>263</v>
      </c>
      <c r="BU6" s="231" t="n">
        <v>4</v>
      </c>
      <c r="BV6" s="231" t="str">
        <f aca="false">Chest3760[[#This Row],[Logos]]&amp;IF(BZ6="","",IF(Chest3760[[#This Row],[Use]]="Flat"," (+"&amp;TEXT(Chest3760[[#This Row],[Flat]],"$0.00")&amp;")"," (+"&amp;TEXT(Chest3760[[#This Row],[Pct]],"0%")&amp;" of base price)"))</f>
        <v>Mongoose</v>
      </c>
      <c r="BW6" s="253" t="s">
        <v>263</v>
      </c>
      <c r="BX6" s="224"/>
      <c r="BY6" s="233"/>
      <c r="BZ6" s="231"/>
      <c r="CB6" s="231" t="s">
        <v>263</v>
      </c>
      <c r="CC6" s="231" t="n">
        <v>4</v>
      </c>
      <c r="CD6" s="231" t="str">
        <f aca="false">LeftSleeve3962[[#This Row],[Logos]]&amp;IF(LeftSleeve3962[[#This Row],[Use]]="","",IF(LeftSleeve3962[[#This Row],[Use]]="Flat"," (+"&amp;TEXT(LeftSleeve3962[[#This Row],[Flat]],"$0.00")&amp;")"," (+"&amp;TEXT(LeftSleeve3962[[#This Row],[Pct]],"0%")&amp;" of base price)"))</f>
        <v>Mongoose</v>
      </c>
      <c r="CE6" s="253" t="s">
        <v>263</v>
      </c>
      <c r="CF6" s="224"/>
      <c r="CG6" s="233"/>
      <c r="CH6" s="231"/>
      <c r="CI6" s="231"/>
      <c r="CJ6" s="231" t="s">
        <v>264</v>
      </c>
      <c r="CK6" s="231" t="n">
        <v>3</v>
      </c>
      <c r="CL6" s="231" t="str">
        <f aca="false">RightSleeve4871[[#This Row],[Logos]]</f>
        <v>PWBA</v>
      </c>
      <c r="CM6" s="231" t="s">
        <v>264</v>
      </c>
      <c r="CN6" s="233"/>
      <c r="CO6" s="233"/>
      <c r="CP6" s="231"/>
      <c r="CQ6" s="231"/>
      <c r="CY6" s="231" t="s">
        <v>85</v>
      </c>
      <c r="CZ6" s="231" t="s">
        <v>265</v>
      </c>
      <c r="DR6" s="75" t="n">
        <v>4</v>
      </c>
      <c r="DS6" s="231" t="s">
        <v>266</v>
      </c>
      <c r="DU6" s="75" t="n">
        <v>10</v>
      </c>
      <c r="DV6" s="231" t="s">
        <v>267</v>
      </c>
      <c r="DX6" s="264" t="n">
        <v>45658</v>
      </c>
      <c r="DY6" s="231" t="s">
        <v>268</v>
      </c>
      <c r="EB6" s="256" t="n">
        <f aca="true">INT(NOW()+1)</f>
        <v>46107</v>
      </c>
      <c r="EC6" s="257" t="n">
        <f aca="false">(7-WEEKDAY(IHD_Calc4770[[#This Row],[Order Date]],15))</f>
        <v>0</v>
      </c>
      <c r="ED6" s="256" t="n">
        <f aca="false">IHD_Calc4770[[#This Row],[Order Date]]+(7-WEEKDAY(IHD_Calc4770[[#This Row],[Order Date]],15))+IF(IHD_Calc4770[[#This Row],[Days]]&lt;3,7,0)</f>
        <v>46114</v>
      </c>
      <c r="EE6" s="256" t="n">
        <f aca="false">IHD_Calc4770[[#This Row],[Approval Date]]-5</f>
        <v>46109</v>
      </c>
      <c r="EF6" s="258" t="s">
        <v>232</v>
      </c>
      <c r="EG6" s="256" t="n">
        <f aca="false">IFERROR(IHD_Calc4770[[#This Row],[Approval Date]]+VLOOKUP(IHD_Calc4770[[#This Row],[Production Priority]],PriorityProduction4265[],4),"")</f>
        <v>46116</v>
      </c>
      <c r="EH6" s="256" t="n">
        <f aca="false">IFERROR(IHD_Calc4770[[#This Row],[In Transit]]+3,"")</f>
        <v>46119</v>
      </c>
      <c r="EI6" s="228" t="n">
        <f aca="false">IFERROR(IHD_Calc4770[[#This Row],[Est Ship Date]]+_xlfn.xlookup(IHD_Calc4770[[#This Row],[Shipping]],ShipDays4467[Shipping Service],ShipDays4467[Ship Days]),0)</f>
        <v>0</v>
      </c>
      <c r="EJ6" s="259" t="s">
        <v>255</v>
      </c>
      <c r="EK6" s="259" t="s">
        <v>236</v>
      </c>
      <c r="EL6" s="260" t="str">
        <f aca="false">"To meet your in hand date it may require "&amp;IHD_Calc4770[[#This Row],[Production]]&amp;" production and UPS "&amp;UPPER(IHD_Calc4770[[#This Row],[Shipping]])&amp;" delivery service."</f>
        <v>To meet your in hand date it may require PRIORITY production and UPS 3-DAY SELECT delivery service.</v>
      </c>
      <c r="EM6" s="256"/>
      <c r="EN6" s="231" t="s">
        <v>269</v>
      </c>
      <c r="EO6" s="75" t="n">
        <v>0.4</v>
      </c>
      <c r="EQ6" s="75" t="s">
        <v>3</v>
      </c>
      <c r="ER6" s="75" t="s">
        <v>3</v>
      </c>
      <c r="ES6" s="75" t="s">
        <v>3</v>
      </c>
      <c r="ET6" s="75" t="s">
        <v>3</v>
      </c>
      <c r="EU6" s="75" t="s">
        <v>175</v>
      </c>
      <c r="EV6" s="234"/>
      <c r="EW6" s="234" t="n">
        <v>250</v>
      </c>
      <c r="EX6" s="234" t="n">
        <v>49</v>
      </c>
      <c r="EZ6" s="256"/>
      <c r="FA6" s="1"/>
    </row>
    <row r="7" customFormat="false" ht="14.25" hidden="false" customHeight="false" outlineLevel="0" collapsed="false">
      <c r="A7" s="2" t="n">
        <v>100</v>
      </c>
      <c r="B7" s="223" t="n">
        <v>0.2</v>
      </c>
      <c r="C7" s="224" t="n">
        <f aca="false">$C$3*(1-B7)</f>
        <v>39.2</v>
      </c>
      <c r="V7" s="231" t="s">
        <v>240</v>
      </c>
      <c r="W7" s="231"/>
      <c r="X7" s="231" t="str">
        <f aca="false">Sleeve3255[[#This Row],[Sleeve]]&amp;IF(Sleeve3255[[#This Row],[Price]]="",""," (+"&amp;TEXT(Sleeve3255[[#This Row],[Price]],"$0.00"&amp;")"))</f>
        <v>Long (+$10.00)</v>
      </c>
      <c r="Y7" s="231" t="s">
        <v>241</v>
      </c>
      <c r="Z7" s="224" t="n">
        <v>10</v>
      </c>
      <c r="AA7" s="267" t="s">
        <v>156</v>
      </c>
      <c r="AF7" s="249" t="s">
        <v>270</v>
      </c>
      <c r="AG7" s="249"/>
      <c r="AH7" s="231" t="str">
        <f aca="false">Collar1949[[#This Row],[Collar]]&amp;IF(Collar1949[[#This Row],[Price]]="",""," (+"&amp;TEXT(Collar1949[[#This Row],[Price]],"$0.00"&amp;")"))</f>
        <v>1/4 Zip Blade (+$8.00)</v>
      </c>
      <c r="AI7" s="250" t="s">
        <v>271</v>
      </c>
      <c r="AJ7" s="251" t="n">
        <v>8</v>
      </c>
      <c r="AK7" s="247" t="s">
        <v>80</v>
      </c>
      <c r="AL7" s="252" t="s">
        <v>155</v>
      </c>
      <c r="AM7" s="247" t="str">
        <f aca="false">Collar1949[[#This Row],[Collection]]&amp;Collar1949[[#This Row],[Sleeve]]</f>
        <v>PerformanceShort</v>
      </c>
      <c r="AO7" s="2" t="e">
        <v>#NAME?</v>
      </c>
      <c r="AP7" s="2" t="e">
        <v>#NAME?</v>
      </c>
      <c r="AQ7" s="2" t="e">
        <v>#NAME?</v>
      </c>
      <c r="AR7" s="2" t="e">
        <v>#NAME?</v>
      </c>
      <c r="AS7" s="2" t="e">
        <v>#NAME?</v>
      </c>
      <c r="AU7" s="237" t="s">
        <v>272</v>
      </c>
      <c r="AV7" s="231" t="n">
        <v>5</v>
      </c>
      <c r="AW7" s="231" t="str">
        <f aca="false">Size2851[[#This Row],[Size]]&amp;IF(Size2851[[#This Row],[Price]]="",""," (+"&amp;TEXT(Size2851[[#This Row],[Price]],"$0.00")&amp;")")</f>
        <v>X-Large</v>
      </c>
      <c r="AX7" s="236" t="s">
        <v>116</v>
      </c>
      <c r="AZ7" s="224" t="s">
        <v>76</v>
      </c>
      <c r="BB7" s="224" t="e">
        <v>#NAME?</v>
      </c>
      <c r="BC7" s="224" t="e">
        <v>#NAME?</v>
      </c>
      <c r="BD7" s="224" t="e">
        <v>#NAME?</v>
      </c>
      <c r="BL7" s="231" t="s">
        <v>273</v>
      </c>
      <c r="BM7" s="231" t="n">
        <v>5</v>
      </c>
      <c r="BN7" s="231" t="str">
        <f aca="false">Logos3154[[#This Row],[Logos]]&amp;IF(Logos3154[[#This Row],[Use]]="Flat"," (+"&amp;TEXT(Logos3154[[#This Row],[Flat]],"$0.00")&amp;")"," (+"&amp;TEXT(Logos3154[[#This Row],[Pct]],"0%")&amp;" of base price)")</f>
        <v>Columbia (+10% of base price)</v>
      </c>
      <c r="BO7" s="231" t="s">
        <v>273</v>
      </c>
      <c r="BP7" s="223" t="n">
        <v>0.1</v>
      </c>
      <c r="BQ7" s="265" t="n">
        <v>5</v>
      </c>
      <c r="BR7" s="232" t="s">
        <v>165</v>
      </c>
      <c r="BT7" s="231" t="s">
        <v>274</v>
      </c>
      <c r="BU7" s="231" t="n">
        <v>5</v>
      </c>
      <c r="BV7" s="231" t="str">
        <f aca="false">Chest3760[[#This Row],[Logos]]&amp;IF(BZ7="","",IF(Chest3760[[#This Row],[Use]]="Flat"," (+"&amp;TEXT(Chest3760[[#This Row],[Flat]],"$0.00")&amp;")"," (+"&amp;TEXT(Chest3760[[#This Row],[Pct]],"0%")&amp;" of base price)"))</f>
        <v>Powerhouse (+10% of base price)</v>
      </c>
      <c r="BW7" s="253" t="s">
        <v>274</v>
      </c>
      <c r="BX7" s="223" t="n">
        <v>0.1</v>
      </c>
      <c r="BY7" s="233" t="n">
        <v>5</v>
      </c>
      <c r="BZ7" s="231" t="s">
        <v>165</v>
      </c>
      <c r="CB7" s="231" t="s">
        <v>274</v>
      </c>
      <c r="CC7" s="231" t="n">
        <v>5</v>
      </c>
      <c r="CD7" s="231" t="str">
        <f aca="false">LeftSleeve3962[[#This Row],[Logos]]&amp;IF(LeftSleeve3962[[#This Row],[Use]]="","",IF(LeftSleeve3962[[#This Row],[Use]]="Flat"," (+"&amp;TEXT(LeftSleeve3962[[#This Row],[Flat]],"$0.00")&amp;")"," (+"&amp;TEXT(LeftSleeve3962[[#This Row],[Pct]],"0%")&amp;" of base price)"))</f>
        <v>Powerhouse (+10% of base price)</v>
      </c>
      <c r="CE7" s="253" t="s">
        <v>274</v>
      </c>
      <c r="CF7" s="223" t="n">
        <v>0.1</v>
      </c>
      <c r="CG7" s="233" t="n">
        <v>5</v>
      </c>
      <c r="CH7" s="231" t="s">
        <v>165</v>
      </c>
      <c r="CI7" s="231"/>
      <c r="CJ7" s="231" t="s">
        <v>275</v>
      </c>
      <c r="CK7" s="231"/>
      <c r="CL7" s="231" t="str">
        <f aca="false">RightSleeve4871[[#This Row],[Logos]]</f>
        <v>9-Tap</v>
      </c>
      <c r="CM7" s="231" t="s">
        <v>276</v>
      </c>
      <c r="CN7" s="231"/>
      <c r="CO7" s="231"/>
      <c r="CP7" s="231"/>
      <c r="CQ7" s="231"/>
      <c r="CY7" s="231" t="s">
        <v>277</v>
      </c>
      <c r="CZ7" s="231" t="s">
        <v>278</v>
      </c>
      <c r="DR7" s="75" t="n">
        <v>5</v>
      </c>
      <c r="DS7" s="231" t="s">
        <v>279</v>
      </c>
      <c r="DX7" s="264" t="n">
        <v>45803</v>
      </c>
      <c r="DY7" s="231" t="s">
        <v>280</v>
      </c>
      <c r="DZ7" s="2" t="s">
        <v>281</v>
      </c>
      <c r="EB7" s="256" t="n">
        <f aca="true">INT(NOW()+1)</f>
        <v>46107</v>
      </c>
      <c r="EC7" s="257" t="n">
        <f aca="false">(7-WEEKDAY(IHD_Calc4770[[#This Row],[Order Date]],15))</f>
        <v>0</v>
      </c>
      <c r="ED7" s="256" t="n">
        <f aca="false">IHD_Calc4770[[#This Row],[Order Date]]+(7-WEEKDAY(IHD_Calc4770[[#This Row],[Order Date]],15))+IF(IHD_Calc4770[[#This Row],[Days]]&lt;3,7,0)</f>
        <v>46114</v>
      </c>
      <c r="EE7" s="256" t="n">
        <f aca="false">IHD_Calc4770[[#This Row],[Approval Date]]-5</f>
        <v>46109</v>
      </c>
      <c r="EF7" s="258" t="s">
        <v>210</v>
      </c>
      <c r="EG7" s="256" t="n">
        <f aca="false">IFERROR(IHD_Calc4770[[#This Row],[Approval Date]]+VLOOKUP(IHD_Calc4770[[#This Row],[Production Priority]],PriorityProduction4265[],4),"")</f>
        <v>46123</v>
      </c>
      <c r="EH7" s="256" t="n">
        <f aca="false">IFERROR(IHD_Calc4770[[#This Row],[In Transit]]+3,"")</f>
        <v>46126</v>
      </c>
      <c r="EI7" s="228" t="n">
        <f aca="false">IFERROR(IHD_Calc4770[[#This Row],[Est Ship Date]]+_xlfn.xlookup(IHD_Calc4770[[#This Row],[Shipping]],ShipDays4467[Shipping Service],ShipDays4467[Ship Days]),0)</f>
        <v>0</v>
      </c>
      <c r="EJ7" s="259" t="s">
        <v>212</v>
      </c>
      <c r="EK7" s="259" t="s">
        <v>282</v>
      </c>
      <c r="EL7" s="260" t="str">
        <f aca="false">"To meet your in hand date it may require "&amp;IHD_Calc4770[[#This Row],[Production]]&amp;" production and UPS "&amp;UPPER(IHD_Calc4770[[#This Row],[Shipping]])&amp;" delivery service."</f>
        <v>To meet your in hand date it may require EXPRESS production and UPS OVERNIGHT delivery service.</v>
      </c>
      <c r="EM7" s="256"/>
      <c r="EN7" s="231" t="s">
        <v>283</v>
      </c>
      <c r="EQ7" s="75" t="s">
        <v>175</v>
      </c>
      <c r="ER7" s="75" t="s">
        <v>175</v>
      </c>
      <c r="ES7" s="75" t="s">
        <v>175</v>
      </c>
      <c r="ET7" s="75" t="s">
        <v>3</v>
      </c>
      <c r="EU7" s="75" t="s">
        <v>3</v>
      </c>
      <c r="EV7" s="234"/>
      <c r="EW7" s="234"/>
      <c r="EX7" s="234" t="n">
        <v>39</v>
      </c>
      <c r="EZ7" s="256"/>
      <c r="FA7" s="1"/>
    </row>
    <row r="8" customFormat="false" ht="14.25" hidden="false" customHeight="false" outlineLevel="0" collapsed="false">
      <c r="AF8" s="231" t="s">
        <v>284</v>
      </c>
      <c r="AG8" s="231"/>
      <c r="AH8" s="231" t="str">
        <f aca="false">Collar1949[[#This Row],[Collar]]&amp;IF(Collar1949[[#This Row],[Price]]="",""," (+"&amp;TEXT(Collar1949[[#This Row],[Price]],"$0.00"&amp;")"))</f>
        <v>3 Button Blade (+$8.00)</v>
      </c>
      <c r="AI8" s="236" t="s">
        <v>285</v>
      </c>
      <c r="AJ8" s="262" t="n">
        <v>8</v>
      </c>
      <c r="AK8" s="252" t="s">
        <v>80</v>
      </c>
      <c r="AL8" s="252" t="s">
        <v>155</v>
      </c>
      <c r="AM8" s="252" t="str">
        <f aca="false">Collar1949[[#This Row],[Collection]]&amp;Collar1949[[#This Row],[Sleeve]]</f>
        <v>PerformanceShort</v>
      </c>
      <c r="AO8" s="2" t="e">
        <v>#NAME?</v>
      </c>
      <c r="AQ8" s="2" t="e">
        <v>#NAME?</v>
      </c>
      <c r="AR8" s="2" t="e">
        <v>#NAME?</v>
      </c>
      <c r="AU8" s="237" t="s">
        <v>286</v>
      </c>
      <c r="AV8" s="1" t="n">
        <v>6</v>
      </c>
      <c r="AW8" s="1" t="str">
        <f aca="false">Size2851[[#This Row],[Size]]&amp;IF(Size2851[[#This Row],[Price]]="",""," (+"&amp;TEXT(Size2851[[#This Row],[Price]],"$0.00")&amp;")")</f>
        <v>2X-Large (+$2.00)</v>
      </c>
      <c r="AX8" s="225" t="n">
        <v>2</v>
      </c>
      <c r="AY8" s="224" t="n">
        <v>2</v>
      </c>
      <c r="AZ8" s="224" t="s">
        <v>76</v>
      </c>
      <c r="BB8" s="224" t="e">
        <v>#NAME?</v>
      </c>
      <c r="BC8" s="224" t="e">
        <v>#NAME?</v>
      </c>
      <c r="BL8" s="231" t="s">
        <v>287</v>
      </c>
      <c r="BM8" s="231" t="n">
        <v>6</v>
      </c>
      <c r="BN8" s="231" t="str">
        <f aca="false">Logos3154[[#This Row],[Logos]]&amp;IF(Logos3154[[#This Row],[Use]]="Flat"," (+"&amp;TEXT(Logos3154[[#This Row],[Flat]],"$0.00")&amp;")"," (+"&amp;TEXT(Logos3154[[#This Row],[Pct]],"0%")&amp;" of base price)")</f>
        <v>DV8 (+10% of base price)</v>
      </c>
      <c r="BO8" s="231" t="s">
        <v>287</v>
      </c>
      <c r="BP8" s="223" t="n">
        <v>0.1</v>
      </c>
      <c r="BQ8" s="265" t="n">
        <v>5</v>
      </c>
      <c r="BR8" s="232" t="s">
        <v>165</v>
      </c>
      <c r="BT8" s="231" t="s">
        <v>288</v>
      </c>
      <c r="BU8" s="231" t="n">
        <v>6</v>
      </c>
      <c r="BV8" s="231" t="str">
        <f aca="false">Chest3760[[#This Row],[Logos]]&amp;IF(BZ8="","",IF(Chest3760[[#This Row],[Use]]="Flat"," (+"&amp;TEXT(Chest3760[[#This Row],[Flat]],"$0.00")&amp;")"," (+"&amp;TEXT(Chest3760[[#This Row],[Pct]],"0%")&amp;" of base price)"))</f>
        <v>Real Bowlers Tape</v>
      </c>
      <c r="BW8" s="253" t="s">
        <v>288</v>
      </c>
      <c r="BX8" s="224"/>
      <c r="BY8" s="233"/>
      <c r="BZ8" s="231"/>
      <c r="CB8" s="231" t="s">
        <v>288</v>
      </c>
      <c r="CC8" s="231" t="n">
        <v>6</v>
      </c>
      <c r="CD8" s="231" t="str">
        <f aca="false">LeftSleeve3962[[#This Row],[Logos]]&amp;IF(LeftSleeve3962[[#This Row],[Use]]="","",IF(LeftSleeve3962[[#This Row],[Use]]="Flat"," (+"&amp;TEXT(LeftSleeve3962[[#This Row],[Flat]],"$0.00")&amp;")"," (+"&amp;TEXT(LeftSleeve3962[[#This Row],[Pct]],"0%")&amp;" of base price)"))</f>
        <v>Real Bowlers Tape</v>
      </c>
      <c r="CE8" s="253" t="s">
        <v>288</v>
      </c>
      <c r="CF8" s="224"/>
      <c r="CG8" s="233"/>
      <c r="CH8" s="231"/>
      <c r="CI8" s="231"/>
      <c r="CJ8" s="231" t="s">
        <v>289</v>
      </c>
      <c r="CK8" s="231" t="n">
        <v>4</v>
      </c>
      <c r="CL8" s="231" t="str">
        <f aca="false">RightSleeve4871[[#This Row],[Logos]]</f>
        <v>Bowl4Life</v>
      </c>
      <c r="CM8" s="231" t="s">
        <v>290</v>
      </c>
      <c r="CN8" s="231"/>
      <c r="CO8" s="231"/>
      <c r="CP8" s="231"/>
      <c r="CQ8" s="231"/>
      <c r="CY8" s="231" t="s">
        <v>291</v>
      </c>
      <c r="CZ8" s="231" t="s">
        <v>292</v>
      </c>
      <c r="DR8" s="75" t="n">
        <v>6</v>
      </c>
      <c r="DS8" s="231" t="s">
        <v>293</v>
      </c>
      <c r="DX8" s="264" t="n">
        <v>45842</v>
      </c>
      <c r="DY8" s="231" t="s">
        <v>294</v>
      </c>
      <c r="EB8" s="256" t="n">
        <f aca="true">INT(NOW()+1)</f>
        <v>46107</v>
      </c>
      <c r="EC8" s="257" t="n">
        <f aca="false">(7-WEEKDAY(IHD_Calc4770[[#This Row],[Order Date]],15))</f>
        <v>0</v>
      </c>
      <c r="ED8" s="256" t="n">
        <f aca="false">IHD_Calc4770[[#This Row],[Order Date]]+(7-WEEKDAY(IHD_Calc4770[[#This Row],[Order Date]],15))+IF(IHD_Calc4770[[#This Row],[Days]]&lt;3,7,0)</f>
        <v>46114</v>
      </c>
      <c r="EE8" s="256" t="n">
        <f aca="false">IHD_Calc4770[[#This Row],[Approval Date]]-5</f>
        <v>46109</v>
      </c>
      <c r="EF8" s="258" t="s">
        <v>210</v>
      </c>
      <c r="EG8" s="256" t="n">
        <f aca="false">IFERROR(IHD_Calc4770[[#This Row],[Approval Date]]+VLOOKUP(IHD_Calc4770[[#This Row],[Production Priority]],PriorityProduction4265[],4),"")</f>
        <v>46123</v>
      </c>
      <c r="EH8" s="256" t="n">
        <f aca="false">IFERROR(IHD_Calc4770[[#This Row],[In Transit]]+3,"")</f>
        <v>46126</v>
      </c>
      <c r="EI8" s="228" t="n">
        <f aca="false">IFERROR(IHD_Calc4770[[#This Row],[Est Ship Date]]+_xlfn.xlookup(IHD_Calc4770[[#This Row],[Shipping]],ShipDays4467[Shipping Service],ShipDays4467[Ship Days]),0)</f>
        <v>0</v>
      </c>
      <c r="EJ8" s="259" t="s">
        <v>234</v>
      </c>
      <c r="EK8" s="259" t="s">
        <v>282</v>
      </c>
      <c r="EL8" s="260" t="str">
        <f aca="false">"To meet your in hand date it may require "&amp;IHD_Calc4770[[#This Row],[Production]]&amp;" production and UPS "&amp;UPPER(IHD_Calc4770[[#This Row],[Shipping]])&amp;" delivery service."</f>
        <v>To meet your in hand date it may require EXPRESS production and UPS TWO DAY delivery service.</v>
      </c>
      <c r="EM8" s="256"/>
      <c r="EN8" s="231" t="s">
        <v>295</v>
      </c>
      <c r="EP8" s="75" t="n">
        <v>0.3</v>
      </c>
      <c r="EQ8" s="75" t="s">
        <v>3</v>
      </c>
      <c r="ER8" s="75" t="s">
        <v>3</v>
      </c>
      <c r="ES8" s="75" t="s">
        <v>3</v>
      </c>
      <c r="ET8" s="75" t="s">
        <v>3</v>
      </c>
      <c r="EU8" s="75" t="s">
        <v>3</v>
      </c>
      <c r="EV8" s="234"/>
      <c r="EW8" s="234"/>
      <c r="EX8" s="234" t="n">
        <v>49</v>
      </c>
      <c r="EZ8" s="259"/>
      <c r="FA8" s="1"/>
    </row>
    <row r="9" customFormat="false" ht="14.25" hidden="false" customHeight="false" outlineLevel="0" collapsed="false">
      <c r="AF9" s="249" t="s">
        <v>296</v>
      </c>
      <c r="AG9" s="249"/>
      <c r="AH9" s="231" t="str">
        <f aca="false">Collar1949[[#This Row],[Collar]]&amp;IF(Collar1949[[#This Row],[Price]]="",""," (+"&amp;TEXT(Collar1949[[#This Row],[Price]],"$0.00"&amp;")"))</f>
        <v>1/4 Zip Polo (+$8.00)</v>
      </c>
      <c r="AI9" s="250" t="s">
        <v>297</v>
      </c>
      <c r="AJ9" s="251" t="n">
        <v>8</v>
      </c>
      <c r="AK9" s="247" t="s">
        <v>80</v>
      </c>
      <c r="AL9" s="252" t="s">
        <v>155</v>
      </c>
      <c r="AM9" s="247" t="str">
        <f aca="false">Collar1949[[#This Row],[Collection]]&amp;Collar1949[[#This Row],[Sleeve]]</f>
        <v>PerformanceShort</v>
      </c>
      <c r="AO9" s="2" t="e">
        <v>#NAME?</v>
      </c>
      <c r="AQ9" s="2" t="e">
        <v>#NAME?</v>
      </c>
      <c r="AR9" s="2" t="e">
        <v>#NAME?</v>
      </c>
      <c r="AU9" s="237" t="s">
        <v>298</v>
      </c>
      <c r="AV9" s="231" t="n">
        <v>7</v>
      </c>
      <c r="AW9" s="231" t="str">
        <f aca="false">Size2851[[#This Row],[Size]]&amp;IF(Size2851[[#This Row],[Price]]="",""," (+"&amp;TEXT(Size2851[[#This Row],[Price]],"$0.00")&amp;")")</f>
        <v>3X-Large (+$4.00)</v>
      </c>
      <c r="AX9" s="225" t="n">
        <v>3</v>
      </c>
      <c r="AY9" s="224" t="n">
        <v>4</v>
      </c>
      <c r="AZ9" s="224" t="s">
        <v>76</v>
      </c>
      <c r="BB9" s="224" t="e">
        <v>#NAME?</v>
      </c>
      <c r="BC9" s="224" t="e">
        <v>#NAME?</v>
      </c>
      <c r="BL9" s="231" t="s">
        <v>299</v>
      </c>
      <c r="BM9" s="231" t="n">
        <v>7</v>
      </c>
      <c r="BN9" s="231" t="str">
        <f aca="false">Logos3154[[#This Row],[Logos]]&amp;IF(Logos3154[[#This Row],[Use]]="Flat"," (+"&amp;TEXT(Logos3154[[#This Row],[Flat]],"$0.00")&amp;")"," (+"&amp;TEXT(Logos3154[[#This Row],[Pct]],"0%")&amp;" of base price)")</f>
        <v>Ebonite (+10% of base price)</v>
      </c>
      <c r="BO9" s="231" t="s">
        <v>299</v>
      </c>
      <c r="BP9" s="223" t="n">
        <v>0.1</v>
      </c>
      <c r="BQ9" s="265" t="n">
        <v>5</v>
      </c>
      <c r="BR9" s="232" t="s">
        <v>165</v>
      </c>
      <c r="BT9" s="231" t="s">
        <v>300</v>
      </c>
      <c r="BU9" s="231" t="n">
        <v>7</v>
      </c>
      <c r="BV9" s="231" t="str">
        <f aca="false">Chest3760[[#This Row],[Logos]]&amp;IF(BZ9="","",IF(Chest3760[[#This Row],[Use]]="Flat"," (+"&amp;TEXT(Chest3760[[#This Row],[Flat]],"$0.00")&amp;")"," (+"&amp;TEXT(Chest3760[[#This Row],[Pct]],"0%")&amp;" of base price)"))</f>
        <v>Robbie's (+10% of base price)</v>
      </c>
      <c r="BW9" s="253" t="s">
        <v>301</v>
      </c>
      <c r="BX9" s="223" t="n">
        <v>0.1</v>
      </c>
      <c r="BY9" s="233" t="n">
        <v>5</v>
      </c>
      <c r="BZ9" s="231" t="s">
        <v>165</v>
      </c>
      <c r="CB9" s="231" t="s">
        <v>300</v>
      </c>
      <c r="CC9" s="231" t="n">
        <v>7</v>
      </c>
      <c r="CD9" s="231" t="str">
        <f aca="false">LeftSleeve3962[[#This Row],[Logos]]&amp;IF(LeftSleeve3962[[#This Row],[Use]]="","",IF(LeftSleeve3962[[#This Row],[Use]]="Flat"," (+"&amp;TEXT(LeftSleeve3962[[#This Row],[Flat]],"$0.00")&amp;")"," (+"&amp;TEXT(LeftSleeve3962[[#This Row],[Pct]],"0%")&amp;" of base price)"))</f>
        <v>Robbie's (+10% of base price)</v>
      </c>
      <c r="CE9" s="253" t="s">
        <v>301</v>
      </c>
      <c r="CF9" s="223" t="n">
        <v>0.1</v>
      </c>
      <c r="CG9" s="233" t="n">
        <v>5</v>
      </c>
      <c r="CH9" s="231" t="s">
        <v>165</v>
      </c>
      <c r="CI9" s="231"/>
      <c r="CQ9" s="231"/>
      <c r="DR9" s="75" t="n">
        <v>7</v>
      </c>
      <c r="DS9" s="231" t="s">
        <v>302</v>
      </c>
      <c r="DX9" s="264" t="n">
        <v>45901</v>
      </c>
      <c r="DY9" s="231" t="s">
        <v>303</v>
      </c>
      <c r="DZ9" s="2" t="s">
        <v>304</v>
      </c>
      <c r="EB9" s="256" t="n">
        <f aca="true">INT(NOW()+1)</f>
        <v>46107</v>
      </c>
      <c r="EC9" s="257" t="n">
        <f aca="false">(7-WEEKDAY(IHD_Calc4770[[#This Row],[Order Date]],15))</f>
        <v>0</v>
      </c>
      <c r="ED9" s="256" t="n">
        <f aca="false">IHD_Calc4770[[#This Row],[Order Date]]+(7-WEEKDAY(IHD_Calc4770[[#This Row],[Order Date]],15))+IF(IHD_Calc4770[[#This Row],[Days]]&lt;3,7,0)</f>
        <v>46114</v>
      </c>
      <c r="EE9" s="256" t="n">
        <f aca="false">IHD_Calc4770[[#This Row],[Approval Date]]-5</f>
        <v>46109</v>
      </c>
      <c r="EF9" s="258" t="s">
        <v>210</v>
      </c>
      <c r="EG9" s="256" t="n">
        <f aca="false">IFERROR(IHD_Calc4770[[#This Row],[Approval Date]]+VLOOKUP(IHD_Calc4770[[#This Row],[Production Priority]],PriorityProduction4265[],4),"")</f>
        <v>46123</v>
      </c>
      <c r="EH9" s="256" t="n">
        <f aca="false">IFERROR(IHD_Calc4770[[#This Row],[In Transit]]+3,"")</f>
        <v>46126</v>
      </c>
      <c r="EI9" s="228" t="n">
        <f aca="false">IFERROR(IHD_Calc4770[[#This Row],[Est Ship Date]]+_xlfn.xlookup(IHD_Calc4770[[#This Row],[Shipping]],ShipDays4467[Shipping Service],ShipDays4467[Ship Days]),0)</f>
        <v>0</v>
      </c>
      <c r="EJ9" s="259" t="s">
        <v>255</v>
      </c>
      <c r="EK9" s="259" t="s">
        <v>282</v>
      </c>
      <c r="EL9" s="260" t="str">
        <f aca="false">"To meet your in hand date it may require "&amp;IHD_Calc4770[[#This Row],[Production]]&amp;" production and UPS "&amp;UPPER(IHD_Calc4770[[#This Row],[Shipping]])&amp;" delivery service."</f>
        <v>To meet your in hand date it may require EXPRESS production and UPS 3-DAY SELECT delivery service.</v>
      </c>
      <c r="EM9" s="1"/>
      <c r="EN9" s="231" t="s">
        <v>305</v>
      </c>
      <c r="EO9" s="75" t="n">
        <v>0.2</v>
      </c>
      <c r="EQ9" s="75" t="s">
        <v>175</v>
      </c>
      <c r="ER9" s="75" t="s">
        <v>3</v>
      </c>
      <c r="ES9" s="75" t="s">
        <v>3</v>
      </c>
      <c r="ET9" s="75" t="n">
        <v>10</v>
      </c>
      <c r="EU9" s="75" t="s">
        <v>175</v>
      </c>
      <c r="EV9" s="234"/>
      <c r="EW9" s="234"/>
      <c r="EX9" s="234" t="n">
        <v>49</v>
      </c>
      <c r="EZ9" s="1"/>
      <c r="FA9" s="1"/>
    </row>
    <row r="10" customFormat="false" ht="14.25" hidden="false" customHeight="false" outlineLevel="0" collapsed="false">
      <c r="AF10" s="231" t="s">
        <v>306</v>
      </c>
      <c r="AG10" s="231"/>
      <c r="AH10" s="231" t="str">
        <f aca="false">Collar1949[[#This Row],[Collar]]&amp;IF(Collar1949[[#This Row],[Price]]="",""," (+"&amp;TEXT(Collar1949[[#This Row],[Price]],"$0.00"&amp;")"))</f>
        <v>Mock Turtleneck (+$5.00)</v>
      </c>
      <c r="AI10" s="236" t="s">
        <v>307</v>
      </c>
      <c r="AJ10" s="262" t="n">
        <v>5</v>
      </c>
      <c r="AK10" s="252" t="s">
        <v>80</v>
      </c>
      <c r="AL10" s="252" t="s">
        <v>155</v>
      </c>
      <c r="AM10" s="252" t="str">
        <f aca="false">Collar1949[[#This Row],[Collection]]&amp;Collar1949[[#This Row],[Sleeve]]</f>
        <v>PerformanceShort</v>
      </c>
      <c r="AO10" s="2" t="e">
        <v>#NAME?</v>
      </c>
      <c r="AQ10" s="2" t="e">
        <v>#NAME?</v>
      </c>
      <c r="AR10" s="2" t="e">
        <v>#NAME?</v>
      </c>
      <c r="AU10" s="237" t="s">
        <v>308</v>
      </c>
      <c r="AV10" s="231" t="n">
        <v>8</v>
      </c>
      <c r="AW10" s="231" t="str">
        <f aca="false">Size2851[[#This Row],[Size]]&amp;IF(Size2851[[#This Row],[Price]]="",""," (+"&amp;TEXT(Size2851[[#This Row],[Price]],"$0.00")&amp;")")</f>
        <v>4X-Large (+$6.00)</v>
      </c>
      <c r="AX10" s="225" t="n">
        <v>4</v>
      </c>
      <c r="AY10" s="224" t="n">
        <v>6</v>
      </c>
      <c r="AZ10" s="224" t="s">
        <v>76</v>
      </c>
      <c r="BB10" s="224" t="e">
        <v>#NAME?</v>
      </c>
      <c r="BC10" s="224" t="e">
        <v>#NAME?</v>
      </c>
      <c r="BL10" s="231" t="s">
        <v>309</v>
      </c>
      <c r="BM10" s="231" t="n">
        <v>8</v>
      </c>
      <c r="BN10" s="231" t="str">
        <f aca="false">Logos3154[[#This Row],[Logos]]&amp;IF(Logos3154[[#This Row],[Use]]="Flat"," (+"&amp;TEXT(Logos3154[[#This Row],[Flat]],"$0.00")&amp;")"," (+"&amp;TEXT(Logos3154[[#This Row],[Pct]],"0%")&amp;" of base price)")</f>
        <v>Hammer (+10% of base price)</v>
      </c>
      <c r="BO10" s="231" t="s">
        <v>309</v>
      </c>
      <c r="BP10" s="223" t="n">
        <v>0.1</v>
      </c>
      <c r="BQ10" s="265" t="n">
        <v>5</v>
      </c>
      <c r="BR10" s="232" t="s">
        <v>165</v>
      </c>
      <c r="BT10" s="231" t="s">
        <v>310</v>
      </c>
      <c r="BU10" s="231" t="n">
        <v>8</v>
      </c>
      <c r="BV10" s="231" t="str">
        <f aca="false">Chest3760[[#This Row],[Logos]]&amp;IF(BZ10="","",IF(Chest3760[[#This Row],[Use]]="Flat"," (+"&amp;TEXT(Chest3760[[#This Row],[Flat]],"$0.00")&amp;")"," (+"&amp;TEXT(Chest3760[[#This Row],[Pct]],"0%")&amp;" of base price)"))</f>
        <v>Turbo</v>
      </c>
      <c r="BW10" s="253" t="s">
        <v>310</v>
      </c>
      <c r="BX10" s="224"/>
      <c r="BY10" s="233"/>
      <c r="BZ10" s="231"/>
      <c r="CB10" s="231" t="s">
        <v>310</v>
      </c>
      <c r="CC10" s="231" t="n">
        <v>8</v>
      </c>
      <c r="CD10" s="231" t="str">
        <f aca="false">LeftSleeve3962[[#This Row],[Logos]]&amp;IF(LeftSleeve3962[[#This Row],[Use]]="","",IF(LeftSleeve3962[[#This Row],[Use]]="Flat"," (+"&amp;TEXT(LeftSleeve3962[[#This Row],[Flat]],"$0.00")&amp;")"," (+"&amp;TEXT(LeftSleeve3962[[#This Row],[Pct]],"0%")&amp;" of base price)"))</f>
        <v>Turbo</v>
      </c>
      <c r="CE10" s="253" t="s">
        <v>310</v>
      </c>
      <c r="CF10" s="224"/>
      <c r="CG10" s="233"/>
      <c r="CH10" s="231"/>
      <c r="CI10" s="231"/>
      <c r="CQ10" s="231"/>
      <c r="DX10" s="264" t="n">
        <v>45988</v>
      </c>
      <c r="DY10" s="231" t="s">
        <v>235</v>
      </c>
      <c r="DZ10" s="2" t="s">
        <v>311</v>
      </c>
      <c r="EB10" s="256" t="n">
        <f aca="true">INT(NOW()+1)</f>
        <v>46107</v>
      </c>
      <c r="EC10" s="257" t="n">
        <f aca="false">(7-WEEKDAY(IHD_Calc4770[[#This Row],[Order Date]],15))</f>
        <v>0</v>
      </c>
      <c r="ED10" s="256" t="n">
        <f aca="false">IHD_Calc4770[[#This Row],[Order Date]]+(7-WEEKDAY(IHD_Calc4770[[#This Row],[Order Date]],15))+IF(IHD_Calc4770[[#This Row],[Days]]&lt;3,7,0)</f>
        <v>46114</v>
      </c>
      <c r="EE10" s="256" t="n">
        <f aca="false">IHD_Calc4770[[#This Row],[Approval Date]]-5</f>
        <v>46109</v>
      </c>
      <c r="EF10" s="258" t="s">
        <v>35</v>
      </c>
      <c r="EG10" s="256" t="n">
        <f aca="false">IFERROR(IHD_Calc4770[[#This Row],[Approval Date]]+VLOOKUP(IHD_Calc4770[[#This Row],[Production Priority]],PriorityProduction4265[],4),"")</f>
        <v>46130</v>
      </c>
      <c r="EH10" s="256" t="n">
        <f aca="false">IFERROR(IHD_Calc4770[[#This Row],[In Transit]]+3,"")</f>
        <v>46133</v>
      </c>
      <c r="EI10" s="228" t="n">
        <f aca="false">IFERROR(IHD_Calc4770[[#This Row],[Est Ship Date]]+_xlfn.xlookup(IHD_Calc4770[[#This Row],[Shipping]],ShipDays4467[Shipping Service],ShipDays4467[Ship Days]),0)</f>
        <v>0</v>
      </c>
      <c r="EJ10" s="259" t="s">
        <v>212</v>
      </c>
      <c r="EK10" s="259" t="s">
        <v>312</v>
      </c>
      <c r="EL10" s="260" t="str">
        <f aca="false">"It appears we can meet your in hand date with "&amp;IHD_Calc4770[[#This Row],[Production]]&amp;" production, but may be required UPS "&amp;UPPER(IHD_Calc4770[[#This Row],[Shipping]])&amp;" delivery service."</f>
        <v>It appears we can meet your in hand date with STANDARD production, but may be required UPS OVERNIGHT delivery service.</v>
      </c>
      <c r="EM10" s="1"/>
      <c r="EN10" s="231" t="s">
        <v>313</v>
      </c>
      <c r="EQ10" s="75" t="s">
        <v>175</v>
      </c>
      <c r="ER10" s="75" t="s">
        <v>3</v>
      </c>
      <c r="ES10" s="75" t="s">
        <v>3</v>
      </c>
      <c r="ET10" s="75" t="s">
        <v>3</v>
      </c>
      <c r="EU10" s="75" t="s">
        <v>175</v>
      </c>
      <c r="EV10" s="234"/>
      <c r="EW10" s="234" t="n">
        <v>250</v>
      </c>
      <c r="EX10" s="234" t="n">
        <v>49</v>
      </c>
      <c r="EZ10" s="1"/>
      <c r="FA10" s="1"/>
    </row>
    <row r="11" customFormat="false" ht="14.25" hidden="false" customHeight="false" outlineLevel="0" collapsed="false">
      <c r="AF11" s="249" t="s">
        <v>314</v>
      </c>
      <c r="AG11" s="249"/>
      <c r="AH11" s="231" t="str">
        <f aca="false">Collar1949[[#This Row],[Collar]]&amp;IF(Collar1949[[#This Row],[Price]]="",""," (+"&amp;TEXT(Collar1949[[#This Row],[Price]],"$0.00"&amp;")"))</f>
        <v>BowlRetro (+$20.00)</v>
      </c>
      <c r="AI11" s="250" t="s">
        <v>315</v>
      </c>
      <c r="AJ11" s="251" t="n">
        <v>20</v>
      </c>
      <c r="AK11" s="247" t="s">
        <v>80</v>
      </c>
      <c r="AL11" s="252" t="s">
        <v>155</v>
      </c>
      <c r="AM11" s="247" t="str">
        <f aca="false">Collar1949[[#This Row],[Collection]]&amp;Collar1949[[#This Row],[Sleeve]]</f>
        <v>PerformanceShort</v>
      </c>
      <c r="AO11" s="2" t="e">
        <v>#NAME?</v>
      </c>
      <c r="AU11" s="237" t="s">
        <v>316</v>
      </c>
      <c r="AV11" s="231" t="n">
        <v>9</v>
      </c>
      <c r="AW11" s="231" t="str">
        <f aca="false">Size2851[[#This Row],[Size]]&amp;IF(Size2851[[#This Row],[Price]]="",""," (+"&amp;TEXT(Size2851[[#This Row],[Price]],"$0.00")&amp;")")</f>
        <v>5X-Large (+$9.00)</v>
      </c>
      <c r="AX11" s="225" t="n">
        <v>5</v>
      </c>
      <c r="AY11" s="224" t="n">
        <v>9</v>
      </c>
      <c r="AZ11" s="224" t="s">
        <v>76</v>
      </c>
      <c r="BB11" s="224" t="e">
        <v>#NAME?</v>
      </c>
      <c r="BC11" s="224" t="e">
        <v>#NAME?</v>
      </c>
      <c r="BL11" s="231" t="s">
        <v>317</v>
      </c>
      <c r="BM11" s="231" t="n">
        <v>9</v>
      </c>
      <c r="BN11" s="231" t="str">
        <f aca="false">Logos3154[[#This Row],[Logos]]&amp;IF(Logos3154[[#This Row],[Use]]="Flat"," (+"&amp;TEXT(Logos3154[[#This Row],[Flat]],"$0.00")&amp;")"," (+"&amp;TEXT(Logos3154[[#This Row],[Pct]],"0%")&amp;" of base price)")</f>
        <v>Lane Masters (+10% of base price)</v>
      </c>
      <c r="BO11" s="231" t="s">
        <v>318</v>
      </c>
      <c r="BP11" s="223" t="n">
        <v>0.1</v>
      </c>
      <c r="BQ11" s="265" t="n">
        <v>5</v>
      </c>
      <c r="BR11" s="232" t="s">
        <v>165</v>
      </c>
      <c r="BT11" s="231" t="s">
        <v>319</v>
      </c>
      <c r="BU11" s="231" t="n">
        <v>9</v>
      </c>
      <c r="BV11" s="231" t="str">
        <f aca="false">Chest3760[[#This Row],[Logos]]&amp;IF(BZ11="","",IF(Chest3760[[#This Row],[Use]]="Flat"," (+"&amp;TEXT(Chest3760[[#This Row],[Flat]],"$0.00")&amp;")"," (+"&amp;TEXT(Chest3760[[#This Row],[Pct]],"0%")&amp;" of base price)"))</f>
        <v>Ultimate (+10% of base price)</v>
      </c>
      <c r="BW11" s="253" t="s">
        <v>319</v>
      </c>
      <c r="BX11" s="223" t="n">
        <v>0.1</v>
      </c>
      <c r="BY11" s="233" t="n">
        <v>5</v>
      </c>
      <c r="BZ11" s="231" t="s">
        <v>165</v>
      </c>
      <c r="CB11" s="231" t="s">
        <v>319</v>
      </c>
      <c r="CC11" s="231" t="n">
        <v>9</v>
      </c>
      <c r="CD11" s="231" t="str">
        <f aca="false">LeftSleeve3962[[#This Row],[Logos]]&amp;IF(LeftSleeve3962[[#This Row],[Use]]="","",IF(LeftSleeve3962[[#This Row],[Use]]="Flat"," (+"&amp;TEXT(LeftSleeve3962[[#This Row],[Flat]],"$0.00")&amp;")"," (+"&amp;TEXT(LeftSleeve3962[[#This Row],[Pct]],"0%")&amp;" of base price)"))</f>
        <v>Ultimate (+10% of base price)</v>
      </c>
      <c r="CE11" s="253" t="s">
        <v>319</v>
      </c>
      <c r="CF11" s="223" t="n">
        <v>0.1</v>
      </c>
      <c r="CG11" s="233" t="n">
        <v>5</v>
      </c>
      <c r="CH11" s="231" t="s">
        <v>165</v>
      </c>
      <c r="CI11" s="231"/>
      <c r="CQ11" s="231"/>
      <c r="DX11" s="264" t="n">
        <v>46016</v>
      </c>
      <c r="DY11" s="231" t="s">
        <v>256</v>
      </c>
      <c r="EB11" s="256" t="n">
        <f aca="true">INT(NOW()+1)</f>
        <v>46107</v>
      </c>
      <c r="EC11" s="257" t="n">
        <f aca="false">(7-WEEKDAY(IHD_Calc4770[[#This Row],[Order Date]],15))</f>
        <v>0</v>
      </c>
      <c r="ED11" s="256" t="n">
        <f aca="false">IHD_Calc4770[[#This Row],[Order Date]]+(7-WEEKDAY(IHD_Calc4770[[#This Row],[Order Date]],15))+IF(IHD_Calc4770[[#This Row],[Days]]&lt;3,7,0)</f>
        <v>46114</v>
      </c>
      <c r="EE11" s="256" t="n">
        <f aca="false">IHD_Calc4770[[#This Row],[Approval Date]]-5</f>
        <v>46109</v>
      </c>
      <c r="EF11" s="258" t="s">
        <v>35</v>
      </c>
      <c r="EG11" s="256" t="n">
        <f aca="false">IFERROR(IHD_Calc4770[[#This Row],[Approval Date]]+VLOOKUP(IHD_Calc4770[[#This Row],[Production Priority]],PriorityProduction4265[],4),"")</f>
        <v>46130</v>
      </c>
      <c r="EH11" s="256" t="n">
        <f aca="false">IFERROR(IHD_Calc4770[[#This Row],[In Transit]]+3,"")</f>
        <v>46133</v>
      </c>
      <c r="EI11" s="228" t="n">
        <f aca="false">IFERROR(IHD_Calc4770[[#This Row],[Est Ship Date]]+_xlfn.xlookup(IHD_Calc4770[[#This Row],[Shipping]],ShipDays4467[Shipping Service],ShipDays4467[Ship Days]),0)</f>
        <v>0</v>
      </c>
      <c r="EJ11" s="259" t="s">
        <v>234</v>
      </c>
      <c r="EK11" s="259" t="s">
        <v>312</v>
      </c>
      <c r="EL11" s="260" t="str">
        <f aca="false">"It appears we can meet your in hand date with "&amp;IHD_Calc4770[[#This Row],[Production]]&amp;" production, but may be required UPS "&amp;UPPER(IHD_Calc4770[[#This Row],[Shipping]])&amp;" delivery service."</f>
        <v>It appears we can meet your in hand date with STANDARD production, but may be required UPS TWO DAY delivery service.</v>
      </c>
      <c r="EM11" s="1"/>
      <c r="EN11" s="231" t="s">
        <v>320</v>
      </c>
      <c r="EP11" s="75" t="n">
        <v>0.4</v>
      </c>
      <c r="EQ11" s="75" t="s">
        <v>3</v>
      </c>
      <c r="ER11" s="75" t="s">
        <v>3</v>
      </c>
      <c r="ES11" s="75" t="s">
        <v>3</v>
      </c>
      <c r="ET11" s="75" t="s">
        <v>3</v>
      </c>
      <c r="EU11" s="75" t="s">
        <v>3</v>
      </c>
      <c r="EV11" s="234"/>
      <c r="EW11" s="234"/>
      <c r="EX11" s="234" t="n">
        <v>49</v>
      </c>
      <c r="EZ11" s="1"/>
      <c r="FA11" s="1"/>
    </row>
    <row r="12" customFormat="false" ht="14.25" hidden="false" customHeight="false" outlineLevel="0" collapsed="false">
      <c r="AF12" s="231" t="s">
        <v>321</v>
      </c>
      <c r="AG12" s="231"/>
      <c r="AH12" s="231" t="str">
        <f aca="false">Collar1949[[#This Row],[Collar]]&amp;IF(Collar1949[[#This Row],[Price]]="",""," (+"&amp;TEXT(Collar1949[[#This Row],[Price]],"$0.00"&amp;")"))</f>
        <v>Lightweight Hoodie (+$15.00)</v>
      </c>
      <c r="AI12" s="236" t="s">
        <v>322</v>
      </c>
      <c r="AJ12" s="262" t="n">
        <v>15</v>
      </c>
      <c r="AK12" s="252" t="s">
        <v>80</v>
      </c>
      <c r="AL12" s="252" t="s">
        <v>155</v>
      </c>
      <c r="AM12" s="252" t="str">
        <f aca="false">Collar1949[[#This Row],[Collection]]&amp;Collar1949[[#This Row],[Sleeve]]</f>
        <v>PerformanceShort</v>
      </c>
      <c r="AO12" s="2" t="e">
        <v>#NAME?</v>
      </c>
      <c r="AU12" s="237" t="s">
        <v>323</v>
      </c>
      <c r="AV12" s="231" t="n">
        <v>10</v>
      </c>
      <c r="AW12" s="231" t="str">
        <f aca="false">Size2851[[#This Row],[Size]]&amp;IF(Size2851[[#This Row],[Price]]="",""," (+"&amp;TEXT(Size2851[[#This Row],[Price]],"$0.00")&amp;")")</f>
        <v>6X-Large (+$12.00)</v>
      </c>
      <c r="AX12" s="225" t="n">
        <v>6</v>
      </c>
      <c r="AY12" s="224" t="n">
        <v>12</v>
      </c>
      <c r="AZ12" s="224" t="s">
        <v>76</v>
      </c>
      <c r="BB12" s="224" t="e">
        <v>#NAME?</v>
      </c>
      <c r="BC12" s="224" t="e">
        <v>#NAME?</v>
      </c>
      <c r="BL12" s="231" t="s">
        <v>324</v>
      </c>
      <c r="BM12" s="231" t="n">
        <v>10</v>
      </c>
      <c r="BN12" s="231" t="str">
        <f aca="false">Logos3154[[#This Row],[Logos]]&amp;IF(Logos3154[[#This Row],[Use]]="Flat"," (+"&amp;TEXT(Logos3154[[#This Row],[Flat]],"$0.00")&amp;")"," (+"&amp;TEXT(Logos3154[[#This Row],[Pct]],"0%")&amp;" of base price)")</f>
        <v>Legends (+10% of base price)</v>
      </c>
      <c r="BO12" s="231" t="s">
        <v>324</v>
      </c>
      <c r="BP12" s="223" t="n">
        <v>0.1</v>
      </c>
      <c r="BQ12" s="265" t="n">
        <v>5</v>
      </c>
      <c r="BR12" s="232" t="s">
        <v>165</v>
      </c>
      <c r="BT12" s="231" t="s">
        <v>325</v>
      </c>
      <c r="BU12" s="231" t="n">
        <v>10</v>
      </c>
      <c r="BV12" s="231" t="str">
        <f aca="false">Chest3760[[#This Row],[Logos]]&amp;IF(BZ12="","",IF(Chest3760[[#This Row],[Use]]="Flat"," (+"&amp;TEXT(Chest3760[[#This Row],[Flat]],"$0.00")&amp;")"," (+"&amp;TEXT(Chest3760[[#This Row],[Pct]],"0%")&amp;" of base price)"))</f>
        <v>VISE</v>
      </c>
      <c r="BW12" s="231" t="s">
        <v>325</v>
      </c>
      <c r="BX12" s="224"/>
      <c r="BY12" s="233"/>
      <c r="BZ12" s="231"/>
      <c r="CB12" s="231" t="s">
        <v>325</v>
      </c>
      <c r="CC12" s="231" t="n">
        <v>10</v>
      </c>
      <c r="CD12" s="231" t="str">
        <f aca="false">LeftSleeve3962[[#This Row],[Logos]]&amp;IF(LeftSleeve3962[[#This Row],[Use]]="","",IF(LeftSleeve3962[[#This Row],[Use]]="Flat"," (+"&amp;TEXT(LeftSleeve3962[[#This Row],[Flat]],"$0.00")&amp;")"," (+"&amp;TEXT(LeftSleeve3962[[#This Row],[Pct]],"0%")&amp;" of base price)"))</f>
        <v>VISE</v>
      </c>
      <c r="CE12" s="231" t="s">
        <v>325</v>
      </c>
      <c r="CF12" s="224"/>
      <c r="CG12" s="233"/>
      <c r="CH12" s="231"/>
      <c r="CI12" s="231"/>
      <c r="CQ12" s="231"/>
      <c r="EB12" s="256" t="n">
        <f aca="true">INT(NOW()+1)</f>
        <v>46107</v>
      </c>
      <c r="EC12" s="257" t="n">
        <f aca="false">(7-WEEKDAY(IHD_Calc4770[[#This Row],[Order Date]],15))</f>
        <v>0</v>
      </c>
      <c r="ED12" s="256" t="n">
        <f aca="false">IHD_Calc4770[[#This Row],[Order Date]]+(7-WEEKDAY(IHD_Calc4770[[#This Row],[Order Date]],15))+IF(IHD_Calc4770[[#This Row],[Days]]&lt;3,7,0)</f>
        <v>46114</v>
      </c>
      <c r="EE12" s="256" t="n">
        <f aca="false">IHD_Calc4770[[#This Row],[Approval Date]]-5</f>
        <v>46109</v>
      </c>
      <c r="EF12" s="258" t="s">
        <v>35</v>
      </c>
      <c r="EG12" s="256" t="n">
        <f aca="false">IFERROR(IHD_Calc4770[[#This Row],[Approval Date]]+VLOOKUP(IHD_Calc4770[[#This Row],[Production Priority]],PriorityProduction4265[],4),"")</f>
        <v>46130</v>
      </c>
      <c r="EH12" s="256" t="n">
        <f aca="false">IFERROR(IHD_Calc4770[[#This Row],[In Transit]]+3,"")</f>
        <v>46133</v>
      </c>
      <c r="EI12" s="228" t="n">
        <f aca="false">IFERROR(IHD_Calc4770[[#This Row],[Est Ship Date]]+_xlfn.xlookup(IHD_Calc4770[[#This Row],[Shipping]],ShipDays4467[Shipping Service],ShipDays4467[Ship Days]),0)</f>
        <v>0</v>
      </c>
      <c r="EJ12" s="259" t="s">
        <v>255</v>
      </c>
      <c r="EK12" s="259" t="s">
        <v>312</v>
      </c>
      <c r="EL12" s="260" t="str">
        <f aca="false">"It appears we can meet your in hand date with "&amp;IHD_Calc4770[[#This Row],[Production]]&amp;" production, but may be required UPS "&amp;UPPER(IHD_Calc4770[[#This Row],[Shipping]])&amp;" delivery service."</f>
        <v>It appears we can meet your in hand date with STANDARD production, but may be required UPS 3-DAY SELECT delivery service.</v>
      </c>
      <c r="EM12" s="1"/>
      <c r="EN12" s="231" t="s">
        <v>326</v>
      </c>
      <c r="EO12" s="75" t="n">
        <v>0.5</v>
      </c>
      <c r="EQ12" s="75" t="s">
        <v>3</v>
      </c>
      <c r="ER12" s="75" t="s">
        <v>3</v>
      </c>
      <c r="ES12" s="75" t="s">
        <v>3</v>
      </c>
      <c r="ET12" s="75" t="s">
        <v>3</v>
      </c>
      <c r="EU12" s="75" t="s">
        <v>175</v>
      </c>
      <c r="EV12" s="234"/>
      <c r="EW12" s="234" t="n">
        <v>250</v>
      </c>
      <c r="EX12" s="234" t="n">
        <v>49</v>
      </c>
      <c r="EZ12" s="1"/>
      <c r="FA12" s="1"/>
    </row>
    <row r="13" customFormat="false" ht="14.25" hidden="false" customHeight="false" outlineLevel="0" collapsed="false">
      <c r="AF13" s="249" t="s">
        <v>198</v>
      </c>
      <c r="AG13" s="249"/>
      <c r="AH13" s="231" t="str">
        <f aca="false">Collar1949[[#This Row],[Collar]]&amp;IF(Collar1949[[#This Row],[Price]]="",""," (+"&amp;TEXT(Collar1949[[#This Row],[Price]],"$0.00"&amp;")"))</f>
        <v>1/4 Zip Sash (+$8.00)</v>
      </c>
      <c r="AI13" s="250" t="s">
        <v>327</v>
      </c>
      <c r="AJ13" s="251" t="n">
        <v>8</v>
      </c>
      <c r="AK13" s="247" t="s">
        <v>240</v>
      </c>
      <c r="AL13" s="252" t="s">
        <v>155</v>
      </c>
      <c r="AM13" s="247" t="str">
        <f aca="false">Collar1949[[#This Row],[Collection]]&amp;Collar1949[[#This Row],[Sleeve]]</f>
        <v>PerformanceLong</v>
      </c>
      <c r="AU13" s="237" t="s">
        <v>328</v>
      </c>
      <c r="AV13" s="231" t="n">
        <v>11</v>
      </c>
      <c r="AW13" s="231" t="str">
        <f aca="false">Size2851[[#This Row],[Size]]&amp;IF(Size2851[[#This Row],[Price]]="",""," (+"&amp;TEXT(Size2851[[#This Row],[Price]],"$0.00")&amp;")")</f>
        <v>7X-Large (+$12.00)</v>
      </c>
      <c r="AX13" s="225" t="n">
        <v>7</v>
      </c>
      <c r="AY13" s="224" t="n">
        <v>12</v>
      </c>
      <c r="AZ13" s="224" t="s">
        <v>76</v>
      </c>
      <c r="BB13" s="224" t="e">
        <v>#NAME?</v>
      </c>
      <c r="BC13" s="224" t="e">
        <v>#NAME?</v>
      </c>
      <c r="BL13" s="231" t="s">
        <v>329</v>
      </c>
      <c r="BM13" s="231" t="n">
        <v>11</v>
      </c>
      <c r="BN13" s="231" t="str">
        <f aca="false">Logos3154[[#This Row],[Logos]]&amp;IF(Logos3154[[#This Row],[Use]]="Flat"," (+"&amp;TEXT(Logos3154[[#This Row],[Flat]],"$0.00")&amp;")"," (+"&amp;TEXT(Logos3154[[#This Row],[Pct]],"0%")&amp;" of base price)")</f>
        <v>Lord Field (+10% of base price)</v>
      </c>
      <c r="BO13" s="231" t="s">
        <v>330</v>
      </c>
      <c r="BP13" s="223" t="n">
        <v>0.1</v>
      </c>
      <c r="BQ13" s="265" t="n">
        <v>5</v>
      </c>
      <c r="BR13" s="232" t="s">
        <v>165</v>
      </c>
      <c r="CB13" s="231" t="s">
        <v>331</v>
      </c>
      <c r="CC13" s="231" t="n">
        <v>11</v>
      </c>
      <c r="CD13" s="231" t="str">
        <f aca="false">LeftSleeve3962[[#This Row],[Logos]]&amp;IF(LeftSleeve3962[[#This Row],[Use]]="","",IF(LeftSleeve3962[[#This Row],[Use]]="Flat"," (+"&amp;TEXT(LeftSleeve3962[[#This Row],[Flat]],"$0.00")&amp;")"," (+"&amp;TEXT(LeftSleeve3962[[#This Row],[Pct]],"0%")&amp;" of base price)"))</f>
        <v>US Flag (+$5.00)</v>
      </c>
      <c r="CE13" s="231" t="s">
        <v>332</v>
      </c>
      <c r="CF13" s="224"/>
      <c r="CG13" s="233" t="n">
        <v>5</v>
      </c>
      <c r="CH13" s="231" t="s">
        <v>166</v>
      </c>
      <c r="CI13" s="231"/>
      <c r="CQ13" s="231"/>
      <c r="EB13" s="256" t="n">
        <f aca="true">INT(NOW()+1)</f>
        <v>46107</v>
      </c>
      <c r="EC13" s="257" t="n">
        <f aca="false">(7-WEEKDAY(IHD_Calc4770[[#This Row],[Order Date]],15))</f>
        <v>0</v>
      </c>
      <c r="ED13" s="256" t="n">
        <f aca="false">IHD_Calc4770[[#This Row],[Order Date]]+(7-WEEKDAY(IHD_Calc4770[[#This Row],[Order Date]],15))+IF(IHD_Calc4770[[#This Row],[Days]]&lt;3,7,0)</f>
        <v>46114</v>
      </c>
      <c r="EE13" s="256" t="n">
        <f aca="false">IHD_Calc4770[[#This Row],[Approval Date]]-5</f>
        <v>46109</v>
      </c>
      <c r="EF13" s="258" t="s">
        <v>35</v>
      </c>
      <c r="EG13" s="256" t="n">
        <f aca="false">IFERROR(IHD_Calc4770[[#This Row],[Approval Date]]+VLOOKUP(IHD_Calc4770[[#This Row],[Production Priority]],PriorityProduction4265[],4),"")</f>
        <v>46130</v>
      </c>
      <c r="EH13" s="256" t="n">
        <f aca="false">IFERROR(IHD_Calc4770[[#This Row],[In Transit]]+3,"")</f>
        <v>46133</v>
      </c>
      <c r="EI13" s="228" t="n">
        <f aca="false">IFERROR(IHD_Calc4770[[#This Row],[Est Ship Date]]+_xlfn.xlookup(IHD_Calc4770[[#This Row],[Shipping]],ShipDays4467[Shipping Service],ShipDays4467[Ship Days]),0)</f>
        <v>0</v>
      </c>
      <c r="EJ13" s="259" t="s">
        <v>267</v>
      </c>
      <c r="EK13" s="259" t="s">
        <v>312</v>
      </c>
      <c r="EL13" s="260" t="str">
        <f aca="false">"It appears we can meet your in hand date with "&amp;IHD_Calc4770[[#This Row],[Production]]&amp;" production and UPS "&amp;UPPER(IHD_Calc4770[[#This Row],[Shipping]])&amp;" delivery service."</f>
        <v>It appears we can meet your in hand date with STANDARD production and UPS GROUND delivery service.</v>
      </c>
      <c r="EN13" s="231" t="s">
        <v>333</v>
      </c>
      <c r="EP13" s="75" t="n">
        <v>0.2</v>
      </c>
      <c r="EQ13" s="75" t="s">
        <v>3</v>
      </c>
      <c r="ER13" s="75" t="s">
        <v>3</v>
      </c>
      <c r="ES13" s="75" t="s">
        <v>3</v>
      </c>
      <c r="ET13" s="75" t="s">
        <v>3</v>
      </c>
      <c r="EU13" s="75" t="s">
        <v>3</v>
      </c>
      <c r="EV13" s="234"/>
      <c r="EW13" s="234"/>
      <c r="EX13" s="234" t="n">
        <v>49</v>
      </c>
    </row>
    <row r="14" customFormat="false" ht="14.25" hidden="false" customHeight="false" outlineLevel="0" collapsed="false">
      <c r="AF14" s="231" t="s">
        <v>221</v>
      </c>
      <c r="AG14" s="231"/>
      <c r="AH14" s="231" t="str">
        <f aca="false">Collar1949[[#This Row],[Collar]]&amp;IF(Collar1949[[#This Row],[Price]]="",""," (+"&amp;TEXT(Collar1949[[#This Row],[Price]],"$0.00"&amp;")"))</f>
        <v>Polo (+$8.00)</v>
      </c>
      <c r="AI14" s="236" t="s">
        <v>334</v>
      </c>
      <c r="AJ14" s="262" t="n">
        <v>8</v>
      </c>
      <c r="AK14" s="252" t="s">
        <v>240</v>
      </c>
      <c r="AL14" s="252" t="s">
        <v>155</v>
      </c>
      <c r="AM14" s="252" t="str">
        <f aca="false">Collar1949[[#This Row],[Collection]]&amp;Collar1949[[#This Row],[Sleeve]]</f>
        <v>PerformanceLong</v>
      </c>
      <c r="AU14" s="237" t="s">
        <v>200</v>
      </c>
      <c r="AV14" s="231" t="n">
        <v>12</v>
      </c>
      <c r="AW14" s="231" t="str">
        <f aca="false">Size2851[[#This Row],[Size]]&amp;IF(Size2851[[#This Row],[Price]]="",""," (+"&amp;TEXT(Size2851[[#This Row],[Price]],"$0.00")&amp;")")</f>
        <v>X-Small</v>
      </c>
      <c r="AX14" s="236" t="s">
        <v>201</v>
      </c>
      <c r="AZ14" s="224" t="s">
        <v>163</v>
      </c>
      <c r="BL14" s="231" t="s">
        <v>248</v>
      </c>
      <c r="BM14" s="231" t="n">
        <v>12</v>
      </c>
      <c r="BN14" s="231" t="str">
        <f aca="false">Logos3154[[#This Row],[Logos]]&amp;IF(Logos3154[[#This Row],[Use]]="Flat"," (+"&amp;TEXT(Logos3154[[#This Row],[Flat]],"$0.00")&amp;")"," (+"&amp;TEXT(Logos3154[[#This Row],[Pct]],"0%")&amp;" of base price)")</f>
        <v>Master (+10% of base price)</v>
      </c>
      <c r="BO14" s="231" t="s">
        <v>248</v>
      </c>
      <c r="BP14" s="223" t="n">
        <v>0.1</v>
      </c>
      <c r="BQ14" s="265" t="n">
        <v>5</v>
      </c>
      <c r="BR14" s="232" t="s">
        <v>165</v>
      </c>
      <c r="CB14" s="231" t="s">
        <v>335</v>
      </c>
      <c r="CC14" s="231" t="n">
        <v>12</v>
      </c>
      <c r="CD14" s="231" t="str">
        <f aca="false">LeftSleeve3962[[#This Row],[Logos]]&amp;IF(LeftSleeve3962[[#This Row],[Use]]="","",IF(LeftSleeve3962[[#This Row],[Use]]="Flat"," (+"&amp;TEXT(LeftSleeve3962[[#This Row],[Flat]],"$0.00")&amp;")"," (+"&amp;TEXT(LeftSleeve3962[[#This Row],[Pct]],"0%")&amp;" of base price)"))</f>
        <v>Canada Flag (+$5.00)</v>
      </c>
      <c r="CE14" s="231" t="s">
        <v>336</v>
      </c>
      <c r="CF14" s="224"/>
      <c r="CG14" s="233" t="n">
        <v>5</v>
      </c>
      <c r="CH14" s="231" t="s">
        <v>166</v>
      </c>
      <c r="CI14" s="231"/>
      <c r="CQ14" s="231"/>
      <c r="EB14" s="1"/>
      <c r="ED14" s="1"/>
      <c r="EE14" s="1"/>
      <c r="EF14" s="1"/>
      <c r="EG14" s="228"/>
      <c r="EH14" s="1"/>
      <c r="EJ14" s="1"/>
      <c r="EK14" s="1"/>
      <c r="EL14" s="260"/>
      <c r="EN14" s="231" t="s">
        <v>337</v>
      </c>
      <c r="EO14" s="75" t="n">
        <v>0.3</v>
      </c>
      <c r="EQ14" s="75" t="s">
        <v>175</v>
      </c>
      <c r="ER14" s="75" t="s">
        <v>3</v>
      </c>
      <c r="ES14" s="75" t="s">
        <v>3</v>
      </c>
      <c r="ET14" s="75" t="s">
        <v>3</v>
      </c>
      <c r="EU14" s="75" t="s">
        <v>3</v>
      </c>
      <c r="EV14" s="234"/>
      <c r="EW14" s="234"/>
      <c r="EX14" s="234" t="n">
        <v>49</v>
      </c>
    </row>
    <row r="15" customFormat="false" ht="14.25" hidden="false" customHeight="false" outlineLevel="0" collapsed="false">
      <c r="AF15" s="249" t="s">
        <v>242</v>
      </c>
      <c r="AG15" s="249"/>
      <c r="AH15" s="231" t="str">
        <f aca="false">Collar1949[[#This Row],[Collar]]&amp;IF(Collar1949[[#This Row],[Price]]="",""," (+"&amp;TEXT(Collar1949[[#This Row],[Price]],"$0.00"&amp;")"))</f>
        <v>V-Neck</v>
      </c>
      <c r="AI15" s="250" t="s">
        <v>338</v>
      </c>
      <c r="AJ15" s="251"/>
      <c r="AK15" s="247" t="s">
        <v>240</v>
      </c>
      <c r="AL15" s="252" t="s">
        <v>155</v>
      </c>
      <c r="AM15" s="247" t="str">
        <f aca="false">Collar1949[[#This Row],[Collection]]&amp;Collar1949[[#This Row],[Sleeve]]</f>
        <v>PerformanceLong</v>
      </c>
      <c r="AU15" s="237" t="s">
        <v>223</v>
      </c>
      <c r="AV15" s="231" t="n">
        <v>13</v>
      </c>
      <c r="AW15" s="231" t="str">
        <f aca="false">Size2851[[#This Row],[Size]]&amp;IF(Size2851[[#This Row],[Price]]="",""," (+"&amp;TEXT(Size2851[[#This Row],[Price]],"$0.00")&amp;")")</f>
        <v>Small</v>
      </c>
      <c r="AX15" s="236" t="s">
        <v>197</v>
      </c>
      <c r="AZ15" s="224" t="s">
        <v>163</v>
      </c>
      <c r="BL15" s="231" t="s">
        <v>339</v>
      </c>
      <c r="BM15" s="231" t="n">
        <v>13</v>
      </c>
      <c r="BN15" s="231" t="str">
        <f aca="false">Logos3154[[#This Row],[Logos]]&amp;IF(Logos3154[[#This Row],[Use]]="Flat"," (+"&amp;TEXT(Logos3154[[#This Row],[Flat]],"$0.00")&amp;")"," (+"&amp;TEXT(Logos3154[[#This Row],[Pct]],"0%")&amp;" of base price)")</f>
        <v>Motiv (+10% of base price)</v>
      </c>
      <c r="BO15" s="231" t="s">
        <v>339</v>
      </c>
      <c r="BP15" s="223" t="n">
        <v>0.1</v>
      </c>
      <c r="BQ15" s="265" t="n">
        <v>5</v>
      </c>
      <c r="BR15" s="232" t="s">
        <v>165</v>
      </c>
      <c r="CB15" s="231" t="s">
        <v>340</v>
      </c>
      <c r="CC15" s="231" t="n">
        <v>13</v>
      </c>
      <c r="CD15" s="231" t="str">
        <f aca="false">LeftSleeve3962[[#This Row],[Logos]]&amp;IF(LeftSleeve3962[[#This Row],[Use]]="","",IF(LeftSleeve3962[[#This Row],[Use]]="Flat"," (+"&amp;TEXT(LeftSleeve3962[[#This Row],[Flat]],"$0.00")&amp;")"," (+"&amp;TEXT(LeftSleeve3962[[#This Row],[Pct]],"0%")&amp;" of base price)"))</f>
        <v>Mexico Flag (+$5.00)</v>
      </c>
      <c r="CE15" s="231" t="s">
        <v>341</v>
      </c>
      <c r="CF15" s="224"/>
      <c r="CG15" s="233" t="n">
        <v>5</v>
      </c>
      <c r="CH15" s="231" t="s">
        <v>166</v>
      </c>
      <c r="CI15" s="231"/>
      <c r="CQ15" s="231"/>
      <c r="EN15" s="231" t="s">
        <v>342</v>
      </c>
      <c r="EO15" s="75" t="n">
        <v>0.3</v>
      </c>
      <c r="EQ15" s="75" t="s">
        <v>175</v>
      </c>
      <c r="ER15" s="75" t="s">
        <v>3</v>
      </c>
      <c r="ES15" s="75" t="s">
        <v>3</v>
      </c>
      <c r="ET15" s="75" t="n">
        <v>10</v>
      </c>
      <c r="EU15" s="75" t="s">
        <v>175</v>
      </c>
      <c r="EV15" s="234"/>
      <c r="EW15" s="234"/>
      <c r="EX15" s="234" t="n">
        <v>49</v>
      </c>
    </row>
    <row r="16" customFormat="false" ht="14.25" hidden="false" customHeight="false" outlineLevel="0" collapsed="false">
      <c r="AF16" s="231" t="s">
        <v>260</v>
      </c>
      <c r="AG16" s="231"/>
      <c r="AH16" s="231" t="str">
        <f aca="false">Collar1949[[#This Row],[Collar]]&amp;IF(Collar1949[[#This Row],[Price]]="",""," (+"&amp;TEXT(Collar1949[[#This Row],[Price]],"$0.00"&amp;")"))</f>
        <v>Crew</v>
      </c>
      <c r="AI16" s="236" t="s">
        <v>343</v>
      </c>
      <c r="AJ16" s="262"/>
      <c r="AK16" s="252" t="s">
        <v>240</v>
      </c>
      <c r="AL16" s="252" t="s">
        <v>155</v>
      </c>
      <c r="AM16" s="252" t="str">
        <f aca="false">Collar1949[[#This Row],[Collection]]&amp;Collar1949[[#This Row],[Sleeve]]</f>
        <v>PerformanceLong</v>
      </c>
      <c r="AO16" s="231"/>
      <c r="AP16" s="231"/>
      <c r="AQ16" s="231"/>
      <c r="AR16" s="231"/>
      <c r="AS16" s="231"/>
      <c r="AU16" s="237" t="s">
        <v>244</v>
      </c>
      <c r="AV16" s="231" t="n">
        <v>14</v>
      </c>
      <c r="AW16" s="231" t="str">
        <f aca="false">Size2851[[#This Row],[Size]]&amp;IF(Size2851[[#This Row],[Price]]="",""," (+"&amp;TEXT(Size2851[[#This Row],[Price]],"$0.00")&amp;")")</f>
        <v>Medium</v>
      </c>
      <c r="AX16" s="236" t="s">
        <v>194</v>
      </c>
      <c r="AZ16" s="224" t="s">
        <v>163</v>
      </c>
      <c r="BL16" s="231" t="s">
        <v>274</v>
      </c>
      <c r="BM16" s="231" t="n">
        <v>14</v>
      </c>
      <c r="BN16" s="231" t="str">
        <f aca="false">Logos3154[[#This Row],[Logos]]&amp;IF(Logos3154[[#This Row],[Use]]="Flat"," (+"&amp;TEXT(Logos3154[[#This Row],[Flat]],"$0.00")&amp;")"," (+"&amp;TEXT(Logos3154[[#This Row],[Pct]],"0%")&amp;" of base price)")</f>
        <v>Powerhouse (+10% of base price)</v>
      </c>
      <c r="BO16" s="231" t="s">
        <v>274</v>
      </c>
      <c r="BP16" s="223" t="n">
        <v>0.1</v>
      </c>
      <c r="BQ16" s="265" t="n">
        <v>5</v>
      </c>
      <c r="BR16" s="232" t="s">
        <v>165</v>
      </c>
      <c r="CI16" s="231"/>
      <c r="CQ16" s="231"/>
      <c r="EL16" s="268"/>
      <c r="EN16" s="231" t="s">
        <v>344</v>
      </c>
      <c r="EO16" s="75" t="n">
        <v>0.2</v>
      </c>
      <c r="EQ16" s="75" t="s">
        <v>3</v>
      </c>
      <c r="ER16" s="75" t="s">
        <v>3</v>
      </c>
      <c r="ES16" s="75" t="s">
        <v>3</v>
      </c>
      <c r="ET16" s="75" t="s">
        <v>3</v>
      </c>
      <c r="EU16" s="75" t="s">
        <v>3</v>
      </c>
      <c r="EV16" s="234"/>
      <c r="EW16" s="234"/>
      <c r="EX16" s="234" t="n">
        <v>49</v>
      </c>
    </row>
    <row r="17" customFormat="false" ht="14.25" hidden="false" customHeight="false" outlineLevel="0" collapsed="false">
      <c r="AF17" s="249" t="s">
        <v>296</v>
      </c>
      <c r="AG17" s="249"/>
      <c r="AH17" s="231" t="str">
        <f aca="false">Collar1949[[#This Row],[Collar]]&amp;IF(Collar1949[[#This Row],[Price]]="",""," (+"&amp;TEXT(Collar1949[[#This Row],[Price]],"$0.00"&amp;")"))</f>
        <v>1/4 Zip Polo (+$8.00)</v>
      </c>
      <c r="AI17" s="250" t="s">
        <v>345</v>
      </c>
      <c r="AJ17" s="251" t="n">
        <v>8</v>
      </c>
      <c r="AK17" s="247" t="s">
        <v>240</v>
      </c>
      <c r="AL17" s="252" t="s">
        <v>155</v>
      </c>
      <c r="AM17" s="247" t="str">
        <f aca="false">Collar1949[[#This Row],[Collection]]&amp;Collar1949[[#This Row],[Sleeve]]</f>
        <v>PerformanceLong</v>
      </c>
      <c r="AO17" s="231"/>
      <c r="AP17" s="231"/>
      <c r="AQ17" s="231"/>
      <c r="AR17" s="231"/>
      <c r="AS17" s="231"/>
      <c r="AU17" s="237" t="s">
        <v>77</v>
      </c>
      <c r="AV17" s="231" t="n">
        <v>15</v>
      </c>
      <c r="AW17" s="231" t="str">
        <f aca="false">Size2851[[#This Row],[Size]]&amp;IF(Size2851[[#This Row],[Price]]="",""," (+"&amp;TEXT(Size2851[[#This Row],[Price]],"$0.00")&amp;")")</f>
        <v>Large</v>
      </c>
      <c r="AX17" s="236" t="s">
        <v>241</v>
      </c>
      <c r="AZ17" s="224" t="s">
        <v>163</v>
      </c>
      <c r="BL17" s="231" t="s">
        <v>346</v>
      </c>
      <c r="BM17" s="231" t="n">
        <v>15</v>
      </c>
      <c r="BN17" s="231" t="str">
        <f aca="false">Logos3154[[#This Row],[Logos]]&amp;IF(Logos3154[[#This Row],[Use]]="Flat"," (+"&amp;TEXT(Logos3154[[#This Row],[Flat]],"$0.00")&amp;")"," (+"&amp;TEXT(Logos3154[[#This Row],[Pct]],"0%")&amp;" of base price)")</f>
        <v>Radical (+10% of base price)</v>
      </c>
      <c r="BO17" s="231" t="s">
        <v>346</v>
      </c>
      <c r="BP17" s="223" t="n">
        <v>0.1</v>
      </c>
      <c r="BQ17" s="265" t="n">
        <v>5</v>
      </c>
      <c r="BR17" s="232" t="s">
        <v>165</v>
      </c>
      <c r="CI17" s="231"/>
      <c r="CQ17" s="231"/>
      <c r="EN17" s="231" t="s">
        <v>347</v>
      </c>
      <c r="EO17" s="75" t="n">
        <v>0.3</v>
      </c>
      <c r="EQ17" s="75" t="s">
        <v>3</v>
      </c>
      <c r="ER17" s="75" t="s">
        <v>3</v>
      </c>
      <c r="ES17" s="75" t="s">
        <v>3</v>
      </c>
      <c r="ET17" s="75" t="s">
        <v>3</v>
      </c>
      <c r="EU17" s="75" t="s">
        <v>3</v>
      </c>
      <c r="EV17" s="234"/>
      <c r="EW17" s="234"/>
      <c r="EX17" s="234" t="n">
        <v>49</v>
      </c>
    </row>
    <row r="18" customFormat="false" ht="14.25" hidden="false" customHeight="false" outlineLevel="0" collapsed="false">
      <c r="AC18" s="231"/>
      <c r="AF18" s="231" t="s">
        <v>348</v>
      </c>
      <c r="AG18" s="231"/>
      <c r="AH18" s="231" t="str">
        <f aca="false">Collar1949[[#This Row],[Collar]]&amp;IF(Collar1949[[#This Row],[Price]]="",""," (+"&amp;TEXT(Collar1949[[#This Row],[Price]],"$0.00"&amp;")"))</f>
        <v>1/4 Zip Pullover (+$8.00)</v>
      </c>
      <c r="AI18" s="236" t="s">
        <v>349</v>
      </c>
      <c r="AJ18" s="262" t="n">
        <v>8</v>
      </c>
      <c r="AK18" s="252" t="s">
        <v>240</v>
      </c>
      <c r="AL18" s="252" t="s">
        <v>155</v>
      </c>
      <c r="AM18" s="252" t="str">
        <f aca="false">Collar1949[[#This Row],[Collection]]&amp;Collar1949[[#This Row],[Sleeve]]</f>
        <v>PerformanceLong</v>
      </c>
      <c r="AN18" s="231"/>
      <c r="AP18" s="231"/>
      <c r="AQ18" s="231"/>
      <c r="AR18" s="231"/>
      <c r="AS18" s="231"/>
      <c r="AU18" s="237" t="s">
        <v>272</v>
      </c>
      <c r="AV18" s="231" t="n">
        <v>16</v>
      </c>
      <c r="AW18" s="231" t="str">
        <f aca="false">Size2851[[#This Row],[Size]]&amp;IF(Size2851[[#This Row],[Price]]="",""," (+"&amp;TEXT(Size2851[[#This Row],[Price]],"$0.00")&amp;")")</f>
        <v>X-Large</v>
      </c>
      <c r="AX18" s="236" t="s">
        <v>116</v>
      </c>
      <c r="AZ18" s="224" t="s">
        <v>163</v>
      </c>
      <c r="BL18" s="231" t="s">
        <v>350</v>
      </c>
      <c r="BM18" s="231" t="n">
        <v>16</v>
      </c>
      <c r="BN18" s="231" t="str">
        <f aca="false">Logos3154[[#This Row],[Logos]]&amp;IF(Logos3154[[#This Row],[Use]]="Flat"," (+"&amp;TEXT(Logos3154[[#This Row],[Flat]],"$0.00")&amp;")"," (+"&amp;TEXT(Logos3154[[#This Row],[Pct]],"0%")&amp;" of base price)")</f>
        <v>Robby's  (+10% of base price)</v>
      </c>
      <c r="BO18" s="231" t="s">
        <v>351</v>
      </c>
      <c r="BP18" s="223" t="n">
        <v>0.1</v>
      </c>
      <c r="BQ18" s="265" t="n">
        <v>5</v>
      </c>
      <c r="BR18" s="232" t="s">
        <v>165</v>
      </c>
      <c r="CI18" s="231"/>
      <c r="CQ18" s="231"/>
      <c r="EN18" s="231" t="s">
        <v>352</v>
      </c>
      <c r="EO18" s="75" t="n">
        <v>0.4</v>
      </c>
      <c r="EQ18" s="75" t="s">
        <v>3</v>
      </c>
      <c r="ER18" s="75" t="s">
        <v>3</v>
      </c>
      <c r="ES18" s="75" t="s">
        <v>3</v>
      </c>
      <c r="ET18" s="75" t="s">
        <v>3</v>
      </c>
      <c r="EU18" s="75" t="s">
        <v>3</v>
      </c>
      <c r="EV18" s="234"/>
      <c r="EW18" s="234"/>
      <c r="EX18" s="234" t="n">
        <v>49</v>
      </c>
    </row>
    <row r="19" customFormat="false" ht="14.25" hidden="false" customHeight="false" outlineLevel="0" collapsed="false">
      <c r="AF19" s="249" t="s">
        <v>321</v>
      </c>
      <c r="AG19" s="249"/>
      <c r="AH19" s="231" t="str">
        <f aca="false">Collar1949[[#This Row],[Collar]]&amp;IF(Collar1949[[#This Row],[Price]]="",""," (+"&amp;TEXT(Collar1949[[#This Row],[Price]],"$0.00"&amp;")"))</f>
        <v>Lightweight Hoodie (+$10.00)</v>
      </c>
      <c r="AI19" s="250" t="s">
        <v>353</v>
      </c>
      <c r="AJ19" s="251" t="n">
        <v>10</v>
      </c>
      <c r="AK19" s="247" t="s">
        <v>240</v>
      </c>
      <c r="AL19" s="252" t="s">
        <v>155</v>
      </c>
      <c r="AM19" s="247" t="str">
        <f aca="false">Collar1949[[#This Row],[Collection]]&amp;Collar1949[[#This Row],[Sleeve]]</f>
        <v>PerformanceLong</v>
      </c>
      <c r="AN19" s="231"/>
      <c r="AO19" s="231"/>
      <c r="AP19" s="231"/>
      <c r="AQ19" s="231"/>
      <c r="AR19" s="231"/>
      <c r="AS19" s="231"/>
      <c r="AU19" s="237" t="s">
        <v>286</v>
      </c>
      <c r="AV19" s="231" t="n">
        <v>17</v>
      </c>
      <c r="AW19" s="231" t="str">
        <f aca="false">Size2851[[#This Row],[Size]]&amp;IF(Size2851[[#This Row],[Price]]="",""," (+"&amp;TEXT(Size2851[[#This Row],[Price]],"$0.00")&amp;")")</f>
        <v>2X-Large (+$2.00)</v>
      </c>
      <c r="AX19" s="225" t="n">
        <v>2</v>
      </c>
      <c r="AY19" s="224" t="n">
        <v>2</v>
      </c>
      <c r="AZ19" s="224" t="s">
        <v>163</v>
      </c>
      <c r="BL19" s="231" t="s">
        <v>354</v>
      </c>
      <c r="BM19" s="231" t="n">
        <v>17</v>
      </c>
      <c r="BN19" s="231" t="str">
        <f aca="false">Logos3154[[#This Row],[Logos]]&amp;IF(Logos3154[[#This Row],[Use]]="Flat"," (+"&amp;TEXT(Logos3154[[#This Row],[Flat]],"$0.00")&amp;")"," (+"&amp;TEXT(Logos3154[[#This Row],[Pct]],"0%")&amp;" of base price)")</f>
        <v>Roto-Grip (+10% of base price)</v>
      </c>
      <c r="BO19" s="231" t="s">
        <v>355</v>
      </c>
      <c r="BP19" s="223" t="n">
        <v>0.1</v>
      </c>
      <c r="BQ19" s="265" t="n">
        <v>5</v>
      </c>
      <c r="BR19" s="232" t="s">
        <v>165</v>
      </c>
      <c r="CI19" s="231"/>
      <c r="CQ19" s="231"/>
      <c r="EL19" s="268"/>
      <c r="EN19" s="231" t="s">
        <v>356</v>
      </c>
      <c r="EO19" s="75" t="n">
        <v>0.5</v>
      </c>
      <c r="EQ19" s="75" t="s">
        <v>3</v>
      </c>
      <c r="ER19" s="75" t="s">
        <v>3</v>
      </c>
      <c r="ES19" s="75" t="s">
        <v>3</v>
      </c>
      <c r="ET19" s="75" t="s">
        <v>3</v>
      </c>
      <c r="EU19" s="75" t="s">
        <v>3</v>
      </c>
      <c r="EV19" s="234"/>
      <c r="EW19" s="234"/>
      <c r="EX19" s="234" t="n">
        <v>49</v>
      </c>
    </row>
    <row r="20" customFormat="false" ht="14.25" hidden="false" customHeight="false" outlineLevel="0" collapsed="false">
      <c r="AF20" s="231" t="s">
        <v>357</v>
      </c>
      <c r="AG20" s="231"/>
      <c r="AH20" s="231" t="str">
        <f aca="false">Collar1949[[#This Row],[Collar]]&amp;IF(Collar1949[[#This Row],[Price]]="",""," (+"&amp;TEXT(Collar1949[[#This Row],[Price]],"$0.00"&amp;")"))</f>
        <v>Lightweight 1/4 Zip Hoodie (+$15.00)</v>
      </c>
      <c r="AI20" s="236" t="s">
        <v>358</v>
      </c>
      <c r="AJ20" s="262" t="n">
        <v>15</v>
      </c>
      <c r="AK20" s="252" t="s">
        <v>240</v>
      </c>
      <c r="AL20" s="252" t="s">
        <v>155</v>
      </c>
      <c r="AM20" s="252" t="str">
        <f aca="false">Collar1949[[#This Row],[Collection]]&amp;Collar1949[[#This Row],[Sleeve]]</f>
        <v>PerformanceLong</v>
      </c>
      <c r="AN20" s="231"/>
      <c r="AO20" s="231"/>
      <c r="AP20" s="231"/>
      <c r="AQ20" s="231"/>
      <c r="AR20" s="231"/>
      <c r="AS20" s="231"/>
      <c r="AU20" s="237" t="s">
        <v>298</v>
      </c>
      <c r="AV20" s="231" t="n">
        <v>18</v>
      </c>
      <c r="AW20" s="231" t="str">
        <f aca="false">Size2851[[#This Row],[Size]]&amp;IF(Size2851[[#This Row],[Price]]="",""," (+"&amp;TEXT(Size2851[[#This Row],[Price]],"$0.00")&amp;")")</f>
        <v>3X-Large (+$4.00)</v>
      </c>
      <c r="AX20" s="225" t="n">
        <v>3</v>
      </c>
      <c r="AY20" s="224" t="n">
        <v>4</v>
      </c>
      <c r="AZ20" s="224" t="s">
        <v>163</v>
      </c>
      <c r="BL20" s="231" t="s">
        <v>359</v>
      </c>
      <c r="BM20" s="231" t="n">
        <v>18</v>
      </c>
      <c r="BN20" s="231" t="str">
        <f aca="false">Logos3154[[#This Row],[Logos]]&amp;IF(Logos3154[[#This Row],[Use]]="Flat"," (+"&amp;TEXT(Logos3154[[#This Row],[Flat]],"$0.00")&amp;")"," (+"&amp;TEXT(Logos3154[[#This Row],[Pct]],"0%")&amp;" of base price)")</f>
        <v>Storm (+10% of base price)</v>
      </c>
      <c r="BO20" s="231" t="s">
        <v>359</v>
      </c>
      <c r="BP20" s="223" t="n">
        <v>0.1</v>
      </c>
      <c r="BQ20" s="265" t="n">
        <v>5</v>
      </c>
      <c r="BR20" s="232" t="s">
        <v>165</v>
      </c>
      <c r="CI20" s="231"/>
      <c r="CQ20" s="231"/>
      <c r="EN20" s="231" t="s">
        <v>1</v>
      </c>
      <c r="EQ20" s="75" t="s">
        <v>3</v>
      </c>
      <c r="ER20" s="75" t="s">
        <v>3</v>
      </c>
      <c r="ES20" s="75" t="s">
        <v>3</v>
      </c>
      <c r="ET20" s="75" t="s">
        <v>3</v>
      </c>
      <c r="EU20" s="75" t="s">
        <v>3</v>
      </c>
      <c r="EV20" s="234"/>
      <c r="EW20" s="234"/>
      <c r="EX20" s="234" t="n">
        <v>49</v>
      </c>
    </row>
    <row r="21" customFormat="false" ht="14.25" hidden="false" customHeight="false" outlineLevel="0" collapsed="false">
      <c r="AF21" s="249" t="s">
        <v>198</v>
      </c>
      <c r="AG21" s="249"/>
      <c r="AH21" s="231" t="str">
        <f aca="false">Collar1949[[#This Row],[Collar]]&amp;IF(Collar1949[[#This Row],[Price]]="",""," (+"&amp;TEXT(Collar1949[[#This Row],[Price]],"$0.00"&amp;")"))</f>
        <v>1/4 Zip Sash (+$8.00)</v>
      </c>
      <c r="AI21" s="250" t="s">
        <v>360</v>
      </c>
      <c r="AJ21" s="251" t="n">
        <v>8</v>
      </c>
      <c r="AK21" s="247" t="s">
        <v>219</v>
      </c>
      <c r="AL21" s="252" t="s">
        <v>155</v>
      </c>
      <c r="AM21" s="247" t="str">
        <f aca="false">Collar1949[[#This Row],[Collection]]&amp;Collar1949[[#This Row],[Sleeve]]</f>
        <v>PerformanceSleeveless</v>
      </c>
      <c r="AN21" s="231"/>
      <c r="AO21" s="231"/>
      <c r="AP21" s="231"/>
      <c r="AQ21" s="231"/>
      <c r="AR21" s="231"/>
      <c r="AS21" s="231"/>
      <c r="AU21" s="237" t="s">
        <v>308</v>
      </c>
      <c r="AV21" s="231" t="n">
        <v>19</v>
      </c>
      <c r="AW21" s="231" t="str">
        <f aca="false">Size2851[[#This Row],[Size]]&amp;IF(Size2851[[#This Row],[Price]]="",""," (+"&amp;TEXT(Size2851[[#This Row],[Price]],"$0.00")&amp;")")</f>
        <v>4X-Large (+$6.00)</v>
      </c>
      <c r="AX21" s="225" t="n">
        <v>4</v>
      </c>
      <c r="AY21" s="224" t="n">
        <v>6</v>
      </c>
      <c r="AZ21" s="224" t="s">
        <v>163</v>
      </c>
      <c r="BL21" s="231" t="s">
        <v>361</v>
      </c>
      <c r="BM21" s="231" t="n">
        <v>19</v>
      </c>
      <c r="BN21" s="231" t="str">
        <f aca="false">Logos3154[[#This Row],[Logos]]&amp;IF(Logos3154[[#This Row],[Use]]="Flat"," (+"&amp;TEXT(Logos3154[[#This Row],[Flat]],"$0.00")&amp;")"," (+"&amp;TEXT(Logos3154[[#This Row],[Pct]],"0%")&amp;" of base price)")</f>
        <v>SWAG (+10% of base price)</v>
      </c>
      <c r="BO21" s="231" t="s">
        <v>361</v>
      </c>
      <c r="BP21" s="223" t="n">
        <v>0.1</v>
      </c>
      <c r="BQ21" s="265" t="n">
        <v>5</v>
      </c>
      <c r="BR21" s="232" t="s">
        <v>165</v>
      </c>
      <c r="CI21" s="231"/>
      <c r="CQ21" s="231"/>
    </row>
    <row r="22" customFormat="false" ht="14.25" hidden="false" customHeight="false" outlineLevel="0" collapsed="false">
      <c r="AF22" s="231" t="s">
        <v>221</v>
      </c>
      <c r="AG22" s="231"/>
      <c r="AH22" s="231" t="str">
        <f aca="false">Collar1949[[#This Row],[Collar]]&amp;IF(Collar1949[[#This Row],[Price]]="",""," (+"&amp;TEXT(Collar1949[[#This Row],[Price]],"$0.00"&amp;")"))</f>
        <v>Polo (+$8.00)</v>
      </c>
      <c r="AI22" s="236" t="s">
        <v>362</v>
      </c>
      <c r="AJ22" s="262" t="n">
        <v>8</v>
      </c>
      <c r="AK22" s="252" t="s">
        <v>219</v>
      </c>
      <c r="AL22" s="252" t="s">
        <v>155</v>
      </c>
      <c r="AM22" s="252" t="str">
        <f aca="false">Collar1949[[#This Row],[Collection]]&amp;Collar1949[[#This Row],[Sleeve]]</f>
        <v>PerformanceSleeveless</v>
      </c>
      <c r="AN22" s="231"/>
      <c r="AO22" s="231"/>
      <c r="AP22" s="231"/>
      <c r="AQ22" s="231"/>
      <c r="AR22" s="231"/>
      <c r="AS22" s="231"/>
      <c r="AU22" s="237" t="s">
        <v>316</v>
      </c>
      <c r="AV22" s="231" t="n">
        <v>20</v>
      </c>
      <c r="AW22" s="231" t="str">
        <f aca="false">Size2851[[#This Row],[Size]]&amp;IF(Size2851[[#This Row],[Price]]="",""," (+"&amp;TEXT(Size2851[[#This Row],[Price]],"$0.00")&amp;")")</f>
        <v>5X-Large (+$9.00)</v>
      </c>
      <c r="AX22" s="225" t="n">
        <v>5</v>
      </c>
      <c r="AY22" s="224" t="n">
        <v>9</v>
      </c>
      <c r="AZ22" s="224" t="s">
        <v>163</v>
      </c>
      <c r="BL22" s="231" t="s">
        <v>363</v>
      </c>
      <c r="BM22" s="231" t="n">
        <v>20</v>
      </c>
      <c r="BN22" s="231" t="str">
        <f aca="false">Logos3154[[#This Row],[Logos]]&amp;IF(Logos3154[[#This Row],[Use]]="Flat"," (+"&amp;TEXT(Logos3154[[#This Row],[Flat]],"$0.00")&amp;")"," (+"&amp;TEXT(Logos3154[[#This Row],[Pct]],"0%")&amp;" of base price)")</f>
        <v>Track (+10% of base price)</v>
      </c>
      <c r="BO22" s="231" t="s">
        <v>363</v>
      </c>
      <c r="BP22" s="223" t="n">
        <v>0.1</v>
      </c>
      <c r="BQ22" s="265" t="n">
        <v>5</v>
      </c>
      <c r="BR22" s="232" t="s">
        <v>165</v>
      </c>
      <c r="CI22" s="231"/>
      <c r="CQ22" s="231"/>
      <c r="EL22" s="268"/>
    </row>
    <row r="23" customFormat="false" ht="14.25" hidden="false" customHeight="false" outlineLevel="0" collapsed="false">
      <c r="AF23" s="249" t="s">
        <v>242</v>
      </c>
      <c r="AG23" s="249"/>
      <c r="AH23" s="231" t="str">
        <f aca="false">Collar1949[[#This Row],[Collar]]&amp;IF(Collar1949[[#This Row],[Price]]="",""," (+"&amp;TEXT(Collar1949[[#This Row],[Price]],"$0.00"&amp;")"))</f>
        <v>V-Neck</v>
      </c>
      <c r="AI23" s="250" t="s">
        <v>364</v>
      </c>
      <c r="AJ23" s="251"/>
      <c r="AK23" s="247" t="s">
        <v>219</v>
      </c>
      <c r="AL23" s="252" t="s">
        <v>155</v>
      </c>
      <c r="AM23" s="247" t="str">
        <f aca="false">Collar1949[[#This Row],[Collection]]&amp;Collar1949[[#This Row],[Sleeve]]</f>
        <v>PerformanceSleeveless</v>
      </c>
      <c r="AN23" s="231"/>
      <c r="AO23" s="231"/>
      <c r="AP23" s="231"/>
      <c r="AQ23" s="231"/>
      <c r="AR23" s="231"/>
      <c r="AS23" s="231"/>
      <c r="AU23" s="237" t="s">
        <v>323</v>
      </c>
      <c r="AV23" s="231" t="n">
        <v>21</v>
      </c>
      <c r="AW23" s="231" t="str">
        <f aca="false">Size2851[[#This Row],[Size]]&amp;IF(Size2851[[#This Row],[Price]]="",""," (+"&amp;TEXT(Size2851[[#This Row],[Price]],"$0.00")&amp;")")</f>
        <v>6X-Large (+$12.00)</v>
      </c>
      <c r="AX23" s="225" t="n">
        <v>6</v>
      </c>
      <c r="AY23" s="224" t="n">
        <v>12</v>
      </c>
      <c r="AZ23" s="224" t="s">
        <v>163</v>
      </c>
      <c r="BL23" s="231" t="s">
        <v>289</v>
      </c>
      <c r="BM23" s="231" t="n">
        <v>21</v>
      </c>
      <c r="BN23" s="231" t="e">
        <f aca="false">RightSleeve4871[[#This Row],[Logos]]</f>
        <v>#VALUE!</v>
      </c>
      <c r="BO23" s="231" t="s">
        <v>290</v>
      </c>
      <c r="BP23" s="224"/>
      <c r="BQ23" s="233"/>
      <c r="BR23" s="231"/>
      <c r="CI23" s="231"/>
      <c r="CQ23" s="231"/>
    </row>
    <row r="24" customFormat="false" ht="14.25" hidden="false" customHeight="false" outlineLevel="0" collapsed="false">
      <c r="AF24" s="231" t="s">
        <v>260</v>
      </c>
      <c r="AG24" s="231"/>
      <c r="AH24" s="231" t="str">
        <f aca="false">Collar1949[[#This Row],[Collar]]&amp;IF(Collar1949[[#This Row],[Price]]="",""," (+"&amp;TEXT(Collar1949[[#This Row],[Price]],"$0.00"&amp;")"))</f>
        <v>Crew</v>
      </c>
      <c r="AI24" s="236" t="s">
        <v>365</v>
      </c>
      <c r="AJ24" s="262"/>
      <c r="AK24" s="252" t="s">
        <v>219</v>
      </c>
      <c r="AL24" s="252" t="s">
        <v>155</v>
      </c>
      <c r="AM24" s="252" t="str">
        <f aca="false">Collar1949[[#This Row],[Collection]]&amp;Collar1949[[#This Row],[Sleeve]]</f>
        <v>PerformanceSleeveless</v>
      </c>
      <c r="AN24" s="231"/>
      <c r="AO24" s="231"/>
      <c r="AP24" s="231"/>
      <c r="AQ24" s="231"/>
      <c r="AR24" s="231"/>
      <c r="AS24" s="231"/>
      <c r="AU24" s="237" t="s">
        <v>328</v>
      </c>
      <c r="AV24" s="231" t="n">
        <v>22</v>
      </c>
      <c r="AW24" s="231" t="str">
        <f aca="false">Size2851[[#This Row],[Size]]&amp;IF(Size2851[[#This Row],[Price]]="",""," (+"&amp;TEXT(Size2851[[#This Row],[Price]],"$0.00")&amp;")")</f>
        <v>7X-Large (+$12.00)</v>
      </c>
      <c r="AX24" s="225" t="n">
        <v>7</v>
      </c>
      <c r="AY24" s="224" t="n">
        <v>12</v>
      </c>
      <c r="AZ24" s="224" t="s">
        <v>163</v>
      </c>
      <c r="CQ24" s="231"/>
    </row>
    <row r="25" customFormat="false" ht="14.25" hidden="false" customHeight="false" outlineLevel="0" collapsed="false">
      <c r="AF25" s="249" t="s">
        <v>321</v>
      </c>
      <c r="AG25" s="249"/>
      <c r="AH25" s="231" t="str">
        <f aca="false">Collar1949[[#This Row],[Collar]]&amp;IF(Collar1949[[#This Row],[Price]]="",""," (+"&amp;TEXT(Collar1949[[#This Row],[Price]],"$0.00"&amp;")"))</f>
        <v>Lightweight Hoodie (+$15.00)</v>
      </c>
      <c r="AI25" s="250" t="s">
        <v>366</v>
      </c>
      <c r="AJ25" s="251" t="n">
        <v>15</v>
      </c>
      <c r="AK25" s="247" t="s">
        <v>219</v>
      </c>
      <c r="AL25" s="252" t="s">
        <v>155</v>
      </c>
      <c r="AM25" s="247" t="str">
        <f aca="false">Collar1949[[#This Row],[Collection]]&amp;Collar1949[[#This Row],[Sleeve]]</f>
        <v>PerformanceSleeveless</v>
      </c>
      <c r="AN25" s="231"/>
      <c r="AO25" s="231"/>
      <c r="AP25" s="231"/>
      <c r="AQ25" s="231"/>
      <c r="AR25" s="231"/>
      <c r="AS25" s="231"/>
      <c r="AU25" s="237" t="s">
        <v>200</v>
      </c>
      <c r="AV25" s="231" t="n">
        <v>23</v>
      </c>
      <c r="AW25" s="231" t="str">
        <f aca="false">Size2851[[#This Row],[Size]]&amp;IF(Size2851[[#This Row],[Price]]="",""," (+"&amp;TEXT(Size2851[[#This Row],[Price]],"$0.00")&amp;")")</f>
        <v>X-Small</v>
      </c>
      <c r="AX25" s="236" t="s">
        <v>201</v>
      </c>
      <c r="AZ25" s="224" t="s">
        <v>152</v>
      </c>
      <c r="CQ25" s="231"/>
    </row>
    <row r="26" customFormat="false" ht="14.25" hidden="false" customHeight="false" outlineLevel="0" collapsed="false">
      <c r="AF26" s="231" t="s">
        <v>198</v>
      </c>
      <c r="AG26" s="231"/>
      <c r="AH26" s="231" t="str">
        <f aca="false">Collar1949[[#This Row],[Collar]]&amp;IF(Collar1949[[#This Row],[Price]]="",""," (+"&amp;TEXT(Collar1949[[#This Row],[Price]],"$0.00"&amp;")"))</f>
        <v>1/4 Zip Sash (+$20.00)</v>
      </c>
      <c r="AI26" s="236" t="s">
        <v>367</v>
      </c>
      <c r="AJ26" s="262" t="n">
        <v>20</v>
      </c>
      <c r="AK26" s="252" t="s">
        <v>80</v>
      </c>
      <c r="AL26" s="252" t="s">
        <v>156</v>
      </c>
      <c r="AM26" s="252" t="str">
        <f aca="false">Collar1949[[#This Row],[Collection]]&amp;Collar1949[[#This Row],[Sleeve]]</f>
        <v>TourShort</v>
      </c>
      <c r="AN26" s="231"/>
      <c r="AO26" s="231"/>
      <c r="AP26" s="231"/>
      <c r="AQ26" s="231"/>
      <c r="AR26" s="231"/>
      <c r="AS26" s="231"/>
      <c r="AU26" s="237" t="s">
        <v>223</v>
      </c>
      <c r="AV26" s="231" t="n">
        <v>24</v>
      </c>
      <c r="AW26" s="231" t="str">
        <f aca="false">Size2851[[#This Row],[Size]]&amp;IF(Size2851[[#This Row],[Price]]="",""," (+"&amp;TEXT(Size2851[[#This Row],[Price]],"$0.00")&amp;")")</f>
        <v>Small</v>
      </c>
      <c r="AX26" s="236" t="s">
        <v>197</v>
      </c>
      <c r="AZ26" s="224" t="s">
        <v>152</v>
      </c>
      <c r="CQ26" s="231"/>
    </row>
    <row r="27" customFormat="false" ht="14.25" hidden="false" customHeight="false" outlineLevel="0" collapsed="false">
      <c r="AF27" s="249" t="s">
        <v>221</v>
      </c>
      <c r="AG27" s="249"/>
      <c r="AH27" s="231" t="str">
        <f aca="false">Collar1949[[#This Row],[Collar]]&amp;IF(Collar1949[[#This Row],[Price]]="",""," (+"&amp;TEXT(Collar1949[[#This Row],[Price]],"$0.00"&amp;")"))</f>
        <v>Polo (+$20.00)</v>
      </c>
      <c r="AI27" s="250" t="s">
        <v>368</v>
      </c>
      <c r="AJ27" s="251" t="n">
        <v>20</v>
      </c>
      <c r="AK27" s="247" t="s">
        <v>80</v>
      </c>
      <c r="AL27" s="252" t="s">
        <v>156</v>
      </c>
      <c r="AM27" s="247" t="str">
        <f aca="false">Collar1949[[#This Row],[Collection]]&amp;Collar1949[[#This Row],[Sleeve]]</f>
        <v>TourShort</v>
      </c>
      <c r="AN27" s="231"/>
      <c r="AO27" s="231"/>
      <c r="AP27" s="231"/>
      <c r="AQ27" s="231"/>
      <c r="AR27" s="231"/>
      <c r="AS27" s="231"/>
      <c r="AU27" s="237" t="s">
        <v>244</v>
      </c>
      <c r="AV27" s="231" t="n">
        <v>25</v>
      </c>
      <c r="AW27" s="231" t="str">
        <f aca="false">Size2851[[#This Row],[Size]]&amp;IF(Size2851[[#This Row],[Price]]="",""," (+"&amp;TEXT(Size2851[[#This Row],[Price]],"$0.00")&amp;")")</f>
        <v>Medium</v>
      </c>
      <c r="AX27" s="236" t="s">
        <v>194</v>
      </c>
      <c r="AZ27" s="224" t="s">
        <v>152</v>
      </c>
      <c r="CQ27" s="231"/>
    </row>
    <row r="28" customFormat="false" ht="14.25" hidden="false" customHeight="false" outlineLevel="0" collapsed="false">
      <c r="AF28" s="231" t="s">
        <v>242</v>
      </c>
      <c r="AG28" s="231"/>
      <c r="AH28" s="231" t="str">
        <f aca="false">Collar1949[[#This Row],[Collar]]&amp;IF(Collar1949[[#This Row],[Price]]="",""," (+"&amp;TEXT(Collar1949[[#This Row],[Price]],"$0.00"&amp;")"))</f>
        <v>V-Neck</v>
      </c>
      <c r="AI28" s="236" t="s">
        <v>369</v>
      </c>
      <c r="AJ28" s="262"/>
      <c r="AK28" s="252" t="s">
        <v>80</v>
      </c>
      <c r="AL28" s="252" t="s">
        <v>156</v>
      </c>
      <c r="AM28" s="252" t="str">
        <f aca="false">Collar1949[[#This Row],[Collection]]&amp;Collar1949[[#This Row],[Sleeve]]</f>
        <v>TourShort</v>
      </c>
      <c r="AN28" s="231"/>
      <c r="AO28" s="231"/>
      <c r="AP28" s="231"/>
      <c r="AQ28" s="231"/>
      <c r="AR28" s="231"/>
      <c r="AS28" s="231"/>
      <c r="AU28" s="237" t="s">
        <v>77</v>
      </c>
      <c r="AV28" s="231" t="n">
        <v>26</v>
      </c>
      <c r="AW28" s="231" t="str">
        <f aca="false">Size2851[[#This Row],[Size]]&amp;IF(Size2851[[#This Row],[Price]]="",""," (+"&amp;TEXT(Size2851[[#This Row],[Price]],"$0.00")&amp;")")</f>
        <v>Large</v>
      </c>
      <c r="AX28" s="236" t="s">
        <v>241</v>
      </c>
      <c r="AZ28" s="224" t="s">
        <v>152</v>
      </c>
      <c r="CQ28" s="231"/>
    </row>
    <row r="29" customFormat="false" ht="14.25" hidden="false" customHeight="false" outlineLevel="0" collapsed="false">
      <c r="AF29" s="249" t="s">
        <v>260</v>
      </c>
      <c r="AG29" s="249"/>
      <c r="AH29" s="231" t="str">
        <f aca="false">Collar1949[[#This Row],[Collar]]&amp;IF(Collar1949[[#This Row],[Price]]="",""," (+"&amp;TEXT(Collar1949[[#This Row],[Price]],"$0.00"&amp;")"))</f>
        <v>Crew</v>
      </c>
      <c r="AI29" s="250" t="s">
        <v>370</v>
      </c>
      <c r="AJ29" s="251"/>
      <c r="AK29" s="247" t="s">
        <v>80</v>
      </c>
      <c r="AL29" s="252" t="s">
        <v>156</v>
      </c>
      <c r="AM29" s="247" t="str">
        <f aca="false">Collar1949[[#This Row],[Collection]]&amp;Collar1949[[#This Row],[Sleeve]]</f>
        <v>TourShort</v>
      </c>
      <c r="AN29" s="231"/>
      <c r="AO29" s="231"/>
      <c r="AP29" s="231"/>
      <c r="AQ29" s="231"/>
      <c r="AR29" s="231"/>
      <c r="AS29" s="231"/>
      <c r="AU29" s="237" t="s">
        <v>272</v>
      </c>
      <c r="AV29" s="231" t="n">
        <v>27</v>
      </c>
      <c r="AW29" s="231" t="str">
        <f aca="false">Size2851[[#This Row],[Size]]&amp;IF(Size2851[[#This Row],[Price]]="",""," (+"&amp;TEXT(Size2851[[#This Row],[Price]],"$0.00")&amp;")")</f>
        <v>X-Large</v>
      </c>
      <c r="AX29" s="236" t="s">
        <v>116</v>
      </c>
      <c r="AZ29" s="233" t="s">
        <v>152</v>
      </c>
    </row>
    <row r="30" customFormat="false" ht="14.25" hidden="false" customHeight="false" outlineLevel="0" collapsed="false">
      <c r="AF30" s="231" t="s">
        <v>270</v>
      </c>
      <c r="AG30" s="231"/>
      <c r="AH30" s="231" t="str">
        <f aca="false">Collar1949[[#This Row],[Collar]]&amp;IF(Collar1949[[#This Row],[Price]]="",""," (+"&amp;TEXT(Collar1949[[#This Row],[Price]],"$0.00"&amp;")"))</f>
        <v>1/4 Zip Blade (+$20.00)</v>
      </c>
      <c r="AI30" s="236" t="s">
        <v>371</v>
      </c>
      <c r="AJ30" s="251" t="n">
        <v>20</v>
      </c>
      <c r="AK30" s="252" t="s">
        <v>80</v>
      </c>
      <c r="AL30" s="252" t="s">
        <v>156</v>
      </c>
      <c r="AM30" s="252" t="str">
        <f aca="false">Collar1949[[#This Row],[Collection]]&amp;Collar1949[[#This Row],[Sleeve]]</f>
        <v>TourShort</v>
      </c>
      <c r="AN30" s="231"/>
      <c r="AO30" s="231"/>
      <c r="AP30" s="231"/>
      <c r="AQ30" s="231"/>
      <c r="AR30" s="231"/>
      <c r="AS30" s="231"/>
      <c r="AU30" s="237" t="s">
        <v>372</v>
      </c>
      <c r="AV30" s="231" t="n">
        <v>28</v>
      </c>
      <c r="AW30" s="231" t="str">
        <f aca="false">Size2851[[#This Row],[Size]]&amp;IF(Size2851[[#This Row],[Price]]="",""," (+"&amp;TEXT(Size2851[[#This Row],[Price]],"$0.00")&amp;")")</f>
        <v>2T</v>
      </c>
      <c r="AX30" s="234" t="str">
        <f aca="false">Size2851[[#This Row],[Size]]&amp;IF(Size2851[[#This Row],[Price]]="",""," (+"&amp;TEXT(Size2851[[#This Row],[Price]],"$0.00")&amp;")")</f>
        <v>2T</v>
      </c>
      <c r="AZ30" s="224" t="s">
        <v>153</v>
      </c>
    </row>
    <row r="31" customFormat="false" ht="14.25" hidden="false" customHeight="false" outlineLevel="0" collapsed="false">
      <c r="AF31" s="249" t="s">
        <v>284</v>
      </c>
      <c r="AG31" s="249"/>
      <c r="AH31" s="231" t="str">
        <f aca="false">Collar1949[[#This Row],[Collar]]&amp;IF(Collar1949[[#This Row],[Price]]="",""," (+"&amp;TEXT(Collar1949[[#This Row],[Price]],"$0.00"&amp;")"))</f>
        <v>3 Button Blade (+$20.00)</v>
      </c>
      <c r="AI31" s="250" t="s">
        <v>373</v>
      </c>
      <c r="AJ31" s="251" t="n">
        <v>20</v>
      </c>
      <c r="AK31" s="247" t="s">
        <v>80</v>
      </c>
      <c r="AL31" s="252" t="s">
        <v>156</v>
      </c>
      <c r="AM31" s="247" t="str">
        <f aca="false">Collar1949[[#This Row],[Collection]]&amp;Collar1949[[#This Row],[Sleeve]]</f>
        <v>TourShort</v>
      </c>
      <c r="AN31" s="231"/>
      <c r="AO31" s="231"/>
      <c r="AP31" s="231"/>
      <c r="AQ31" s="231"/>
      <c r="AR31" s="231"/>
      <c r="AS31" s="231"/>
      <c r="AU31" s="237" t="s">
        <v>374</v>
      </c>
      <c r="AV31" s="231" t="n">
        <v>29</v>
      </c>
      <c r="AW31" s="231" t="str">
        <f aca="false">Size2851[[#This Row],[Size]]&amp;IF(Size2851[[#This Row],[Price]]="",""," (+"&amp;TEXT(Size2851[[#This Row],[Price]],"$0.00")&amp;")")</f>
        <v>3T</v>
      </c>
      <c r="AX31" s="234" t="str">
        <f aca="false">Size2851[[#This Row],[Size]]&amp;IF(Size2851[[#This Row],[Price]]="",""," (+"&amp;TEXT(Size2851[[#This Row],[Price]],"$0.00")&amp;")")</f>
        <v>3T</v>
      </c>
      <c r="AZ31" s="224" t="s">
        <v>153</v>
      </c>
    </row>
    <row r="32" customFormat="false" ht="14.25" hidden="false" customHeight="false" outlineLevel="0" collapsed="false">
      <c r="AF32" s="231" t="s">
        <v>296</v>
      </c>
      <c r="AG32" s="231"/>
      <c r="AH32" s="231" t="str">
        <f aca="false">Collar1949[[#This Row],[Collar]]&amp;IF(Collar1949[[#This Row],[Price]]="",""," (+"&amp;TEXT(Collar1949[[#This Row],[Price]],"$0.00"&amp;")"))</f>
        <v>1/4 Zip Polo (+$20.00)</v>
      </c>
      <c r="AI32" s="236" t="s">
        <v>375</v>
      </c>
      <c r="AJ32" s="251" t="n">
        <v>20</v>
      </c>
      <c r="AK32" s="252" t="s">
        <v>80</v>
      </c>
      <c r="AL32" s="252" t="s">
        <v>156</v>
      </c>
      <c r="AM32" s="252" t="str">
        <f aca="false">Collar1949[[#This Row],[Collection]]&amp;Collar1949[[#This Row],[Sleeve]]</f>
        <v>TourShort</v>
      </c>
      <c r="AN32" s="231"/>
      <c r="AO32" s="231"/>
      <c r="AP32" s="231"/>
      <c r="AQ32" s="231"/>
      <c r="AR32" s="231"/>
      <c r="AS32" s="231"/>
      <c r="AU32" s="237" t="s">
        <v>376</v>
      </c>
      <c r="AV32" s="231" t="n">
        <v>30</v>
      </c>
      <c r="AW32" s="231" t="str">
        <f aca="false">Size2851[[#This Row],[Size]]&amp;IF(Size2851[[#This Row],[Price]]="",""," (+"&amp;TEXT(Size2851[[#This Row],[Price]],"$0.00")&amp;")")</f>
        <v>4T</v>
      </c>
      <c r="AX32" s="234" t="str">
        <f aca="false">Size2851[[#This Row],[Size]]&amp;IF(Size2851[[#This Row],[Price]]="",""," (+"&amp;TEXT(Size2851[[#This Row],[Price]],"$0.00")&amp;")")</f>
        <v>4T</v>
      </c>
      <c r="AZ32" s="224" t="s">
        <v>153</v>
      </c>
    </row>
    <row r="33" customFormat="false" ht="14.25" hidden="false" customHeight="false" outlineLevel="0" collapsed="false">
      <c r="AF33" s="249" t="s">
        <v>306</v>
      </c>
      <c r="AG33" s="249"/>
      <c r="AH33" s="231" t="str">
        <f aca="false">Collar1949[[#This Row],[Collar]]&amp;IF(Collar1949[[#This Row],[Price]]="",""," (+"&amp;TEXT(Collar1949[[#This Row],[Price]],"$0.00"&amp;")"))</f>
        <v>Mock Turtleneck (+$20.00)</v>
      </c>
      <c r="AI33" s="250" t="s">
        <v>377</v>
      </c>
      <c r="AJ33" s="251" t="n">
        <v>20</v>
      </c>
      <c r="AK33" s="247" t="s">
        <v>80</v>
      </c>
      <c r="AL33" s="252" t="s">
        <v>156</v>
      </c>
      <c r="AM33" s="247" t="str">
        <f aca="false">Collar1949[[#This Row],[Collection]]&amp;Collar1949[[#This Row],[Sleeve]]</f>
        <v>TourShort</v>
      </c>
      <c r="AN33" s="231"/>
      <c r="AO33" s="231"/>
      <c r="AP33" s="231"/>
      <c r="AQ33" s="231"/>
      <c r="AR33" s="231"/>
      <c r="AS33" s="231"/>
      <c r="AU33" s="237" t="s">
        <v>378</v>
      </c>
      <c r="AV33" s="231" t="n">
        <v>31</v>
      </c>
      <c r="AW33" s="231" t="str">
        <f aca="false">Size2851[[#This Row],[Size]]&amp;IF(Size2851[[#This Row],[Price]]="",""," (+"&amp;TEXT(Size2851[[#This Row],[Price]],"$0.00")&amp;")")</f>
        <v>5T</v>
      </c>
      <c r="AX33" s="234" t="str">
        <f aca="false">Size2851[[#This Row],[Size]]&amp;IF(Size2851[[#This Row],[Price]]="",""," (+"&amp;TEXT(Size2851[[#This Row],[Price]],"$0.00")&amp;")")</f>
        <v>5T</v>
      </c>
      <c r="AZ33" s="224" t="s">
        <v>153</v>
      </c>
    </row>
    <row r="34" customFormat="false" ht="14.25" hidden="false" customHeight="false" outlineLevel="0" collapsed="false">
      <c r="AF34" s="231" t="s">
        <v>198</v>
      </c>
      <c r="AG34" s="231"/>
      <c r="AH34" s="231" t="str">
        <f aca="false">Collar1949[[#This Row],[Collar]]&amp;IF(Collar1949[[#This Row],[Price]]="",""," (+"&amp;TEXT(Collar1949[[#This Row],[Price]],"$0.00"&amp;")"))</f>
        <v>1/4 Zip Sash (+$20.00)</v>
      </c>
      <c r="AI34" s="236" t="s">
        <v>379</v>
      </c>
      <c r="AJ34" s="251" t="n">
        <v>20</v>
      </c>
      <c r="AK34" s="252" t="s">
        <v>240</v>
      </c>
      <c r="AL34" s="252" t="s">
        <v>156</v>
      </c>
      <c r="AM34" s="252" t="str">
        <f aca="false">Collar1949[[#This Row],[Collection]]&amp;Collar1949[[#This Row],[Sleeve]]</f>
        <v>TourLong</v>
      </c>
      <c r="AN34" s="231"/>
      <c r="AO34" s="231"/>
      <c r="AP34" s="231"/>
      <c r="AQ34" s="231"/>
      <c r="AR34" s="231"/>
      <c r="AS34" s="231"/>
    </row>
    <row r="35" customFormat="false" ht="14.25" hidden="false" customHeight="false" outlineLevel="0" collapsed="false">
      <c r="AF35" s="249" t="s">
        <v>221</v>
      </c>
      <c r="AG35" s="249"/>
      <c r="AH35" s="231" t="str">
        <f aca="false">Collar1949[[#This Row],[Collar]]&amp;IF(Collar1949[[#This Row],[Price]]="",""," (+"&amp;TEXT(Collar1949[[#This Row],[Price]],"$0.00"&amp;")"))</f>
        <v>Polo (+$20.00)</v>
      </c>
      <c r="AI35" s="250" t="s">
        <v>380</v>
      </c>
      <c r="AJ35" s="251" t="n">
        <v>20</v>
      </c>
      <c r="AK35" s="247" t="s">
        <v>240</v>
      </c>
      <c r="AL35" s="252" t="s">
        <v>156</v>
      </c>
      <c r="AM35" s="247" t="str">
        <f aca="false">Collar1949[[#This Row],[Collection]]&amp;Collar1949[[#This Row],[Sleeve]]</f>
        <v>TourLong</v>
      </c>
      <c r="AN35" s="231"/>
      <c r="AO35" s="231"/>
      <c r="AP35" s="231"/>
      <c r="AQ35" s="231"/>
      <c r="AR35" s="231"/>
      <c r="AS35" s="231"/>
    </row>
    <row r="36" customFormat="false" ht="14.25" hidden="false" customHeight="false" outlineLevel="0" collapsed="false">
      <c r="AF36" s="231" t="s">
        <v>242</v>
      </c>
      <c r="AG36" s="231"/>
      <c r="AH36" s="231" t="str">
        <f aca="false">Collar1949[[#This Row],[Collar]]&amp;IF(Collar1949[[#This Row],[Price]]="",""," (+"&amp;TEXT(Collar1949[[#This Row],[Price]],"$0.00"&amp;")"))</f>
        <v>V-Neck</v>
      </c>
      <c r="AI36" s="236" t="s">
        <v>381</v>
      </c>
      <c r="AJ36" s="262"/>
      <c r="AK36" s="252" t="s">
        <v>240</v>
      </c>
      <c r="AL36" s="252" t="s">
        <v>156</v>
      </c>
      <c r="AM36" s="252" t="str">
        <f aca="false">Collar1949[[#This Row],[Collection]]&amp;Collar1949[[#This Row],[Sleeve]]</f>
        <v>TourLong</v>
      </c>
      <c r="AN36" s="231"/>
      <c r="AO36" s="231"/>
      <c r="AP36" s="231"/>
      <c r="AQ36" s="231"/>
      <c r="AR36" s="231"/>
      <c r="AS36" s="231"/>
    </row>
    <row r="37" customFormat="false" ht="14.25" hidden="false" customHeight="false" outlineLevel="0" collapsed="false">
      <c r="AF37" s="249" t="s">
        <v>260</v>
      </c>
      <c r="AG37" s="249"/>
      <c r="AH37" s="231" t="str">
        <f aca="false">Collar1949[[#This Row],[Collar]]&amp;IF(Collar1949[[#This Row],[Price]]="",""," (+"&amp;TEXT(Collar1949[[#This Row],[Price]],"$0.00"&amp;")"))</f>
        <v>Crew</v>
      </c>
      <c r="AI37" s="250" t="s">
        <v>382</v>
      </c>
      <c r="AJ37" s="251"/>
      <c r="AK37" s="247" t="s">
        <v>240</v>
      </c>
      <c r="AL37" s="252" t="s">
        <v>156</v>
      </c>
      <c r="AM37" s="247" t="str">
        <f aca="false">Collar1949[[#This Row],[Collection]]&amp;Collar1949[[#This Row],[Sleeve]]</f>
        <v>TourLong</v>
      </c>
      <c r="AN37" s="231"/>
      <c r="AO37" s="231"/>
      <c r="AP37" s="231"/>
      <c r="AQ37" s="231"/>
      <c r="AR37" s="231"/>
      <c r="AS37" s="231"/>
    </row>
    <row r="38" customFormat="false" ht="14.25" hidden="false" customHeight="false" outlineLevel="0" collapsed="false">
      <c r="AF38" s="231" t="s">
        <v>296</v>
      </c>
      <c r="AG38" s="231"/>
      <c r="AH38" s="231" t="str">
        <f aca="false">Collar1949[[#This Row],[Collar]]&amp;IF(Collar1949[[#This Row],[Price]]="",""," (+"&amp;TEXT(Collar1949[[#This Row],[Price]],"$0.00"&amp;")"))</f>
        <v>1/4 Zip Polo (+$20.00)</v>
      </c>
      <c r="AI38" s="236" t="s">
        <v>383</v>
      </c>
      <c r="AJ38" s="251" t="n">
        <v>20</v>
      </c>
      <c r="AK38" s="252" t="s">
        <v>240</v>
      </c>
      <c r="AL38" s="252" t="s">
        <v>156</v>
      </c>
      <c r="AM38" s="252" t="str">
        <f aca="false">Collar1949[[#This Row],[Collection]]&amp;Collar1949[[#This Row],[Sleeve]]</f>
        <v>TourLong</v>
      </c>
      <c r="AN38" s="231"/>
      <c r="AO38" s="231"/>
      <c r="AP38" s="231"/>
      <c r="AQ38" s="231"/>
      <c r="AR38" s="231"/>
      <c r="AS38" s="231"/>
    </row>
    <row r="39" customFormat="false" ht="14.25" hidden="false" customHeight="false" outlineLevel="0" collapsed="false">
      <c r="AF39" s="231"/>
      <c r="AG39" s="231"/>
      <c r="AN39" s="231"/>
      <c r="AO39" s="231"/>
      <c r="AP39" s="231"/>
      <c r="AQ39" s="231"/>
      <c r="AR39" s="231"/>
      <c r="AS39" s="231"/>
    </row>
    <row r="40" customFormat="false" ht="14.25" hidden="false" customHeight="false" outlineLevel="0" collapsed="false">
      <c r="AF40" s="231"/>
      <c r="AG40" s="231"/>
      <c r="AN40" s="231"/>
      <c r="AO40" s="252"/>
      <c r="AP40" s="252"/>
      <c r="AQ40" s="252"/>
      <c r="AR40" s="252"/>
      <c r="AS40" s="252"/>
    </row>
    <row r="41" customFormat="false" ht="14.25" hidden="false" customHeight="false" outlineLevel="0" collapsed="false">
      <c r="AF41" s="231"/>
      <c r="AG41" s="231"/>
      <c r="AN41" s="231"/>
    </row>
    <row r="42" customFormat="false" ht="14.25" hidden="false" customHeight="false" outlineLevel="0" collapsed="false">
      <c r="AN42" s="252"/>
    </row>
    <row r="78" customFormat="false" ht="23.25" hidden="false" customHeight="true" outlineLevel="0" collapsed="false"/>
    <row r="79" customFormat="false" ht="14.25" hidden="false" customHeight="true" outlineLevel="0" collapsed="false"/>
    <row r="80" customFormat="false" ht="14.25" hidden="false" customHeight="true" outlineLevel="0" collapsed="false"/>
    <row r="81" customFormat="false" ht="15" hidden="false" customHeight="true" outlineLevel="0" collapsed="false"/>
    <row r="92" customFormat="false" ht="14.25" hidden="false" customHeight="false" outlineLevel="0" collapsed="false">
      <c r="EW92" s="245"/>
      <c r="EX92" s="245"/>
      <c r="EY92" s="245"/>
    </row>
    <row r="93" customFormat="false" ht="14.25" hidden="false" customHeight="false" outlineLevel="0" collapsed="false">
      <c r="EW93" s="234"/>
      <c r="EX93" s="234"/>
      <c r="EY93" s="234"/>
    </row>
    <row r="94" customFormat="false" ht="14.25" hidden="false" customHeight="false" outlineLevel="0" collapsed="false">
      <c r="EW94" s="234"/>
      <c r="EX94" s="234"/>
      <c r="EY94" s="234"/>
    </row>
    <row r="95" customFormat="false" ht="14.25" hidden="false" customHeight="false" outlineLevel="0" collapsed="false">
      <c r="EW95" s="234"/>
      <c r="EX95" s="234"/>
      <c r="EY95" s="234"/>
    </row>
    <row r="96" customFormat="false" ht="14.25" hidden="false" customHeight="false" outlineLevel="0" collapsed="false">
      <c r="EW96" s="234"/>
      <c r="EX96" s="234"/>
      <c r="EY96" s="234"/>
    </row>
    <row r="97" customFormat="false" ht="14.25" hidden="false" customHeight="false" outlineLevel="0" collapsed="false">
      <c r="EW97" s="234"/>
      <c r="EX97" s="234"/>
      <c r="EY97" s="234"/>
    </row>
    <row r="98" customFormat="false" ht="14.25" hidden="false" customHeight="false" outlineLevel="0" collapsed="false">
      <c r="EW98" s="234"/>
      <c r="EX98" s="234"/>
      <c r="EY98" s="234"/>
    </row>
    <row r="99" customFormat="false" ht="14.25" hidden="false" customHeight="false" outlineLevel="0" collapsed="false">
      <c r="EW99" s="234"/>
      <c r="EX99" s="234"/>
      <c r="EY99" s="234"/>
    </row>
    <row r="100" customFormat="false" ht="14.25" hidden="false" customHeight="false" outlineLevel="0" collapsed="false">
      <c r="EW100" s="234"/>
      <c r="EX100" s="234"/>
      <c r="EY100" s="234"/>
    </row>
    <row r="101" customFormat="false" ht="14.25" hidden="false" customHeight="false" outlineLevel="0" collapsed="false">
      <c r="EW101" s="234"/>
      <c r="EX101" s="234"/>
      <c r="EY101" s="234"/>
    </row>
    <row r="102" customFormat="false" ht="14.25" hidden="false" customHeight="false" outlineLevel="0" collapsed="false">
      <c r="EW102" s="234"/>
      <c r="EX102" s="234"/>
      <c r="EY102" s="234"/>
    </row>
    <row r="103" customFormat="false" ht="14.25" hidden="false" customHeight="false" outlineLevel="0" collapsed="false">
      <c r="EW103" s="234"/>
      <c r="EX103" s="234"/>
      <c r="EY103" s="234"/>
    </row>
    <row r="104" customFormat="false" ht="14.25" hidden="false" customHeight="false" outlineLevel="0" collapsed="false">
      <c r="EW104" s="234"/>
      <c r="EX104" s="234"/>
      <c r="EY104" s="234"/>
    </row>
    <row r="105" customFormat="false" ht="14.25" hidden="false" customHeight="false" outlineLevel="0" collapsed="false">
      <c r="EW105" s="234"/>
      <c r="EX105" s="234"/>
      <c r="EY105" s="234"/>
    </row>
    <row r="106" customFormat="false" ht="14.25" hidden="false" customHeight="false" outlineLevel="0" collapsed="false">
      <c r="EW106" s="234"/>
      <c r="EX106" s="234"/>
      <c r="EY106" s="234"/>
    </row>
    <row r="107" customFormat="false" ht="14.25" hidden="false" customHeight="false" outlineLevel="0" collapsed="false">
      <c r="EW107" s="234"/>
      <c r="EX107" s="234"/>
      <c r="EY107" s="234"/>
    </row>
    <row r="108" customFormat="false" ht="14.25" hidden="false" customHeight="false" outlineLevel="0" collapsed="false">
      <c r="EW108" s="234"/>
      <c r="EX108" s="234"/>
      <c r="EY108" s="234"/>
    </row>
    <row r="109" customFormat="false" ht="14.25" hidden="false" customHeight="false" outlineLevel="0" collapsed="false">
      <c r="EW109" s="234"/>
      <c r="EX109" s="234"/>
      <c r="EY109" s="234"/>
    </row>
    <row r="110" customFormat="false" ht="14.25" hidden="false" customHeight="false" outlineLevel="0" collapsed="false">
      <c r="EW110" s="234"/>
      <c r="EX110" s="234"/>
      <c r="EY110" s="234"/>
    </row>
  </sheetData>
  <sheetProtection algorithmName="SHA-512" hashValue="QAofsdwpjLXWfZAcENYPH1gku9U3oAiATE365ySOmB/b9vgJ6hxsEEy+T1Qs1U7ExGMTlRYlAmfwvqG7Z9BsLw==" saltValue="9oHJYW7cRd2tgk6Yqu1dZA==" spinCount="100000" sheet="true" objects="true" scenarios="true"/>
  <protectedRanges>
    <protectedRange name="IHD_3" sqref="EZ5:EZ7"/>
    <protectedRange name="ProductionPriority_3" sqref="EF3:EF13"/>
  </protectedRanges>
  <mergeCells count="14">
    <mergeCell ref="A1:C1"/>
    <mergeCell ref="E1:N1"/>
    <mergeCell ref="P1:T1"/>
    <mergeCell ref="V1:AD1"/>
    <mergeCell ref="AF1:AS1"/>
    <mergeCell ref="AU1:BJ1"/>
    <mergeCell ref="BL1:BR1"/>
    <mergeCell ref="BT1:BZ1"/>
    <mergeCell ref="CB1:CH1"/>
    <mergeCell ref="CJ1:CP1"/>
    <mergeCell ref="CR1:DA1"/>
    <mergeCell ref="DC1:DN1"/>
    <mergeCell ref="DR1:EL1"/>
    <mergeCell ref="EN1:EX1"/>
  </mergeCells>
  <dataValidations count="2">
    <dataValidation allowBlank="true" errorStyle="stop" operator="between" showDropDown="false" showErrorMessage="true" showInputMessage="true" sqref="EF3:EF6 DK5 EF7:EF13" type="list">
      <formula1>$DD$3:$DD$5</formula1>
      <formula2>0</formula2>
    </dataValidation>
    <dataValidation allowBlank="true" errorStyle="stop" operator="between" showDropDown="false" showErrorMessage="true" showInputMessage="true" sqref="AO16" type="list">
      <formula1>"UNIQUE(FILTER(V3:V39,AA3:AA39=AA3))"</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tableParts>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s>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item1.xml><?xml version="1.0" encoding="utf-8"?>
<DataMashup xmlns="http://schemas.microsoft.com/DataMashup">AAAAABMDAABQSwMEFAACAAgAKXW7WiLkOfyjAAAA9gAAABIAHABDb25maWcvUGFja2FnZS54bWwgohgAKKAUAAAAAAAAAAAAAAAAAAAAAAAAAAAAhY9BDoIwFESvQrqnhaqJIZ+ycCuJCdG4bWqFRvgYWix3c+GRvIIYRd25nDdvMXO/3iAbmjq46M6aFlMS04gEGlV7MFimpHfHcEkyARupTrLUwSijTQZ7SEnl3DlhzHtP/Yy2Xcl4FMVsn68LVelGko9s/suhQeskKk0E7F5jBKfxnFO+GDcBmyDkBr8CH7tn+wNh1deu77TQGG4LYFME9v4gHlBLAwQUAAIACAApdbt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KXW7WiiKR7gOAAAAEQAAABMAHABGb3JtdWxhcy9TZWN0aW9uMS5tIKIYACigFAAAAAAAAAAAAAAAAAAAAAAAAAAAACtOTS7JzM9TCIbQhtYAUEsBAi0AFAACAAgAKXW7WiLkOfyjAAAA9gAAABIAAAAAAAAAAAAAAAAAAAAAAENvbmZpZy9QYWNrYWdlLnhtbFBLAQItABQAAgAIACl1u1oPyumrpAAAAOkAAAATAAAAAAAAAAAAAAAAAO8AAABbQ29udGVudF9UeXBlc10ueG1sUEsBAi0AFAACAAgAKXW7W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G7vIYHc5ntEqssKXIaZaOAAAAAAAgAAAAAAEGYAAAABAAAgAAAAc6MUqtfdW5RyAGP1TOPp+4g4EAK3ghP6WcQ0kpsMbgcAAAAADoAAAAACAAAgAAAAHju2FbRU6H8Z7mfrVXDgE4bDLVq6AinSJstwTsx8OXpQAAAArbsGOF2ZhMptpHJeH9FSz1puyy0qysLQCGYHTX8JHWTD0kDNkEtCDAiRcCV939fnkTOgSBYoDXxrZ/Pdn5hQ/q54XF7OM2dTcaoJRdHyyPJAAAAA7qv7kUnWAzBUksHX4e9o243wWviZYBDnVBJkEDMQd8bh+QvFv306dv/0Amq9saCI/zZUwyBhuRHu5ErVvjh16Q==</DataMashup>
</file>

<file path=customXml/itemProps1.xml><?xml version="1.0" encoding="utf-8"?>
<ds:datastoreItem xmlns:ds="http://schemas.openxmlformats.org/officeDocument/2006/customXml" ds:itemID="{300C7AA3-16C9-4429-AAF8-BBBE7B49A4C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2024-03-10T20:37:48Z</dcterms:created>
  <dc:creator>Steve Fairchild</dc:creator>
  <dc:description/>
  <dc:language>en-US</dc:language>
  <cp:lastModifiedBy/>
  <cp:lastPrinted>2026-03-18T18:20:36Z</cp:lastPrinted>
  <dcterms:modified xsi:type="dcterms:W3CDTF">2026-03-25T16:36:14Z</dcterms:modified>
  <cp:revision>3</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2.7.1</vt:lpwstr>
  </property>
</Properties>
</file>