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codeName="ThisWorkbook"/>
  <mc:AlternateContent xmlns:mc="http://schemas.openxmlformats.org/markup-compatibility/2006">
    <mc:Choice Requires="x15">
      <x15ac:absPath xmlns:x15ac="http://schemas.microsoft.com/office/spreadsheetml/2010/11/ac" url="/Users/rolandoarriaza/Downloads/"/>
    </mc:Choice>
  </mc:AlternateContent>
  <xr:revisionPtr revIDLastSave="0" documentId="13_ncr:1_{90D23164-7F69-0941-8D46-8277DB559808}" xr6:coauthVersionLast="47" xr6:coauthVersionMax="47" xr10:uidLastSave="{00000000-0000-0000-0000-000000000000}"/>
  <workbookProtection workbookAlgorithmName="SHA-512" workbookHashValue="noQi4ATTLm+y7cmCe192ww4tVPxr2dT+z2UZmN0PXChIrLnDiKbqy5/jvX1XRAm9fB0F2wBjXl0S3NxKD5MRjg==" workbookSaltValue="91aPPqUmr6gzae9WdJBDsw==" workbookSpinCount="100000" lockStructure="1"/>
  <bookViews>
    <workbookView xWindow="38240" yWindow="2180" windowWidth="25820" windowHeight="15500" activeTab="1" xr2:uid="{00000000-000D-0000-FFFF-FFFF00000000}"/>
  </bookViews>
  <sheets>
    <sheet name="Summary" sheetId="4" state="hidden" r:id="rId1"/>
    <sheet name="Bulk Order Details" sheetId="3" r:id="rId2"/>
    <sheet name="Pricing Details" sheetId="1" state="hidden" r:id="rId3"/>
    <sheet name="Prices" sheetId="2" state="hidden" r:id="rId4"/>
  </sheets>
  <definedNames>
    <definedName name="BOD_Discount">'Bulk Order Details'!$F$3</definedName>
    <definedName name="BOD_IHD">'Bulk Order Details'!$F$8</definedName>
    <definedName name="BOD_ProdPriorityFee">'Bulk Order Details'!$F$4</definedName>
    <definedName name="BOD_ShippingFee">'Bulk Order Details'!$F$5</definedName>
    <definedName name="BOD_Subtotal">'Bulk Order Details'!$F$2</definedName>
    <definedName name="BOD_Total">'Bulk Order Details'!$F$6</definedName>
    <definedName name="CustGroup">Summary!$D$2</definedName>
    <definedName name="CustomLogos">Summary!$D$5</definedName>
    <definedName name="FullSKU">'Pricing Details'!$AE$3:$AP$304</definedName>
    <definedName name="Jerseys">Summary!$D$8</definedName>
    <definedName name="Mens">Prices!$BB$3:$BB$17</definedName>
    <definedName name="MensCut">Prices!$K$3:$K$4</definedName>
    <definedName name="Performance">Prices!$AC$3:$AC$8</definedName>
    <definedName name="PerformanceLong">Prices!$AQ$3:$AQ$23</definedName>
    <definedName name="PerformanceShort">Prices!$AO$3:$AO$23</definedName>
    <definedName name="PerformanceSleeveless">Prices!$AP$3:$AP$23</definedName>
    <definedName name="_xlnm.Print_Area" localSheetId="1">'Bulk Order Details'!$B$2:$Z$313</definedName>
    <definedName name="ProductionFee">'Bulk Order Details'!$F$4</definedName>
    <definedName name="Reorder">Summary!$D$3</definedName>
    <definedName name="Selected_ProdPriority">'Bulk Order Details'!$D$4</definedName>
    <definedName name="Shipping">Summary!$D$4</definedName>
    <definedName name="TeamAssuranceQuote">Summary!$D$24</definedName>
    <definedName name="Toddler">Prices!$BE$3:$BE$16</definedName>
    <definedName name="ToddlerCut">Prices!$N$3</definedName>
    <definedName name="Tour">Prices!$AD$3:$AD$8</definedName>
    <definedName name="TourLong">Prices!$AS$3:$AS$23</definedName>
    <definedName name="TourShort">Prices!$AR$3:$AR$23</definedName>
    <definedName name="Womens">Prices!$BC$3:$BC$16</definedName>
    <definedName name="WomensCut">Prices!$L$3:$L$4</definedName>
    <definedName name="Youth">Prices!$BD$3:$BD$16</definedName>
    <definedName name="YouthCut">Prices!$M$3:$M$4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13" i="3" l="1"/>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W29" i="2"/>
  <c r="BN23" i="2"/>
  <c r="CD15" i="2"/>
  <c r="CD14" i="2"/>
  <c r="CD13" i="2"/>
  <c r="CD12" i="2" l="1"/>
  <c r="CD11" i="2"/>
  <c r="CD10" i="2"/>
  <c r="CD9" i="2"/>
  <c r="CD8" i="2"/>
  <c r="CD7" i="2"/>
  <c r="CD6" i="2"/>
  <c r="CD5" i="2"/>
  <c r="CD4" i="2"/>
  <c r="CD3" i="2"/>
  <c r="BV12" i="2"/>
  <c r="BV11" i="2"/>
  <c r="BV10" i="2"/>
  <c r="BV9" i="2"/>
  <c r="BV8" i="2"/>
  <c r="BV7" i="2"/>
  <c r="BV6" i="2"/>
  <c r="BV5" i="2"/>
  <c r="BV4" i="2"/>
  <c r="BV3" i="2"/>
  <c r="B9" i="4"/>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BN22" i="2"/>
  <c r="BN21" i="2"/>
  <c r="BN20" i="2"/>
  <c r="BN19" i="2"/>
  <c r="BN18" i="2"/>
  <c r="BN17" i="2"/>
  <c r="BN16" i="2"/>
  <c r="BN15" i="2"/>
  <c r="BN14" i="2"/>
  <c r="BN13" i="2"/>
  <c r="BN12" i="2"/>
  <c r="BN11" i="2"/>
  <c r="BN10" i="2"/>
  <c r="BN9" i="2"/>
  <c r="BN8" i="2"/>
  <c r="BN7" i="2"/>
  <c r="BN6" i="2"/>
  <c r="BN5" i="2"/>
  <c r="N13" i="3"/>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CL4" i="2"/>
  <c r="CL3" i="2"/>
  <c r="CL8" i="2"/>
  <c r="CL7" i="2"/>
  <c r="CL6" i="2"/>
  <c r="CL5" i="2"/>
  <c r="K3" i="2"/>
  <c r="N3" i="2"/>
  <c r="M3" i="2"/>
  <c r="L4" i="2"/>
  <c r="L3" i="2"/>
  <c r="K4" i="2"/>
  <c r="AX33" i="2"/>
  <c r="AX32" i="2"/>
  <c r="AX31" i="2"/>
  <c r="AX30" i="2"/>
  <c r="AW33" i="2"/>
  <c r="AW32" i="2"/>
  <c r="AW31" i="2"/>
  <c r="AW30" i="2"/>
  <c r="AW28" i="2"/>
  <c r="AW27" i="2"/>
  <c r="AW26" i="2"/>
  <c r="AW25" i="2"/>
  <c r="AW24" i="2"/>
  <c r="AW23" i="2"/>
  <c r="AW22" i="2"/>
  <c r="AW21" i="2"/>
  <c r="AW20" i="2"/>
  <c r="AW19" i="2"/>
  <c r="AW18" i="2"/>
  <c r="AW17" i="2"/>
  <c r="AW16" i="2"/>
  <c r="AW15" i="2"/>
  <c r="AW14" i="2"/>
  <c r="AD3" i="2" a="1"/>
  <c r="AD3" i="2" s="1"/>
  <c r="AC3" i="2" a="1"/>
  <c r="AC3" i="2" s="1"/>
  <c r="AM3" i="2"/>
  <c r="AM4" i="2"/>
  <c r="AM5" i="2"/>
  <c r="AM6" i="2"/>
  <c r="AM7" i="2"/>
  <c r="AM8" i="2"/>
  <c r="AM9" i="2"/>
  <c r="AM10" i="2"/>
  <c r="AM11" i="2"/>
  <c r="AM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H7" i="2"/>
  <c r="AH6" i="2"/>
  <c r="AH5" i="2"/>
  <c r="AH4" i="2"/>
  <c r="AH3" i="2"/>
  <c r="J4" i="1" s="1"/>
  <c r="X3" i="2"/>
  <c r="I4" i="1" s="1"/>
  <c r="X4" i="2"/>
  <c r="X5" i="2"/>
  <c r="X6" i="2"/>
  <c r="X7" i="2"/>
  <c r="Q4" i="2"/>
  <c r="EB4" i="2"/>
  <c r="EC4" i="2" s="1"/>
  <c r="EB3" i="2"/>
  <c r="EB5" i="2"/>
  <c r="EC5" i="2" s="1"/>
  <c r="EB6" i="2"/>
  <c r="EC6" i="2" s="1"/>
  <c r="EB7" i="2"/>
  <c r="EB8" i="2"/>
  <c r="EC8" i="2" s="1"/>
  <c r="EB9" i="2"/>
  <c r="EB10" i="2"/>
  <c r="EB11" i="2"/>
  <c r="EB12" i="2"/>
  <c r="EB13" i="2"/>
  <c r="DH3" i="2"/>
  <c r="DI3" i="2" s="1"/>
  <c r="DH4" i="2"/>
  <c r="DH5" i="2"/>
  <c r="B6" i="3"/>
  <c r="E7" i="3"/>
  <c r="F7" i="3"/>
  <c r="R9" i="3"/>
  <c r="P7" i="3"/>
  <c r="EL12" i="2"/>
  <c r="EL11" i="2"/>
  <c r="EL10" i="2"/>
  <c r="EL9" i="2"/>
  <c r="EL8" i="2"/>
  <c r="EL7" i="2"/>
  <c r="EL6" i="2"/>
  <c r="EL5" i="2"/>
  <c r="EL4" i="2"/>
  <c r="EL13" i="2"/>
  <c r="D6" i="4" a="1"/>
  <c r="D6" i="4" s="1"/>
  <c r="D16" i="4"/>
  <c r="C22" i="4" s="1"/>
  <c r="E8" i="3"/>
  <c r="BE3" i="2" l="1" a="1"/>
  <c r="BE3" i="2" s="1"/>
  <c r="BD3" i="2" a="1"/>
  <c r="BD3" i="2" s="1"/>
  <c r="BC3" i="2" a="1"/>
  <c r="BC3" i="2" s="1"/>
  <c r="AR3" i="2" a="1"/>
  <c r="AR3" i="2" s="1"/>
  <c r="AQ3" i="2" a="1"/>
  <c r="AQ3" i="2" s="1"/>
  <c r="AO3" i="2" a="1"/>
  <c r="AO3" i="2" s="1"/>
  <c r="AS3" i="2" a="1"/>
  <c r="AS3" i="2" s="1"/>
  <c r="AP3" i="2" a="1"/>
  <c r="AP3" i="2" s="1"/>
  <c r="ED6" i="2"/>
  <c r="EE6" i="2" s="1"/>
  <c r="EC3" i="2"/>
  <c r="ED3" i="2" s="1"/>
  <c r="ED8" i="2"/>
  <c r="EE8" i="2" s="1"/>
  <c r="ED5" i="2"/>
  <c r="ED4" i="2"/>
  <c r="EE4" i="2" s="1"/>
  <c r="EC10" i="2"/>
  <c r="ED10" i="2" s="1"/>
  <c r="EC13" i="2"/>
  <c r="ED13" i="2" s="1"/>
  <c r="EC12" i="2"/>
  <c r="ED12" i="2" s="1"/>
  <c r="EC11" i="2"/>
  <c r="ED11" i="2" s="1"/>
  <c r="EC9" i="2"/>
  <c r="ED9" i="2" s="1"/>
  <c r="EC7" i="2"/>
  <c r="ED7" i="2" s="1"/>
  <c r="EE7" i="2" s="1"/>
  <c r="EG8" i="2" l="1"/>
  <c r="EH8" i="2" s="1"/>
  <c r="EI8" i="2" s="1"/>
  <c r="EG4" i="2"/>
  <c r="EH4" i="2" s="1"/>
  <c r="EI4" i="2" s="1"/>
  <c r="EG6" i="2"/>
  <c r="EH6" i="2" s="1"/>
  <c r="EI6" i="2" s="1"/>
  <c r="EG9" i="2"/>
  <c r="EH9" i="2" s="1"/>
  <c r="EI9" i="2" s="1"/>
  <c r="EE9" i="2"/>
  <c r="EG10" i="2"/>
  <c r="EH10" i="2" s="1"/>
  <c r="EI10" i="2" s="1"/>
  <c r="Q10" i="3" s="1"/>
  <c r="EE10" i="2"/>
  <c r="EG11" i="2"/>
  <c r="EH11" i="2" s="1"/>
  <c r="EI11" i="2" s="1"/>
  <c r="EE11" i="2"/>
  <c r="EG12" i="2"/>
  <c r="EH12" i="2" s="1"/>
  <c r="EI12" i="2" s="1"/>
  <c r="EE12" i="2"/>
  <c r="EG13" i="2"/>
  <c r="EH13" i="2" s="1"/>
  <c r="EI13" i="2" s="1"/>
  <c r="EE13" i="2"/>
  <c r="EG5" i="2"/>
  <c r="EH5" i="2" s="1"/>
  <c r="EI5" i="2" s="1"/>
  <c r="EE5" i="2"/>
  <c r="EG3" i="2"/>
  <c r="EH3" i="2" s="1"/>
  <c r="EI3" i="2" s="1"/>
  <c r="EE3" i="2"/>
  <c r="EG7" i="2"/>
  <c r="EH7" i="2" s="1"/>
  <c r="EI7" i="2" s="1"/>
  <c r="Q9" i="3" l="1"/>
  <c r="P9" i="3" s="1"/>
  <c r="B9" i="3"/>
  <c r="Q8" i="3"/>
  <c r="G8" i="3" s="1"/>
  <c r="Q3" i="3"/>
  <c r="Q7" i="3"/>
  <c r="Q6" i="3"/>
  <c r="P6" i="3" s="1"/>
  <c r="Q4" i="3"/>
  <c r="P4" i="3" s="1"/>
  <c r="Z4" i="1"/>
  <c r="AA14" i="3" s="1"/>
  <c r="Z5" i="1"/>
  <c r="AA15" i="3" s="1"/>
  <c r="Z6" i="1"/>
  <c r="AA16" i="3" s="1"/>
  <c r="Z7" i="1"/>
  <c r="AA17" i="3" s="1"/>
  <c r="Z8" i="1"/>
  <c r="AA18" i="3" s="1"/>
  <c r="Z9" i="1"/>
  <c r="Z10" i="1"/>
  <c r="AA20" i="3" s="1"/>
  <c r="Z11" i="1"/>
  <c r="Z12" i="1"/>
  <c r="AA22" i="3" s="1"/>
  <c r="Z13" i="1"/>
  <c r="AA23" i="3" s="1"/>
  <c r="Z14" i="1"/>
  <c r="AA24" i="3" s="1"/>
  <c r="Z15" i="1"/>
  <c r="AA25" i="3" s="1"/>
  <c r="Z16" i="1"/>
  <c r="AA26" i="3" s="1"/>
  <c r="Z17" i="1"/>
  <c r="AA27" i="3" s="1"/>
  <c r="Z18" i="1"/>
  <c r="AA28" i="3" s="1"/>
  <c r="Z19" i="1"/>
  <c r="AA29" i="3" s="1"/>
  <c r="Z20" i="1"/>
  <c r="AA30" i="3" s="1"/>
  <c r="Z21" i="1"/>
  <c r="AA31" i="3" s="1"/>
  <c r="Z22" i="1"/>
  <c r="Z23" i="1"/>
  <c r="Z24" i="1"/>
  <c r="AA34" i="3" s="1"/>
  <c r="Z25" i="1"/>
  <c r="AA35" i="3" s="1"/>
  <c r="Z26" i="1"/>
  <c r="AA36" i="3" s="1"/>
  <c r="Z27" i="1"/>
  <c r="AA37" i="3" s="1"/>
  <c r="Z28" i="1"/>
  <c r="AA38" i="3" s="1"/>
  <c r="Z29" i="1"/>
  <c r="AA39" i="3" s="1"/>
  <c r="Z30" i="1"/>
  <c r="AA40" i="3" s="1"/>
  <c r="Z31" i="1"/>
  <c r="AA41" i="3" s="1"/>
  <c r="Z32" i="1"/>
  <c r="AA42" i="3" s="1"/>
  <c r="Z33" i="1"/>
  <c r="AA43" i="3" s="1"/>
  <c r="Z34" i="1"/>
  <c r="AA44" i="3" s="1"/>
  <c r="Z35" i="1"/>
  <c r="AA45" i="3" s="1"/>
  <c r="Z36" i="1"/>
  <c r="AA46" i="3" s="1"/>
  <c r="Z37" i="1"/>
  <c r="AA47" i="3" s="1"/>
  <c r="Z38" i="1"/>
  <c r="Z39" i="1"/>
  <c r="AA49" i="3" s="1"/>
  <c r="Z40" i="1"/>
  <c r="Z41" i="1"/>
  <c r="AA51" i="3" s="1"/>
  <c r="Z42" i="1"/>
  <c r="AA52" i="3" s="1"/>
  <c r="Z43" i="1"/>
  <c r="AA53" i="3" s="1"/>
  <c r="Z44" i="1"/>
  <c r="AA54" i="3" s="1"/>
  <c r="Z45" i="1"/>
  <c r="AA55" i="3" s="1"/>
  <c r="Z46" i="1"/>
  <c r="AA56" i="3" s="1"/>
  <c r="Z47" i="1"/>
  <c r="AA57" i="3" s="1"/>
  <c r="Z48" i="1"/>
  <c r="AA58" i="3" s="1"/>
  <c r="Z49" i="1"/>
  <c r="AA59" i="3" s="1"/>
  <c r="Z50" i="1"/>
  <c r="AA60" i="3" s="1"/>
  <c r="Z51" i="1"/>
  <c r="AA61" i="3" s="1"/>
  <c r="Z52" i="1"/>
  <c r="AA62" i="3" s="1"/>
  <c r="Z53" i="1"/>
  <c r="AA63" i="3" s="1"/>
  <c r="Z54" i="1"/>
  <c r="AA64" i="3" s="1"/>
  <c r="Z55" i="1"/>
  <c r="Z56" i="1"/>
  <c r="Z57" i="1"/>
  <c r="AA67" i="3" s="1"/>
  <c r="Z58" i="1"/>
  <c r="Z59" i="1"/>
  <c r="Z60" i="1"/>
  <c r="AA70" i="3" s="1"/>
  <c r="Z61" i="1"/>
  <c r="AA71" i="3" s="1"/>
  <c r="Z62" i="1"/>
  <c r="AA72" i="3" s="1"/>
  <c r="Z63" i="1"/>
  <c r="AA73" i="3" s="1"/>
  <c r="Z64" i="1"/>
  <c r="AA74" i="3" s="1"/>
  <c r="Z65" i="1"/>
  <c r="AA75" i="3" s="1"/>
  <c r="Z66" i="1"/>
  <c r="AA76" i="3" s="1"/>
  <c r="Z67" i="1"/>
  <c r="AA77" i="3" s="1"/>
  <c r="Z68" i="1"/>
  <c r="AA78" i="3" s="1"/>
  <c r="Z69" i="1"/>
  <c r="AA79" i="3" s="1"/>
  <c r="Z70" i="1"/>
  <c r="Z71" i="1"/>
  <c r="Z72" i="1"/>
  <c r="AA82" i="3" s="1"/>
  <c r="Z73" i="1"/>
  <c r="AA83" i="3" s="1"/>
  <c r="Z74" i="1"/>
  <c r="AA84" i="3" s="1"/>
  <c r="Z75" i="1"/>
  <c r="AA85" i="3" s="1"/>
  <c r="Z76" i="1"/>
  <c r="AA86" i="3" s="1"/>
  <c r="Z77" i="1"/>
  <c r="AA87" i="3" s="1"/>
  <c r="Z78" i="1"/>
  <c r="AA88" i="3" s="1"/>
  <c r="Z79" i="1"/>
  <c r="AA89" i="3" s="1"/>
  <c r="Z80" i="1"/>
  <c r="AA90" i="3" s="1"/>
  <c r="Z81" i="1"/>
  <c r="AA91" i="3" s="1"/>
  <c r="Z82" i="1"/>
  <c r="AA92" i="3" s="1"/>
  <c r="Z83" i="1"/>
  <c r="AA93" i="3" s="1"/>
  <c r="Z84" i="1"/>
  <c r="AA94" i="3" s="1"/>
  <c r="Z85" i="1"/>
  <c r="AA95" i="3" s="1"/>
  <c r="Z86" i="1"/>
  <c r="Z87" i="1"/>
  <c r="AA97" i="3" s="1"/>
  <c r="Z88" i="1"/>
  <c r="AA98" i="3" s="1"/>
  <c r="Z89" i="1"/>
  <c r="AA99" i="3" s="1"/>
  <c r="Z90" i="1"/>
  <c r="AA100" i="3" s="1"/>
  <c r="Z91" i="1"/>
  <c r="AA101" i="3" s="1"/>
  <c r="Z92" i="1"/>
  <c r="AA102" i="3" s="1"/>
  <c r="Z93" i="1"/>
  <c r="AA103" i="3" s="1"/>
  <c r="Z94" i="1"/>
  <c r="AA104" i="3" s="1"/>
  <c r="Z95" i="1"/>
  <c r="Z96" i="1"/>
  <c r="AA106" i="3" s="1"/>
  <c r="Z97" i="1"/>
  <c r="AA107" i="3" s="1"/>
  <c r="Z98" i="1"/>
  <c r="AA108" i="3" s="1"/>
  <c r="Z99" i="1"/>
  <c r="AA109" i="3" s="1"/>
  <c r="Z100" i="1"/>
  <c r="AA110" i="3" s="1"/>
  <c r="Z101" i="1"/>
  <c r="AA111" i="3" s="1"/>
  <c r="Z102" i="1"/>
  <c r="Z103" i="1"/>
  <c r="Z104" i="1"/>
  <c r="Z105" i="1"/>
  <c r="AA115" i="3" s="1"/>
  <c r="Z106" i="1"/>
  <c r="AA116" i="3" s="1"/>
  <c r="Z107" i="1"/>
  <c r="AA117" i="3" s="1"/>
  <c r="Z108" i="1"/>
  <c r="AA118" i="3" s="1"/>
  <c r="Z109" i="1"/>
  <c r="AA119" i="3" s="1"/>
  <c r="Z110" i="1"/>
  <c r="AA120" i="3" s="1"/>
  <c r="Z111" i="1"/>
  <c r="AA121" i="3" s="1"/>
  <c r="Z112" i="1"/>
  <c r="AA122" i="3" s="1"/>
  <c r="Z113" i="1"/>
  <c r="AA123" i="3" s="1"/>
  <c r="Z114" i="1"/>
  <c r="AA124" i="3" s="1"/>
  <c r="Z115" i="1"/>
  <c r="AA125" i="3" s="1"/>
  <c r="Z116" i="1"/>
  <c r="AA126" i="3" s="1"/>
  <c r="Z117" i="1"/>
  <c r="AA127" i="3" s="1"/>
  <c r="Z118" i="1"/>
  <c r="Z119" i="1"/>
  <c r="Z120" i="1"/>
  <c r="AA130" i="3" s="1"/>
  <c r="Z121" i="1"/>
  <c r="AA131" i="3" s="1"/>
  <c r="Z122" i="1"/>
  <c r="AA132" i="3" s="1"/>
  <c r="Z123" i="1"/>
  <c r="AA133" i="3" s="1"/>
  <c r="Z124" i="1"/>
  <c r="AA134" i="3" s="1"/>
  <c r="Z125" i="1"/>
  <c r="AA135" i="3" s="1"/>
  <c r="Z126" i="1"/>
  <c r="AA136" i="3" s="1"/>
  <c r="Z127" i="1"/>
  <c r="AA137" i="3" s="1"/>
  <c r="Z128" i="1"/>
  <c r="AA138" i="3" s="1"/>
  <c r="Z129" i="1"/>
  <c r="AA139" i="3" s="1"/>
  <c r="Z130" i="1"/>
  <c r="AA140" i="3" s="1"/>
  <c r="Z131" i="1"/>
  <c r="AA141" i="3" s="1"/>
  <c r="Z132" i="1"/>
  <c r="AA142" i="3" s="1"/>
  <c r="Z133" i="1"/>
  <c r="AA143" i="3" s="1"/>
  <c r="Z134" i="1"/>
  <c r="Z135" i="1"/>
  <c r="Z136" i="1"/>
  <c r="Z137" i="1"/>
  <c r="AA147" i="3" s="1"/>
  <c r="Z138" i="1"/>
  <c r="Z139" i="1"/>
  <c r="AA149" i="3" s="1"/>
  <c r="Z140" i="1"/>
  <c r="AA150" i="3" s="1"/>
  <c r="Z141" i="1"/>
  <c r="AA151" i="3" s="1"/>
  <c r="Z142" i="1"/>
  <c r="AA152" i="3" s="1"/>
  <c r="Z143" i="1"/>
  <c r="AA153" i="3" s="1"/>
  <c r="Z144" i="1"/>
  <c r="AA154" i="3" s="1"/>
  <c r="Z145" i="1"/>
  <c r="AA155" i="3" s="1"/>
  <c r="Z146" i="1"/>
  <c r="AA156" i="3" s="1"/>
  <c r="Z147" i="1"/>
  <c r="AA157" i="3" s="1"/>
  <c r="Z148" i="1"/>
  <c r="AA158" i="3" s="1"/>
  <c r="Z149" i="1"/>
  <c r="AA159" i="3" s="1"/>
  <c r="Z150" i="1"/>
  <c r="AA160" i="3" s="1"/>
  <c r="Z151" i="1"/>
  <c r="Z152" i="1"/>
  <c r="Z153" i="1"/>
  <c r="AA163" i="3" s="1"/>
  <c r="Z154" i="1"/>
  <c r="AA164" i="3" s="1"/>
  <c r="Z155" i="1"/>
  <c r="AA165" i="3" s="1"/>
  <c r="Z156" i="1"/>
  <c r="AA166" i="3" s="1"/>
  <c r="Z157" i="1"/>
  <c r="AA167" i="3" s="1"/>
  <c r="Z158" i="1"/>
  <c r="AA168" i="3" s="1"/>
  <c r="Z159" i="1"/>
  <c r="AA169" i="3" s="1"/>
  <c r="Z160" i="1"/>
  <c r="AA170" i="3" s="1"/>
  <c r="Z161" i="1"/>
  <c r="AA171" i="3" s="1"/>
  <c r="Z162" i="1"/>
  <c r="AA172" i="3" s="1"/>
  <c r="Z163" i="1"/>
  <c r="AA173" i="3" s="1"/>
  <c r="Z164" i="1"/>
  <c r="AA174" i="3" s="1"/>
  <c r="Z165" i="1"/>
  <c r="AA175" i="3" s="1"/>
  <c r="Z166" i="1"/>
  <c r="Z167" i="1"/>
  <c r="Z168" i="1"/>
  <c r="AA178" i="3" s="1"/>
  <c r="Z169" i="1"/>
  <c r="AA179" i="3" s="1"/>
  <c r="Z170" i="1"/>
  <c r="Z171" i="1"/>
  <c r="Z172" i="1"/>
  <c r="AA182" i="3" s="1"/>
  <c r="Z173" i="1"/>
  <c r="AA183" i="3" s="1"/>
  <c r="Z174" i="1"/>
  <c r="AA184" i="3" s="1"/>
  <c r="Z175" i="1"/>
  <c r="Z176" i="1"/>
  <c r="AA186" i="3" s="1"/>
  <c r="Z177" i="1"/>
  <c r="AA187" i="3" s="1"/>
  <c r="Z178" i="1"/>
  <c r="AA188" i="3" s="1"/>
  <c r="Z179" i="1"/>
  <c r="AA189" i="3" s="1"/>
  <c r="Z180" i="1"/>
  <c r="AA190" i="3" s="1"/>
  <c r="Z181" i="1"/>
  <c r="AA191" i="3" s="1"/>
  <c r="Z182" i="1"/>
  <c r="Z183" i="1"/>
  <c r="Z184" i="1"/>
  <c r="AA194" i="3" s="1"/>
  <c r="Z185" i="1"/>
  <c r="AA195" i="3" s="1"/>
  <c r="Z186" i="1"/>
  <c r="Z187" i="1"/>
  <c r="AA197" i="3" s="1"/>
  <c r="Z188" i="1"/>
  <c r="AA198" i="3" s="1"/>
  <c r="Z189" i="1"/>
  <c r="AA199" i="3" s="1"/>
  <c r="Z190" i="1"/>
  <c r="AA200" i="3" s="1"/>
  <c r="Z191" i="1"/>
  <c r="AA201" i="3" s="1"/>
  <c r="Z192" i="1"/>
  <c r="AA202" i="3" s="1"/>
  <c r="Z193" i="1"/>
  <c r="AA203" i="3" s="1"/>
  <c r="Z194" i="1"/>
  <c r="AA204" i="3" s="1"/>
  <c r="Z195" i="1"/>
  <c r="AA205" i="3" s="1"/>
  <c r="Z196" i="1"/>
  <c r="AA206" i="3" s="1"/>
  <c r="Z197" i="1"/>
  <c r="AA207" i="3" s="1"/>
  <c r="Z198" i="1"/>
  <c r="AA208" i="3" s="1"/>
  <c r="Z199" i="1"/>
  <c r="AA209" i="3" s="1"/>
  <c r="Z200" i="1"/>
  <c r="Z201" i="1"/>
  <c r="AA211" i="3" s="1"/>
  <c r="Z202" i="1"/>
  <c r="Z203" i="1"/>
  <c r="Z204" i="1"/>
  <c r="AA214" i="3" s="1"/>
  <c r="Z205" i="1"/>
  <c r="AA215" i="3" s="1"/>
  <c r="Z206" i="1"/>
  <c r="AA216" i="3" s="1"/>
  <c r="Z207" i="1"/>
  <c r="AA217" i="3" s="1"/>
  <c r="Z208" i="1"/>
  <c r="AA218" i="3" s="1"/>
  <c r="Z209" i="1"/>
  <c r="AA219" i="3" s="1"/>
  <c r="Z210" i="1"/>
  <c r="AA220" i="3" s="1"/>
  <c r="Z211" i="1"/>
  <c r="AA221" i="3" s="1"/>
  <c r="Z212" i="1"/>
  <c r="AA222" i="3" s="1"/>
  <c r="Z213" i="1"/>
  <c r="AA223" i="3" s="1"/>
  <c r="Z214" i="1"/>
  <c r="Z215" i="1"/>
  <c r="Z216" i="1"/>
  <c r="Z217" i="1"/>
  <c r="AA227" i="3" s="1"/>
  <c r="Z218" i="1"/>
  <c r="AA228" i="3" s="1"/>
  <c r="Z219" i="1"/>
  <c r="AA229" i="3" s="1"/>
  <c r="Z220" i="1"/>
  <c r="AA230" i="3" s="1"/>
  <c r="Z221" i="1"/>
  <c r="AA231" i="3" s="1"/>
  <c r="Z222" i="1"/>
  <c r="AA232" i="3" s="1"/>
  <c r="Z223" i="1"/>
  <c r="AA233" i="3" s="1"/>
  <c r="Z224" i="1"/>
  <c r="AA234" i="3" s="1"/>
  <c r="Z225" i="1"/>
  <c r="AA235" i="3" s="1"/>
  <c r="Z226" i="1"/>
  <c r="AA236" i="3" s="1"/>
  <c r="Z227" i="1"/>
  <c r="AA237" i="3" s="1"/>
  <c r="Z228" i="1"/>
  <c r="AA238" i="3" s="1"/>
  <c r="Z229" i="1"/>
  <c r="AA239" i="3" s="1"/>
  <c r="Z230" i="1"/>
  <c r="Z231" i="1"/>
  <c r="AA241" i="3" s="1"/>
  <c r="Z232" i="1"/>
  <c r="AA242" i="3" s="1"/>
  <c r="Z233" i="1"/>
  <c r="AA243" i="3" s="1"/>
  <c r="Z234" i="1"/>
  <c r="AA244" i="3" s="1"/>
  <c r="Z235" i="1"/>
  <c r="Z236" i="1"/>
  <c r="AA246" i="3" s="1"/>
  <c r="Z237" i="1"/>
  <c r="AA247" i="3" s="1"/>
  <c r="Z238" i="1"/>
  <c r="AA248" i="3" s="1"/>
  <c r="Z239" i="1"/>
  <c r="Z240" i="1"/>
  <c r="AA250" i="3" s="1"/>
  <c r="Z241" i="1"/>
  <c r="AA251" i="3" s="1"/>
  <c r="Z242" i="1"/>
  <c r="AA252" i="3" s="1"/>
  <c r="Z243" i="1"/>
  <c r="AA253" i="3" s="1"/>
  <c r="Z244" i="1"/>
  <c r="AA254" i="3" s="1"/>
  <c r="Z245" i="1"/>
  <c r="AA255" i="3" s="1"/>
  <c r="Z246" i="1"/>
  <c r="Z247" i="1"/>
  <c r="Z248" i="1"/>
  <c r="Z249" i="1"/>
  <c r="AA259" i="3" s="1"/>
  <c r="Z250" i="1"/>
  <c r="AA260" i="3" s="1"/>
  <c r="Z251" i="1"/>
  <c r="AA261" i="3" s="1"/>
  <c r="Z252" i="1"/>
  <c r="AA262" i="3" s="1"/>
  <c r="Z253" i="1"/>
  <c r="AA263" i="3" s="1"/>
  <c r="Z254" i="1"/>
  <c r="AA264" i="3" s="1"/>
  <c r="Z255" i="1"/>
  <c r="AA265" i="3" s="1"/>
  <c r="Z256" i="1"/>
  <c r="AA266" i="3" s="1"/>
  <c r="Z257" i="1"/>
  <c r="AA267" i="3" s="1"/>
  <c r="Z258" i="1"/>
  <c r="AA268" i="3" s="1"/>
  <c r="Z259" i="1"/>
  <c r="AA269" i="3" s="1"/>
  <c r="Z260" i="1"/>
  <c r="AA270" i="3" s="1"/>
  <c r="Z261" i="1"/>
  <c r="AA271" i="3" s="1"/>
  <c r="Z262" i="1"/>
  <c r="Z263" i="1"/>
  <c r="Z264" i="1"/>
  <c r="Z265" i="1"/>
  <c r="AA275" i="3" s="1"/>
  <c r="Z266" i="1"/>
  <c r="AA276" i="3" s="1"/>
  <c r="Z267" i="1"/>
  <c r="AA277" i="3" s="1"/>
  <c r="Z268" i="1"/>
  <c r="AA278" i="3" s="1"/>
  <c r="Z269" i="1"/>
  <c r="AA279" i="3" s="1"/>
  <c r="Z270" i="1"/>
  <c r="AA280" i="3" s="1"/>
  <c r="Z271" i="1"/>
  <c r="AA281" i="3" s="1"/>
  <c r="Z272" i="1"/>
  <c r="AA282" i="3" s="1"/>
  <c r="Z273" i="1"/>
  <c r="AA283" i="3" s="1"/>
  <c r="Z274" i="1"/>
  <c r="AA284" i="3" s="1"/>
  <c r="Z275" i="1"/>
  <c r="AA285" i="3" s="1"/>
  <c r="Z276" i="1"/>
  <c r="AA286" i="3" s="1"/>
  <c r="Z277" i="1"/>
  <c r="AA287" i="3" s="1"/>
  <c r="Z278" i="1"/>
  <c r="Z279" i="1"/>
  <c r="Z280" i="1"/>
  <c r="Z281" i="1"/>
  <c r="AA291" i="3" s="1"/>
  <c r="Z282" i="1"/>
  <c r="Z283" i="1"/>
  <c r="AA293" i="3" s="1"/>
  <c r="Z284" i="1"/>
  <c r="AA294" i="3" s="1"/>
  <c r="Z285" i="1"/>
  <c r="AA295" i="3" s="1"/>
  <c r="Z286" i="1"/>
  <c r="AA296" i="3" s="1"/>
  <c r="Z287" i="1"/>
  <c r="AA297" i="3" s="1"/>
  <c r="Z288" i="1"/>
  <c r="AA298" i="3" s="1"/>
  <c r="Z289" i="1"/>
  <c r="AA299" i="3" s="1"/>
  <c r="Z290" i="1"/>
  <c r="AA300" i="3" s="1"/>
  <c r="Z291" i="1"/>
  <c r="AA301" i="3" s="1"/>
  <c r="Z292" i="1"/>
  <c r="AA302" i="3" s="1"/>
  <c r="Z293" i="1"/>
  <c r="AA303" i="3" s="1"/>
  <c r="Z294" i="1"/>
  <c r="Z295" i="1"/>
  <c r="AA305" i="3" s="1"/>
  <c r="Z296" i="1"/>
  <c r="AA306" i="3" s="1"/>
  <c r="Z297" i="1"/>
  <c r="AA307" i="3" s="1"/>
  <c r="Z298" i="1"/>
  <c r="AA308" i="3" s="1"/>
  <c r="Z299" i="1"/>
  <c r="AA309" i="3" s="1"/>
  <c r="Z300" i="1"/>
  <c r="AA310" i="3" s="1"/>
  <c r="Z301" i="1"/>
  <c r="AA311" i="3" s="1"/>
  <c r="Z302" i="1"/>
  <c r="AA312" i="3" s="1"/>
  <c r="Z303" i="1"/>
  <c r="AA313" i="3" s="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6" i="1"/>
  <c r="AG275" i="1"/>
  <c r="AG274" i="1"/>
  <c r="AG273" i="1"/>
  <c r="AG272"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AG4" i="1"/>
  <c r="R2" i="3" l="1"/>
  <c r="P3" i="3"/>
  <c r="AA96" i="3"/>
  <c r="AA105" i="3"/>
  <c r="AA112" i="3"/>
  <c r="AA113" i="3"/>
  <c r="AA128" i="3"/>
  <c r="AA185" i="3"/>
  <c r="AA225" i="3"/>
  <c r="AA245" i="3"/>
  <c r="AA249" i="3"/>
  <c r="AA256" i="3"/>
  <c r="AA257" i="3"/>
  <c r="AA81" i="3"/>
  <c r="AA114" i="3"/>
  <c r="AA273" i="3"/>
  <c r="AA161" i="3"/>
  <c r="AA33" i="3"/>
  <c r="AA181" i="3"/>
  <c r="AA180" i="3"/>
  <c r="AA48" i="3"/>
  <c r="AA32" i="3"/>
  <c r="AA50" i="3"/>
  <c r="AA192" i="3"/>
  <c r="AA258" i="3"/>
  <c r="AA65" i="3"/>
  <c r="AA193" i="3"/>
  <c r="AA66" i="3"/>
  <c r="AA210" i="3"/>
  <c r="AA176" i="3"/>
  <c r="AA80" i="3"/>
  <c r="AA224" i="3"/>
  <c r="AA129" i="3"/>
  <c r="AA196" i="3"/>
  <c r="AA272" i="3"/>
  <c r="AA68" i="3"/>
  <c r="AA144" i="3"/>
  <c r="AA212" i="3"/>
  <c r="AA274" i="3"/>
  <c r="AA69" i="3"/>
  <c r="AA145" i="3"/>
  <c r="AA213" i="3"/>
  <c r="AA288" i="3"/>
  <c r="AA146" i="3"/>
  <c r="AA289" i="3"/>
  <c r="AA148" i="3"/>
  <c r="AA290" i="3"/>
  <c r="AA292" i="3"/>
  <c r="AA162" i="3"/>
  <c r="AA226" i="3"/>
  <c r="AA304" i="3"/>
  <c r="AA177" i="3"/>
  <c r="AA240" i="3"/>
  <c r="AA19" i="3"/>
  <c r="D8" i="4"/>
  <c r="AA21" i="3"/>
  <c r="AO303" i="1"/>
  <c r="AN303" i="1"/>
  <c r="AL303" i="1"/>
  <c r="AK303" i="1"/>
  <c r="AJ303" i="1"/>
  <c r="AI303" i="1"/>
  <c r="AH303" i="1"/>
  <c r="AF303" i="1"/>
  <c r="AE303" i="1"/>
  <c r="AP303" i="1" s="1"/>
  <c r="AO302" i="1"/>
  <c r="AN302" i="1"/>
  <c r="AL302" i="1"/>
  <c r="AK302" i="1"/>
  <c r="AJ302" i="1"/>
  <c r="AI302" i="1"/>
  <c r="AH302" i="1"/>
  <c r="AF302" i="1"/>
  <c r="AE302" i="1"/>
  <c r="AP302" i="1" s="1"/>
  <c r="AO301" i="1"/>
  <c r="AN301" i="1"/>
  <c r="AL301" i="1"/>
  <c r="AK301" i="1"/>
  <c r="AJ301" i="1"/>
  <c r="AI301" i="1"/>
  <c r="AH301" i="1"/>
  <c r="AF301" i="1"/>
  <c r="AE301" i="1"/>
  <c r="AP301" i="1" s="1"/>
  <c r="AO300" i="1"/>
  <c r="AN300" i="1"/>
  <c r="AL300" i="1"/>
  <c r="AK300" i="1"/>
  <c r="AJ300" i="1"/>
  <c r="AI300" i="1"/>
  <c r="AH300" i="1"/>
  <c r="AF300" i="1"/>
  <c r="AE300" i="1"/>
  <c r="AP300" i="1" s="1"/>
  <c r="AO299" i="1"/>
  <c r="AN299" i="1"/>
  <c r="AL299" i="1"/>
  <c r="AK299" i="1"/>
  <c r="AJ299" i="1"/>
  <c r="AI299" i="1"/>
  <c r="AH299" i="1"/>
  <c r="AF299" i="1"/>
  <c r="AE299" i="1"/>
  <c r="AP299" i="1" s="1"/>
  <c r="AO298" i="1"/>
  <c r="AN298" i="1"/>
  <c r="AL298" i="1"/>
  <c r="AK298" i="1"/>
  <c r="AJ298" i="1"/>
  <c r="AI298" i="1"/>
  <c r="AH298" i="1"/>
  <c r="AF298" i="1"/>
  <c r="AE298" i="1"/>
  <c r="AP298" i="1" s="1"/>
  <c r="AO297" i="1"/>
  <c r="AN297" i="1"/>
  <c r="AL297" i="1"/>
  <c r="AK297" i="1"/>
  <c r="AJ297" i="1"/>
  <c r="AI297" i="1"/>
  <c r="AH297" i="1"/>
  <c r="AF297" i="1"/>
  <c r="AE297" i="1"/>
  <c r="AP297" i="1" s="1"/>
  <c r="AO296" i="1"/>
  <c r="AN296" i="1"/>
  <c r="AL296" i="1"/>
  <c r="AK296" i="1"/>
  <c r="AJ296" i="1"/>
  <c r="AI296" i="1"/>
  <c r="AH296" i="1"/>
  <c r="AF296" i="1"/>
  <c r="AE296" i="1"/>
  <c r="AP296" i="1" s="1"/>
  <c r="AO295" i="1"/>
  <c r="AN295" i="1"/>
  <c r="AL295" i="1"/>
  <c r="AK295" i="1"/>
  <c r="AJ295" i="1"/>
  <c r="AI295" i="1"/>
  <c r="AH295" i="1"/>
  <c r="AF295" i="1"/>
  <c r="AE295" i="1"/>
  <c r="AP295" i="1" s="1"/>
  <c r="AO294" i="1"/>
  <c r="AN294" i="1"/>
  <c r="AL294" i="1"/>
  <c r="AK294" i="1"/>
  <c r="AJ294" i="1"/>
  <c r="AI294" i="1"/>
  <c r="AH294" i="1"/>
  <c r="AF294" i="1"/>
  <c r="AE294" i="1"/>
  <c r="AP294" i="1" s="1"/>
  <c r="AO293" i="1"/>
  <c r="AN293" i="1"/>
  <c r="AL293" i="1"/>
  <c r="AK293" i="1"/>
  <c r="AJ293" i="1"/>
  <c r="AI293" i="1"/>
  <c r="AH293" i="1"/>
  <c r="AF293" i="1"/>
  <c r="AE293" i="1"/>
  <c r="AP293" i="1" s="1"/>
  <c r="AO292" i="1"/>
  <c r="AN292" i="1"/>
  <c r="AL292" i="1"/>
  <c r="AK292" i="1"/>
  <c r="AJ292" i="1"/>
  <c r="AI292" i="1"/>
  <c r="AH292" i="1"/>
  <c r="AF292" i="1"/>
  <c r="AE292" i="1"/>
  <c r="AP292" i="1" s="1"/>
  <c r="AO291" i="1"/>
  <c r="AN291" i="1"/>
  <c r="AL291" i="1"/>
  <c r="AK291" i="1"/>
  <c r="AJ291" i="1"/>
  <c r="AI291" i="1"/>
  <c r="AH291" i="1"/>
  <c r="AF291" i="1"/>
  <c r="AE291" i="1"/>
  <c r="AP291" i="1" s="1"/>
  <c r="AO290" i="1"/>
  <c r="AN290" i="1"/>
  <c r="AL290" i="1"/>
  <c r="AK290" i="1"/>
  <c r="AJ290" i="1"/>
  <c r="AI290" i="1"/>
  <c r="AH290" i="1"/>
  <c r="AF290" i="1"/>
  <c r="AE290" i="1"/>
  <c r="AP290" i="1" s="1"/>
  <c r="AO289" i="1"/>
  <c r="AN289" i="1"/>
  <c r="AL289" i="1"/>
  <c r="AK289" i="1"/>
  <c r="AJ289" i="1"/>
  <c r="AI289" i="1"/>
  <c r="AH289" i="1"/>
  <c r="AF289" i="1"/>
  <c r="AE289" i="1"/>
  <c r="AP289" i="1" s="1"/>
  <c r="AO288" i="1"/>
  <c r="AN288" i="1"/>
  <c r="AL288" i="1"/>
  <c r="AK288" i="1"/>
  <c r="AJ288" i="1"/>
  <c r="AI288" i="1"/>
  <c r="AH288" i="1"/>
  <c r="AF288" i="1"/>
  <c r="AE288" i="1"/>
  <c r="AP288" i="1" s="1"/>
  <c r="AO287" i="1"/>
  <c r="AN287" i="1"/>
  <c r="AL287" i="1"/>
  <c r="AK287" i="1"/>
  <c r="AJ287" i="1"/>
  <c r="AI287" i="1"/>
  <c r="AH287" i="1"/>
  <c r="AF287" i="1"/>
  <c r="AE287" i="1"/>
  <c r="AP287" i="1" s="1"/>
  <c r="AO286" i="1"/>
  <c r="AN286" i="1"/>
  <c r="AL286" i="1"/>
  <c r="AK286" i="1"/>
  <c r="AJ286" i="1"/>
  <c r="AI286" i="1"/>
  <c r="AH286" i="1"/>
  <c r="AF286" i="1"/>
  <c r="AE286" i="1"/>
  <c r="AP286" i="1" s="1"/>
  <c r="AO285" i="1"/>
  <c r="AN285" i="1"/>
  <c r="AL285" i="1"/>
  <c r="AK285" i="1"/>
  <c r="AJ285" i="1"/>
  <c r="AI285" i="1"/>
  <c r="AH285" i="1"/>
  <c r="AF285" i="1"/>
  <c r="AE285" i="1"/>
  <c r="AP285" i="1" s="1"/>
  <c r="AO284" i="1"/>
  <c r="AN284" i="1"/>
  <c r="AL284" i="1"/>
  <c r="AK284" i="1"/>
  <c r="AJ284" i="1"/>
  <c r="AI284" i="1"/>
  <c r="AH284" i="1"/>
  <c r="AF284" i="1"/>
  <c r="AE284" i="1"/>
  <c r="AP284" i="1" s="1"/>
  <c r="AO283" i="1"/>
  <c r="AN283" i="1"/>
  <c r="AL283" i="1"/>
  <c r="AK283" i="1"/>
  <c r="AJ283" i="1"/>
  <c r="AI283" i="1"/>
  <c r="AH283" i="1"/>
  <c r="AF283" i="1"/>
  <c r="AE283" i="1"/>
  <c r="AP283" i="1" s="1"/>
  <c r="AO282" i="1"/>
  <c r="AN282" i="1"/>
  <c r="AL282" i="1"/>
  <c r="AK282" i="1"/>
  <c r="AJ282" i="1"/>
  <c r="AI282" i="1"/>
  <c r="AH282" i="1"/>
  <c r="AF282" i="1"/>
  <c r="AE282" i="1"/>
  <c r="AP282" i="1" s="1"/>
  <c r="AO281" i="1"/>
  <c r="AN281" i="1"/>
  <c r="AL281" i="1"/>
  <c r="AK281" i="1"/>
  <c r="AJ281" i="1"/>
  <c r="AI281" i="1"/>
  <c r="AH281" i="1"/>
  <c r="AF281" i="1"/>
  <c r="AE281" i="1"/>
  <c r="AP281" i="1" s="1"/>
  <c r="AO280" i="1"/>
  <c r="AN280" i="1"/>
  <c r="AL280" i="1"/>
  <c r="AK280" i="1"/>
  <c r="AJ280" i="1"/>
  <c r="AI280" i="1"/>
  <c r="AH280" i="1"/>
  <c r="AF280" i="1"/>
  <c r="AE280" i="1"/>
  <c r="AP280" i="1" s="1"/>
  <c r="AO279" i="1"/>
  <c r="AN279" i="1"/>
  <c r="AL279" i="1"/>
  <c r="AK279" i="1"/>
  <c r="AJ279" i="1"/>
  <c r="AI279" i="1"/>
  <c r="AH279" i="1"/>
  <c r="AF279" i="1"/>
  <c r="AE279" i="1"/>
  <c r="AP279" i="1" s="1"/>
  <c r="AO278" i="1"/>
  <c r="AN278" i="1"/>
  <c r="AL278" i="1"/>
  <c r="AK278" i="1"/>
  <c r="AJ278" i="1"/>
  <c r="AI278" i="1"/>
  <c r="AH278" i="1"/>
  <c r="AF278" i="1"/>
  <c r="AE278" i="1"/>
  <c r="AP278" i="1" s="1"/>
  <c r="AO277" i="1"/>
  <c r="AN277" i="1"/>
  <c r="AL277" i="1"/>
  <c r="AK277" i="1"/>
  <c r="AJ277" i="1"/>
  <c r="AI277" i="1"/>
  <c r="AH277" i="1"/>
  <c r="AF277" i="1"/>
  <c r="AE277" i="1"/>
  <c r="AP277" i="1" s="1"/>
  <c r="AO276" i="1"/>
  <c r="AN276" i="1"/>
  <c r="AL276" i="1"/>
  <c r="AK276" i="1"/>
  <c r="AJ276" i="1"/>
  <c r="AI276" i="1"/>
  <c r="AH276" i="1"/>
  <c r="AF276" i="1"/>
  <c r="AE276" i="1"/>
  <c r="AP276" i="1" s="1"/>
  <c r="AO275" i="1"/>
  <c r="AN275" i="1"/>
  <c r="AL275" i="1"/>
  <c r="AK275" i="1"/>
  <c r="AJ275" i="1"/>
  <c r="AI275" i="1"/>
  <c r="AH275" i="1"/>
  <c r="AF275" i="1"/>
  <c r="AE275" i="1"/>
  <c r="AP275" i="1" s="1"/>
  <c r="AO274" i="1"/>
  <c r="AN274" i="1"/>
  <c r="AL274" i="1"/>
  <c r="AK274" i="1"/>
  <c r="AJ274" i="1"/>
  <c r="AI274" i="1"/>
  <c r="AH274" i="1"/>
  <c r="AF274" i="1"/>
  <c r="AE274" i="1"/>
  <c r="AP274" i="1" s="1"/>
  <c r="AO273" i="1"/>
  <c r="AN273" i="1"/>
  <c r="AL273" i="1"/>
  <c r="AK273" i="1"/>
  <c r="AJ273" i="1"/>
  <c r="AI273" i="1"/>
  <c r="AH273" i="1"/>
  <c r="AF273" i="1"/>
  <c r="AE273" i="1"/>
  <c r="AP273" i="1" s="1"/>
  <c r="AO272" i="1"/>
  <c r="AN272" i="1"/>
  <c r="AL272" i="1"/>
  <c r="AK272" i="1"/>
  <c r="AJ272" i="1"/>
  <c r="AI272" i="1"/>
  <c r="AH272" i="1"/>
  <c r="AF272" i="1"/>
  <c r="AE272" i="1"/>
  <c r="AP272" i="1" s="1"/>
  <c r="AO271" i="1"/>
  <c r="AN271" i="1"/>
  <c r="AL271" i="1"/>
  <c r="AK271" i="1"/>
  <c r="AJ271" i="1"/>
  <c r="AI271" i="1"/>
  <c r="AH271" i="1"/>
  <c r="AF271" i="1"/>
  <c r="AE271" i="1"/>
  <c r="AP271" i="1" s="1"/>
  <c r="AO270" i="1"/>
  <c r="AN270" i="1"/>
  <c r="AL270" i="1"/>
  <c r="AK270" i="1"/>
  <c r="AJ270" i="1"/>
  <c r="AI270" i="1"/>
  <c r="AH270" i="1"/>
  <c r="AF270" i="1"/>
  <c r="AE270" i="1"/>
  <c r="AP270" i="1" s="1"/>
  <c r="AO269" i="1"/>
  <c r="AN269" i="1"/>
  <c r="AL269" i="1"/>
  <c r="AK269" i="1"/>
  <c r="AJ269" i="1"/>
  <c r="AI269" i="1"/>
  <c r="AH269" i="1"/>
  <c r="AF269" i="1"/>
  <c r="AE269" i="1"/>
  <c r="AP269" i="1" s="1"/>
  <c r="AO268" i="1"/>
  <c r="AN268" i="1"/>
  <c r="AL268" i="1"/>
  <c r="AK268" i="1"/>
  <c r="AJ268" i="1"/>
  <c r="AI268" i="1"/>
  <c r="AH268" i="1"/>
  <c r="AF268" i="1"/>
  <c r="AE268" i="1"/>
  <c r="AP268" i="1" s="1"/>
  <c r="AO267" i="1"/>
  <c r="AN267" i="1"/>
  <c r="AL267" i="1"/>
  <c r="AK267" i="1"/>
  <c r="AJ267" i="1"/>
  <c r="AI267" i="1"/>
  <c r="AH267" i="1"/>
  <c r="AF267" i="1"/>
  <c r="AE267" i="1"/>
  <c r="AP267" i="1" s="1"/>
  <c r="AO266" i="1"/>
  <c r="AN266" i="1"/>
  <c r="AL266" i="1"/>
  <c r="AK266" i="1"/>
  <c r="AJ266" i="1"/>
  <c r="AI266" i="1"/>
  <c r="AH266" i="1"/>
  <c r="AF266" i="1"/>
  <c r="AE266" i="1"/>
  <c r="AP266" i="1" s="1"/>
  <c r="AO265" i="1"/>
  <c r="AN265" i="1"/>
  <c r="AL265" i="1"/>
  <c r="AK265" i="1"/>
  <c r="AJ265" i="1"/>
  <c r="AI265" i="1"/>
  <c r="AH265" i="1"/>
  <c r="AF265" i="1"/>
  <c r="AE265" i="1"/>
  <c r="AP265" i="1" s="1"/>
  <c r="AO264" i="1"/>
  <c r="AN264" i="1"/>
  <c r="AL264" i="1"/>
  <c r="AK264" i="1"/>
  <c r="AJ264" i="1"/>
  <c r="AI264" i="1"/>
  <c r="AH264" i="1"/>
  <c r="AF264" i="1"/>
  <c r="AE264" i="1"/>
  <c r="AP264" i="1" s="1"/>
  <c r="AO263" i="1"/>
  <c r="AN263" i="1"/>
  <c r="AL263" i="1"/>
  <c r="AK263" i="1"/>
  <c r="AJ263" i="1"/>
  <c r="AI263" i="1"/>
  <c r="AH263" i="1"/>
  <c r="AF263" i="1"/>
  <c r="AE263" i="1"/>
  <c r="AP263" i="1" s="1"/>
  <c r="AO262" i="1"/>
  <c r="AN262" i="1"/>
  <c r="AL262" i="1"/>
  <c r="AK262" i="1"/>
  <c r="AJ262" i="1"/>
  <c r="AI262" i="1"/>
  <c r="AH262" i="1"/>
  <c r="AF262" i="1"/>
  <c r="AE262" i="1"/>
  <c r="AP262" i="1" s="1"/>
  <c r="AO261" i="1"/>
  <c r="AN261" i="1"/>
  <c r="AL261" i="1"/>
  <c r="AK261" i="1"/>
  <c r="AJ261" i="1"/>
  <c r="AI261" i="1"/>
  <c r="AH261" i="1"/>
  <c r="AF261" i="1"/>
  <c r="AE261" i="1"/>
  <c r="AP261" i="1" s="1"/>
  <c r="AO260" i="1"/>
  <c r="AN260" i="1"/>
  <c r="AL260" i="1"/>
  <c r="AK260" i="1"/>
  <c r="AJ260" i="1"/>
  <c r="AI260" i="1"/>
  <c r="AH260" i="1"/>
  <c r="AF260" i="1"/>
  <c r="AE260" i="1"/>
  <c r="AP260" i="1" s="1"/>
  <c r="AO259" i="1"/>
  <c r="AN259" i="1"/>
  <c r="AL259" i="1"/>
  <c r="AK259" i="1"/>
  <c r="AJ259" i="1"/>
  <c r="AI259" i="1"/>
  <c r="AH259" i="1"/>
  <c r="AF259" i="1"/>
  <c r="AE259" i="1"/>
  <c r="AP259" i="1" s="1"/>
  <c r="AO258" i="1"/>
  <c r="AN258" i="1"/>
  <c r="AL258" i="1"/>
  <c r="AK258" i="1"/>
  <c r="AJ258" i="1"/>
  <c r="AI258" i="1"/>
  <c r="AH258" i="1"/>
  <c r="AF258" i="1"/>
  <c r="AE258" i="1"/>
  <c r="AP258" i="1" s="1"/>
  <c r="AO257" i="1"/>
  <c r="AN257" i="1"/>
  <c r="AL257" i="1"/>
  <c r="AK257" i="1"/>
  <c r="AJ257" i="1"/>
  <c r="AI257" i="1"/>
  <c r="AH257" i="1"/>
  <c r="AF257" i="1"/>
  <c r="AE257" i="1"/>
  <c r="AP257" i="1" s="1"/>
  <c r="AO256" i="1"/>
  <c r="AN256" i="1"/>
  <c r="AL256" i="1"/>
  <c r="AK256" i="1"/>
  <c r="AJ256" i="1"/>
  <c r="AI256" i="1"/>
  <c r="AH256" i="1"/>
  <c r="AF256" i="1"/>
  <c r="AE256" i="1"/>
  <c r="AP256" i="1" s="1"/>
  <c r="AO255" i="1"/>
  <c r="AN255" i="1"/>
  <c r="AL255" i="1"/>
  <c r="AK255" i="1"/>
  <c r="AJ255" i="1"/>
  <c r="AI255" i="1"/>
  <c r="AH255" i="1"/>
  <c r="AF255" i="1"/>
  <c r="AE255" i="1"/>
  <c r="AP255" i="1" s="1"/>
  <c r="AO254" i="1"/>
  <c r="AN254" i="1"/>
  <c r="AL254" i="1"/>
  <c r="AK254" i="1"/>
  <c r="AJ254" i="1"/>
  <c r="AI254" i="1"/>
  <c r="AH254" i="1"/>
  <c r="AF254" i="1"/>
  <c r="AE254" i="1"/>
  <c r="AP254" i="1" s="1"/>
  <c r="AO253" i="1"/>
  <c r="AN253" i="1"/>
  <c r="AL253" i="1"/>
  <c r="AK253" i="1"/>
  <c r="AJ253" i="1"/>
  <c r="AI253" i="1"/>
  <c r="AH253" i="1"/>
  <c r="AF253" i="1"/>
  <c r="AE253" i="1"/>
  <c r="AP253" i="1" s="1"/>
  <c r="AO252" i="1"/>
  <c r="AN252" i="1"/>
  <c r="AL252" i="1"/>
  <c r="AK252" i="1"/>
  <c r="AJ252" i="1"/>
  <c r="AI252" i="1"/>
  <c r="AH252" i="1"/>
  <c r="AF252" i="1"/>
  <c r="AE252" i="1"/>
  <c r="AP252" i="1" s="1"/>
  <c r="AO251" i="1"/>
  <c r="AN251" i="1"/>
  <c r="AL251" i="1"/>
  <c r="AK251" i="1"/>
  <c r="AJ251" i="1"/>
  <c r="AI251" i="1"/>
  <c r="AH251" i="1"/>
  <c r="AF251" i="1"/>
  <c r="AE251" i="1"/>
  <c r="AP251" i="1" s="1"/>
  <c r="AO250" i="1"/>
  <c r="AN250" i="1"/>
  <c r="AL250" i="1"/>
  <c r="AK250" i="1"/>
  <c r="AJ250" i="1"/>
  <c r="AI250" i="1"/>
  <c r="AH250" i="1"/>
  <c r="AF250" i="1"/>
  <c r="AE250" i="1"/>
  <c r="AP250" i="1" s="1"/>
  <c r="AO249" i="1"/>
  <c r="AN249" i="1"/>
  <c r="AL249" i="1"/>
  <c r="AK249" i="1"/>
  <c r="AJ249" i="1"/>
  <c r="AI249" i="1"/>
  <c r="AH249" i="1"/>
  <c r="AF249" i="1"/>
  <c r="AE249" i="1"/>
  <c r="AP249" i="1" s="1"/>
  <c r="AO248" i="1"/>
  <c r="AN248" i="1"/>
  <c r="AL248" i="1"/>
  <c r="AK248" i="1"/>
  <c r="AJ248" i="1"/>
  <c r="AI248" i="1"/>
  <c r="AH248" i="1"/>
  <c r="AF248" i="1"/>
  <c r="AE248" i="1"/>
  <c r="AP248" i="1" s="1"/>
  <c r="AO247" i="1"/>
  <c r="AN247" i="1"/>
  <c r="AL247" i="1"/>
  <c r="AK247" i="1"/>
  <c r="AJ247" i="1"/>
  <c r="AI247" i="1"/>
  <c r="AH247" i="1"/>
  <c r="AF247" i="1"/>
  <c r="AE247" i="1"/>
  <c r="AP247" i="1" s="1"/>
  <c r="AO246" i="1"/>
  <c r="AN246" i="1"/>
  <c r="AL246" i="1"/>
  <c r="AK246" i="1"/>
  <c r="AJ246" i="1"/>
  <c r="AI246" i="1"/>
  <c r="AH246" i="1"/>
  <c r="AF246" i="1"/>
  <c r="AE246" i="1"/>
  <c r="AP246" i="1" s="1"/>
  <c r="AO245" i="1"/>
  <c r="AN245" i="1"/>
  <c r="AL245" i="1"/>
  <c r="AK245" i="1"/>
  <c r="AJ245" i="1"/>
  <c r="AI245" i="1"/>
  <c r="AH245" i="1"/>
  <c r="AF245" i="1"/>
  <c r="AE245" i="1"/>
  <c r="AP245" i="1" s="1"/>
  <c r="AO244" i="1"/>
  <c r="AN244" i="1"/>
  <c r="AL244" i="1"/>
  <c r="AK244" i="1"/>
  <c r="AJ244" i="1"/>
  <c r="AI244" i="1"/>
  <c r="AH244" i="1"/>
  <c r="AF244" i="1"/>
  <c r="AE244" i="1"/>
  <c r="AP244" i="1" s="1"/>
  <c r="AO243" i="1"/>
  <c r="AN243" i="1"/>
  <c r="AL243" i="1"/>
  <c r="AK243" i="1"/>
  <c r="AJ243" i="1"/>
  <c r="AI243" i="1"/>
  <c r="AH243" i="1"/>
  <c r="AF243" i="1"/>
  <c r="AE243" i="1"/>
  <c r="AP243" i="1" s="1"/>
  <c r="AO242" i="1"/>
  <c r="AN242" i="1"/>
  <c r="AL242" i="1"/>
  <c r="AK242" i="1"/>
  <c r="AJ242" i="1"/>
  <c r="AI242" i="1"/>
  <c r="AH242" i="1"/>
  <c r="AF242" i="1"/>
  <c r="AE242" i="1"/>
  <c r="AP242" i="1" s="1"/>
  <c r="AO241" i="1"/>
  <c r="AN241" i="1"/>
  <c r="AL241" i="1"/>
  <c r="AK241" i="1"/>
  <c r="AJ241" i="1"/>
  <c r="AI241" i="1"/>
  <c r="AH241" i="1"/>
  <c r="AF241" i="1"/>
  <c r="AE241" i="1"/>
  <c r="AP241" i="1" s="1"/>
  <c r="AO240" i="1"/>
  <c r="AN240" i="1"/>
  <c r="AL240" i="1"/>
  <c r="AK240" i="1"/>
  <c r="AJ240" i="1"/>
  <c r="AI240" i="1"/>
  <c r="AH240" i="1"/>
  <c r="AF240" i="1"/>
  <c r="AE240" i="1"/>
  <c r="AP240" i="1" s="1"/>
  <c r="AO239" i="1"/>
  <c r="AN239" i="1"/>
  <c r="AL239" i="1"/>
  <c r="AK239" i="1"/>
  <c r="AJ239" i="1"/>
  <c r="AI239" i="1"/>
  <c r="AH239" i="1"/>
  <c r="AF239" i="1"/>
  <c r="AE239" i="1"/>
  <c r="AP239" i="1" s="1"/>
  <c r="AO238" i="1"/>
  <c r="AN238" i="1"/>
  <c r="AL238" i="1"/>
  <c r="AK238" i="1"/>
  <c r="AJ238" i="1"/>
  <c r="AI238" i="1"/>
  <c r="AH238" i="1"/>
  <c r="AF238" i="1"/>
  <c r="AE238" i="1"/>
  <c r="AP238" i="1" s="1"/>
  <c r="AO237" i="1"/>
  <c r="AN237" i="1"/>
  <c r="AL237" i="1"/>
  <c r="AK237" i="1"/>
  <c r="AJ237" i="1"/>
  <c r="AI237" i="1"/>
  <c r="AH237" i="1"/>
  <c r="AF237" i="1"/>
  <c r="AE237" i="1"/>
  <c r="AP237" i="1" s="1"/>
  <c r="AO236" i="1"/>
  <c r="AN236" i="1"/>
  <c r="AL236" i="1"/>
  <c r="AK236" i="1"/>
  <c r="AJ236" i="1"/>
  <c r="AI236" i="1"/>
  <c r="AH236" i="1"/>
  <c r="AF236" i="1"/>
  <c r="AE236" i="1"/>
  <c r="AP236" i="1" s="1"/>
  <c r="AO235" i="1"/>
  <c r="AN235" i="1"/>
  <c r="AL235" i="1"/>
  <c r="AK235" i="1"/>
  <c r="AJ235" i="1"/>
  <c r="AI235" i="1"/>
  <c r="AH235" i="1"/>
  <c r="AF235" i="1"/>
  <c r="AE235" i="1"/>
  <c r="AP235" i="1" s="1"/>
  <c r="AO234" i="1"/>
  <c r="AN234" i="1"/>
  <c r="AL234" i="1"/>
  <c r="AK234" i="1"/>
  <c r="AJ234" i="1"/>
  <c r="AI234" i="1"/>
  <c r="AH234" i="1"/>
  <c r="AF234" i="1"/>
  <c r="AE234" i="1"/>
  <c r="AP234" i="1" s="1"/>
  <c r="AO233" i="1"/>
  <c r="AN233" i="1"/>
  <c r="AL233" i="1"/>
  <c r="AK233" i="1"/>
  <c r="AJ233" i="1"/>
  <c r="AI233" i="1"/>
  <c r="AH233" i="1"/>
  <c r="AF233" i="1"/>
  <c r="AE233" i="1"/>
  <c r="AP233" i="1" s="1"/>
  <c r="AO232" i="1"/>
  <c r="AN232" i="1"/>
  <c r="AL232" i="1"/>
  <c r="AK232" i="1"/>
  <c r="AJ232" i="1"/>
  <c r="AI232" i="1"/>
  <c r="AH232" i="1"/>
  <c r="AF232" i="1"/>
  <c r="AE232" i="1"/>
  <c r="AP232" i="1" s="1"/>
  <c r="AO231" i="1"/>
  <c r="AN231" i="1"/>
  <c r="AL231" i="1"/>
  <c r="AK231" i="1"/>
  <c r="AJ231" i="1"/>
  <c r="AI231" i="1"/>
  <c r="AH231" i="1"/>
  <c r="AF231" i="1"/>
  <c r="AE231" i="1"/>
  <c r="AP231" i="1" s="1"/>
  <c r="AO230" i="1"/>
  <c r="AN230" i="1"/>
  <c r="AL230" i="1"/>
  <c r="AK230" i="1"/>
  <c r="AJ230" i="1"/>
  <c r="AI230" i="1"/>
  <c r="AH230" i="1"/>
  <c r="AF230" i="1"/>
  <c r="AE230" i="1"/>
  <c r="AP230" i="1" s="1"/>
  <c r="AO229" i="1"/>
  <c r="AN229" i="1"/>
  <c r="AL229" i="1"/>
  <c r="AK229" i="1"/>
  <c r="AJ229" i="1"/>
  <c r="AI229" i="1"/>
  <c r="AH229" i="1"/>
  <c r="AF229" i="1"/>
  <c r="AE229" i="1"/>
  <c r="AP229" i="1" s="1"/>
  <c r="AO228" i="1"/>
  <c r="AN228" i="1"/>
  <c r="AL228" i="1"/>
  <c r="AK228" i="1"/>
  <c r="AJ228" i="1"/>
  <c r="AI228" i="1"/>
  <c r="AH228" i="1"/>
  <c r="AF228" i="1"/>
  <c r="AE228" i="1"/>
  <c r="AP228" i="1" s="1"/>
  <c r="AO227" i="1"/>
  <c r="AN227" i="1"/>
  <c r="AL227" i="1"/>
  <c r="AK227" i="1"/>
  <c r="AJ227" i="1"/>
  <c r="AI227" i="1"/>
  <c r="AH227" i="1"/>
  <c r="AF227" i="1"/>
  <c r="AE227" i="1"/>
  <c r="AP227" i="1" s="1"/>
  <c r="AO226" i="1"/>
  <c r="AN226" i="1"/>
  <c r="AL226" i="1"/>
  <c r="AK226" i="1"/>
  <c r="AJ226" i="1"/>
  <c r="AI226" i="1"/>
  <c r="AH226" i="1"/>
  <c r="AF226" i="1"/>
  <c r="AE226" i="1"/>
  <c r="AP226" i="1" s="1"/>
  <c r="AO225" i="1"/>
  <c r="AN225" i="1"/>
  <c r="AL225" i="1"/>
  <c r="AK225" i="1"/>
  <c r="AJ225" i="1"/>
  <c r="AI225" i="1"/>
  <c r="AH225" i="1"/>
  <c r="AF225" i="1"/>
  <c r="AE225" i="1"/>
  <c r="AP225" i="1" s="1"/>
  <c r="AO224" i="1"/>
  <c r="AN224" i="1"/>
  <c r="AL224" i="1"/>
  <c r="AK224" i="1"/>
  <c r="AJ224" i="1"/>
  <c r="AI224" i="1"/>
  <c r="AH224" i="1"/>
  <c r="AF224" i="1"/>
  <c r="AE224" i="1"/>
  <c r="AP224" i="1" s="1"/>
  <c r="AO223" i="1"/>
  <c r="AN223" i="1"/>
  <c r="AL223" i="1"/>
  <c r="AK223" i="1"/>
  <c r="AJ223" i="1"/>
  <c r="AI223" i="1"/>
  <c r="AH223" i="1"/>
  <c r="AF223" i="1"/>
  <c r="AE223" i="1"/>
  <c r="AP223" i="1" s="1"/>
  <c r="AO222" i="1"/>
  <c r="AN222" i="1"/>
  <c r="AL222" i="1"/>
  <c r="AK222" i="1"/>
  <c r="AJ222" i="1"/>
  <c r="AI222" i="1"/>
  <c r="AH222" i="1"/>
  <c r="AF222" i="1"/>
  <c r="AE222" i="1"/>
  <c r="AP222" i="1" s="1"/>
  <c r="AO221" i="1"/>
  <c r="AN221" i="1"/>
  <c r="AL221" i="1"/>
  <c r="AK221" i="1"/>
  <c r="AJ221" i="1"/>
  <c r="AI221" i="1"/>
  <c r="AH221" i="1"/>
  <c r="AF221" i="1"/>
  <c r="AE221" i="1"/>
  <c r="AP221" i="1" s="1"/>
  <c r="AO220" i="1"/>
  <c r="AN220" i="1"/>
  <c r="AL220" i="1"/>
  <c r="AK220" i="1"/>
  <c r="AJ220" i="1"/>
  <c r="AI220" i="1"/>
  <c r="AH220" i="1"/>
  <c r="AF220" i="1"/>
  <c r="AE220" i="1"/>
  <c r="AP220" i="1" s="1"/>
  <c r="AO219" i="1"/>
  <c r="AN219" i="1"/>
  <c r="AL219" i="1"/>
  <c r="AK219" i="1"/>
  <c r="AJ219" i="1"/>
  <c r="AI219" i="1"/>
  <c r="AH219" i="1"/>
  <c r="AF219" i="1"/>
  <c r="AE219" i="1"/>
  <c r="AP219" i="1" s="1"/>
  <c r="AO218" i="1"/>
  <c r="AN218" i="1"/>
  <c r="AL218" i="1"/>
  <c r="AK218" i="1"/>
  <c r="AJ218" i="1"/>
  <c r="AI218" i="1"/>
  <c r="AH218" i="1"/>
  <c r="AF218" i="1"/>
  <c r="AE218" i="1"/>
  <c r="AP218" i="1" s="1"/>
  <c r="AO217" i="1"/>
  <c r="AN217" i="1"/>
  <c r="AL217" i="1"/>
  <c r="AK217" i="1"/>
  <c r="AJ217" i="1"/>
  <c r="AI217" i="1"/>
  <c r="AH217" i="1"/>
  <c r="AF217" i="1"/>
  <c r="AE217" i="1"/>
  <c r="AP217" i="1" s="1"/>
  <c r="AO216" i="1"/>
  <c r="AN216" i="1"/>
  <c r="AL216" i="1"/>
  <c r="AK216" i="1"/>
  <c r="AJ216" i="1"/>
  <c r="AI216" i="1"/>
  <c r="AH216" i="1"/>
  <c r="AF216" i="1"/>
  <c r="AE216" i="1"/>
  <c r="AP216" i="1" s="1"/>
  <c r="AO215" i="1"/>
  <c r="AN215" i="1"/>
  <c r="AL215" i="1"/>
  <c r="AK215" i="1"/>
  <c r="AJ215" i="1"/>
  <c r="AI215" i="1"/>
  <c r="AH215" i="1"/>
  <c r="AF215" i="1"/>
  <c r="AE215" i="1"/>
  <c r="AP215" i="1" s="1"/>
  <c r="AO214" i="1"/>
  <c r="AN214" i="1"/>
  <c r="AL214" i="1"/>
  <c r="AK214" i="1"/>
  <c r="AJ214" i="1"/>
  <c r="AI214" i="1"/>
  <c r="AH214" i="1"/>
  <c r="AF214" i="1"/>
  <c r="AE214" i="1"/>
  <c r="AP214" i="1" s="1"/>
  <c r="AO213" i="1"/>
  <c r="AN213" i="1"/>
  <c r="AL213" i="1"/>
  <c r="AK213" i="1"/>
  <c r="AJ213" i="1"/>
  <c r="AI213" i="1"/>
  <c r="AH213" i="1"/>
  <c r="AF213" i="1"/>
  <c r="AE213" i="1"/>
  <c r="AP213" i="1" s="1"/>
  <c r="AO212" i="1"/>
  <c r="AN212" i="1"/>
  <c r="AL212" i="1"/>
  <c r="AK212" i="1"/>
  <c r="AJ212" i="1"/>
  <c r="AI212" i="1"/>
  <c r="AH212" i="1"/>
  <c r="AF212" i="1"/>
  <c r="AE212" i="1"/>
  <c r="AP212" i="1" s="1"/>
  <c r="AO211" i="1"/>
  <c r="AN211" i="1"/>
  <c r="AL211" i="1"/>
  <c r="AK211" i="1"/>
  <c r="AJ211" i="1"/>
  <c r="AI211" i="1"/>
  <c r="AH211" i="1"/>
  <c r="AF211" i="1"/>
  <c r="AE211" i="1"/>
  <c r="AP211" i="1" s="1"/>
  <c r="AO210" i="1"/>
  <c r="AN210" i="1"/>
  <c r="AL210" i="1"/>
  <c r="AK210" i="1"/>
  <c r="AJ210" i="1"/>
  <c r="AI210" i="1"/>
  <c r="AH210" i="1"/>
  <c r="AF210" i="1"/>
  <c r="AE210" i="1"/>
  <c r="AP210" i="1" s="1"/>
  <c r="AO209" i="1"/>
  <c r="AN209" i="1"/>
  <c r="AL209" i="1"/>
  <c r="AK209" i="1"/>
  <c r="AJ209" i="1"/>
  <c r="AI209" i="1"/>
  <c r="AH209" i="1"/>
  <c r="AF209" i="1"/>
  <c r="AE209" i="1"/>
  <c r="AP209" i="1" s="1"/>
  <c r="AO208" i="1"/>
  <c r="AN208" i="1"/>
  <c r="AL208" i="1"/>
  <c r="AK208" i="1"/>
  <c r="AJ208" i="1"/>
  <c r="AI208" i="1"/>
  <c r="AH208" i="1"/>
  <c r="AF208" i="1"/>
  <c r="AE208" i="1"/>
  <c r="AP208" i="1" s="1"/>
  <c r="AO207" i="1"/>
  <c r="AN207" i="1"/>
  <c r="AL207" i="1"/>
  <c r="AK207" i="1"/>
  <c r="AJ207" i="1"/>
  <c r="AI207" i="1"/>
  <c r="AH207" i="1"/>
  <c r="AF207" i="1"/>
  <c r="AE207" i="1"/>
  <c r="AP207" i="1" s="1"/>
  <c r="AO206" i="1"/>
  <c r="AN206" i="1"/>
  <c r="AL206" i="1"/>
  <c r="AK206" i="1"/>
  <c r="AJ206" i="1"/>
  <c r="AI206" i="1"/>
  <c r="AH206" i="1"/>
  <c r="AF206" i="1"/>
  <c r="AE206" i="1"/>
  <c r="AP206" i="1" s="1"/>
  <c r="AO205" i="1"/>
  <c r="AN205" i="1"/>
  <c r="AL205" i="1"/>
  <c r="AK205" i="1"/>
  <c r="AJ205" i="1"/>
  <c r="AI205" i="1"/>
  <c r="AH205" i="1"/>
  <c r="AF205" i="1"/>
  <c r="AE205" i="1"/>
  <c r="AP205" i="1" s="1"/>
  <c r="AO204" i="1"/>
  <c r="AN204" i="1"/>
  <c r="AL204" i="1"/>
  <c r="AK204" i="1"/>
  <c r="AJ204" i="1"/>
  <c r="AI204" i="1"/>
  <c r="AH204" i="1"/>
  <c r="AF204" i="1"/>
  <c r="AE204" i="1"/>
  <c r="AP204" i="1" s="1"/>
  <c r="AO203" i="1"/>
  <c r="AN203" i="1"/>
  <c r="AL203" i="1"/>
  <c r="AK203" i="1"/>
  <c r="AJ203" i="1"/>
  <c r="AI203" i="1"/>
  <c r="AH203" i="1"/>
  <c r="AF203" i="1"/>
  <c r="AE203" i="1"/>
  <c r="AP203" i="1" s="1"/>
  <c r="AO202" i="1"/>
  <c r="AN202" i="1"/>
  <c r="AL202" i="1"/>
  <c r="AK202" i="1"/>
  <c r="AJ202" i="1"/>
  <c r="AI202" i="1"/>
  <c r="AH202" i="1"/>
  <c r="AF202" i="1"/>
  <c r="AE202" i="1"/>
  <c r="AP202" i="1" s="1"/>
  <c r="AO201" i="1"/>
  <c r="AN201" i="1"/>
  <c r="AL201" i="1"/>
  <c r="AK201" i="1"/>
  <c r="AJ201" i="1"/>
  <c r="AI201" i="1"/>
  <c r="AH201" i="1"/>
  <c r="AF201" i="1"/>
  <c r="AE201" i="1"/>
  <c r="AP201" i="1" s="1"/>
  <c r="AO200" i="1"/>
  <c r="AN200" i="1"/>
  <c r="AL200" i="1"/>
  <c r="AK200" i="1"/>
  <c r="AJ200" i="1"/>
  <c r="AI200" i="1"/>
  <c r="AH200" i="1"/>
  <c r="AF200" i="1"/>
  <c r="AE200" i="1"/>
  <c r="AP200" i="1" s="1"/>
  <c r="AO199" i="1"/>
  <c r="AN199" i="1"/>
  <c r="AL199" i="1"/>
  <c r="AK199" i="1"/>
  <c r="AJ199" i="1"/>
  <c r="AI199" i="1"/>
  <c r="AH199" i="1"/>
  <c r="AF199" i="1"/>
  <c r="AE199" i="1"/>
  <c r="AP199" i="1" s="1"/>
  <c r="AO198" i="1"/>
  <c r="AN198" i="1"/>
  <c r="AL198" i="1"/>
  <c r="AK198" i="1"/>
  <c r="AJ198" i="1"/>
  <c r="AI198" i="1"/>
  <c r="AH198" i="1"/>
  <c r="AF198" i="1"/>
  <c r="AE198" i="1"/>
  <c r="AP198" i="1" s="1"/>
  <c r="AO197" i="1"/>
  <c r="AN197" i="1"/>
  <c r="AL197" i="1"/>
  <c r="AK197" i="1"/>
  <c r="AJ197" i="1"/>
  <c r="AI197" i="1"/>
  <c r="AH197" i="1"/>
  <c r="AF197" i="1"/>
  <c r="AE197" i="1"/>
  <c r="AP197" i="1" s="1"/>
  <c r="AO196" i="1"/>
  <c r="AN196" i="1"/>
  <c r="AL196" i="1"/>
  <c r="AK196" i="1"/>
  <c r="AJ196" i="1"/>
  <c r="AI196" i="1"/>
  <c r="AH196" i="1"/>
  <c r="AF196" i="1"/>
  <c r="AE196" i="1"/>
  <c r="AP196" i="1" s="1"/>
  <c r="AO195" i="1"/>
  <c r="AN195" i="1"/>
  <c r="AL195" i="1"/>
  <c r="AK195" i="1"/>
  <c r="AJ195" i="1"/>
  <c r="AI195" i="1"/>
  <c r="AH195" i="1"/>
  <c r="AF195" i="1"/>
  <c r="AE195" i="1"/>
  <c r="AP195" i="1" s="1"/>
  <c r="AO194" i="1"/>
  <c r="AN194" i="1"/>
  <c r="AL194" i="1"/>
  <c r="AK194" i="1"/>
  <c r="AJ194" i="1"/>
  <c r="AI194" i="1"/>
  <c r="AH194" i="1"/>
  <c r="AF194" i="1"/>
  <c r="AE194" i="1"/>
  <c r="AP194" i="1" s="1"/>
  <c r="AO193" i="1"/>
  <c r="AN193" i="1"/>
  <c r="AL193" i="1"/>
  <c r="AK193" i="1"/>
  <c r="AJ193" i="1"/>
  <c r="AI193" i="1"/>
  <c r="AH193" i="1"/>
  <c r="AF193" i="1"/>
  <c r="AE193" i="1"/>
  <c r="AP193" i="1" s="1"/>
  <c r="AO192" i="1"/>
  <c r="AN192" i="1"/>
  <c r="AL192" i="1"/>
  <c r="AK192" i="1"/>
  <c r="AJ192" i="1"/>
  <c r="AI192" i="1"/>
  <c r="AH192" i="1"/>
  <c r="AF192" i="1"/>
  <c r="AE192" i="1"/>
  <c r="AP192" i="1" s="1"/>
  <c r="AO191" i="1"/>
  <c r="AN191" i="1"/>
  <c r="AL191" i="1"/>
  <c r="AK191" i="1"/>
  <c r="AJ191" i="1"/>
  <c r="AI191" i="1"/>
  <c r="AH191" i="1"/>
  <c r="AF191" i="1"/>
  <c r="AE191" i="1"/>
  <c r="AP191" i="1" s="1"/>
  <c r="AO190" i="1"/>
  <c r="AN190" i="1"/>
  <c r="AL190" i="1"/>
  <c r="AK190" i="1"/>
  <c r="AJ190" i="1"/>
  <c r="AI190" i="1"/>
  <c r="AH190" i="1"/>
  <c r="AF190" i="1"/>
  <c r="AE190" i="1"/>
  <c r="AP190" i="1" s="1"/>
  <c r="AO189" i="1"/>
  <c r="AN189" i="1"/>
  <c r="AL189" i="1"/>
  <c r="AK189" i="1"/>
  <c r="AJ189" i="1"/>
  <c r="AI189" i="1"/>
  <c r="AH189" i="1"/>
  <c r="AF189" i="1"/>
  <c r="AE189" i="1"/>
  <c r="AP189" i="1" s="1"/>
  <c r="AO188" i="1"/>
  <c r="AN188" i="1"/>
  <c r="AL188" i="1"/>
  <c r="AK188" i="1"/>
  <c r="AJ188" i="1"/>
  <c r="AI188" i="1"/>
  <c r="AH188" i="1"/>
  <c r="AF188" i="1"/>
  <c r="AE188" i="1"/>
  <c r="AP188" i="1" s="1"/>
  <c r="AO187" i="1"/>
  <c r="AN187" i="1"/>
  <c r="AL187" i="1"/>
  <c r="AK187" i="1"/>
  <c r="AJ187" i="1"/>
  <c r="AI187" i="1"/>
  <c r="AH187" i="1"/>
  <c r="AF187" i="1"/>
  <c r="AE187" i="1"/>
  <c r="AP187" i="1" s="1"/>
  <c r="AO186" i="1"/>
  <c r="AN186" i="1"/>
  <c r="AL186" i="1"/>
  <c r="AK186" i="1"/>
  <c r="AJ186" i="1"/>
  <c r="AI186" i="1"/>
  <c r="AH186" i="1"/>
  <c r="AF186" i="1"/>
  <c r="AE186" i="1"/>
  <c r="AP186" i="1" s="1"/>
  <c r="AO185" i="1"/>
  <c r="AN185" i="1"/>
  <c r="AL185" i="1"/>
  <c r="AK185" i="1"/>
  <c r="AJ185" i="1"/>
  <c r="AI185" i="1"/>
  <c r="AH185" i="1"/>
  <c r="AF185" i="1"/>
  <c r="AE185" i="1"/>
  <c r="AP185" i="1" s="1"/>
  <c r="AO184" i="1"/>
  <c r="AN184" i="1"/>
  <c r="AL184" i="1"/>
  <c r="AK184" i="1"/>
  <c r="AJ184" i="1"/>
  <c r="AI184" i="1"/>
  <c r="AH184" i="1"/>
  <c r="AF184" i="1"/>
  <c r="AE184" i="1"/>
  <c r="AP184" i="1" s="1"/>
  <c r="AO183" i="1"/>
  <c r="AN183" i="1"/>
  <c r="AL183" i="1"/>
  <c r="AK183" i="1"/>
  <c r="AJ183" i="1"/>
  <c r="AI183" i="1"/>
  <c r="AH183" i="1"/>
  <c r="AF183" i="1"/>
  <c r="AE183" i="1"/>
  <c r="AP183" i="1" s="1"/>
  <c r="AO182" i="1"/>
  <c r="AN182" i="1"/>
  <c r="AL182" i="1"/>
  <c r="AK182" i="1"/>
  <c r="AJ182" i="1"/>
  <c r="AI182" i="1"/>
  <c r="AH182" i="1"/>
  <c r="AF182" i="1"/>
  <c r="AE182" i="1"/>
  <c r="AP182" i="1" s="1"/>
  <c r="AO181" i="1"/>
  <c r="AN181" i="1"/>
  <c r="AL181" i="1"/>
  <c r="AK181" i="1"/>
  <c r="AJ181" i="1"/>
  <c r="AI181" i="1"/>
  <c r="AH181" i="1"/>
  <c r="AF181" i="1"/>
  <c r="AE181" i="1"/>
  <c r="AP181" i="1" s="1"/>
  <c r="AO180" i="1"/>
  <c r="AN180" i="1"/>
  <c r="AL180" i="1"/>
  <c r="AK180" i="1"/>
  <c r="AJ180" i="1"/>
  <c r="AI180" i="1"/>
  <c r="AH180" i="1"/>
  <c r="AF180" i="1"/>
  <c r="AE180" i="1"/>
  <c r="AP180" i="1" s="1"/>
  <c r="AO179" i="1"/>
  <c r="AN179" i="1"/>
  <c r="AL179" i="1"/>
  <c r="AK179" i="1"/>
  <c r="AJ179" i="1"/>
  <c r="AI179" i="1"/>
  <c r="AH179" i="1"/>
  <c r="AF179" i="1"/>
  <c r="AE179" i="1"/>
  <c r="AP179" i="1" s="1"/>
  <c r="AO178" i="1"/>
  <c r="AN178" i="1"/>
  <c r="AL178" i="1"/>
  <c r="AK178" i="1"/>
  <c r="AJ178" i="1"/>
  <c r="AI178" i="1"/>
  <c r="AH178" i="1"/>
  <c r="AF178" i="1"/>
  <c r="AE178" i="1"/>
  <c r="AP178" i="1" s="1"/>
  <c r="AO177" i="1"/>
  <c r="AN177" i="1"/>
  <c r="AL177" i="1"/>
  <c r="AK177" i="1"/>
  <c r="AJ177" i="1"/>
  <c r="AI177" i="1"/>
  <c r="AH177" i="1"/>
  <c r="AF177" i="1"/>
  <c r="AE177" i="1"/>
  <c r="AP177" i="1" s="1"/>
  <c r="AO176" i="1"/>
  <c r="AN176" i="1"/>
  <c r="AL176" i="1"/>
  <c r="AK176" i="1"/>
  <c r="AJ176" i="1"/>
  <c r="AI176" i="1"/>
  <c r="AH176" i="1"/>
  <c r="AF176" i="1"/>
  <c r="AE176" i="1"/>
  <c r="AP176" i="1" s="1"/>
  <c r="AO175" i="1"/>
  <c r="AN175" i="1"/>
  <c r="AL175" i="1"/>
  <c r="AK175" i="1"/>
  <c r="AJ175" i="1"/>
  <c r="AI175" i="1"/>
  <c r="AH175" i="1"/>
  <c r="AF175" i="1"/>
  <c r="AE175" i="1"/>
  <c r="AP175" i="1" s="1"/>
  <c r="AO174" i="1"/>
  <c r="AN174" i="1"/>
  <c r="AL174" i="1"/>
  <c r="AK174" i="1"/>
  <c r="AJ174" i="1"/>
  <c r="AI174" i="1"/>
  <c r="AH174" i="1"/>
  <c r="AF174" i="1"/>
  <c r="AE174" i="1"/>
  <c r="AP174" i="1" s="1"/>
  <c r="AO173" i="1"/>
  <c r="AN173" i="1"/>
  <c r="AL173" i="1"/>
  <c r="AK173" i="1"/>
  <c r="AJ173" i="1"/>
  <c r="AI173" i="1"/>
  <c r="AH173" i="1"/>
  <c r="AF173" i="1"/>
  <c r="AE173" i="1"/>
  <c r="AP173" i="1" s="1"/>
  <c r="AO172" i="1"/>
  <c r="AN172" i="1"/>
  <c r="AL172" i="1"/>
  <c r="AK172" i="1"/>
  <c r="AJ172" i="1"/>
  <c r="AI172" i="1"/>
  <c r="AH172" i="1"/>
  <c r="AF172" i="1"/>
  <c r="AE172" i="1"/>
  <c r="AP172" i="1" s="1"/>
  <c r="AO171" i="1"/>
  <c r="AN171" i="1"/>
  <c r="AL171" i="1"/>
  <c r="AK171" i="1"/>
  <c r="AJ171" i="1"/>
  <c r="AI171" i="1"/>
  <c r="AH171" i="1"/>
  <c r="AF171" i="1"/>
  <c r="AE171" i="1"/>
  <c r="AP171" i="1" s="1"/>
  <c r="AO170" i="1"/>
  <c r="AN170" i="1"/>
  <c r="AL170" i="1"/>
  <c r="AK170" i="1"/>
  <c r="AJ170" i="1"/>
  <c r="AI170" i="1"/>
  <c r="AH170" i="1"/>
  <c r="AF170" i="1"/>
  <c r="AE170" i="1"/>
  <c r="AP170" i="1" s="1"/>
  <c r="AO169" i="1"/>
  <c r="AN169" i="1"/>
  <c r="AL169" i="1"/>
  <c r="AK169" i="1"/>
  <c r="AJ169" i="1"/>
  <c r="AI169" i="1"/>
  <c r="AH169" i="1"/>
  <c r="AF169" i="1"/>
  <c r="AE169" i="1"/>
  <c r="AP169" i="1" s="1"/>
  <c r="AO168" i="1"/>
  <c r="AN168" i="1"/>
  <c r="AL168" i="1"/>
  <c r="AK168" i="1"/>
  <c r="AJ168" i="1"/>
  <c r="AI168" i="1"/>
  <c r="AH168" i="1"/>
  <c r="AF168" i="1"/>
  <c r="AE168" i="1"/>
  <c r="AP168" i="1" s="1"/>
  <c r="AO167" i="1"/>
  <c r="AN167" i="1"/>
  <c r="AL167" i="1"/>
  <c r="AK167" i="1"/>
  <c r="AJ167" i="1"/>
  <c r="AI167" i="1"/>
  <c r="AH167" i="1"/>
  <c r="AF167" i="1"/>
  <c r="AE167" i="1"/>
  <c r="AP167" i="1" s="1"/>
  <c r="AO166" i="1"/>
  <c r="AN166" i="1"/>
  <c r="AL166" i="1"/>
  <c r="AK166" i="1"/>
  <c r="AJ166" i="1"/>
  <c r="AI166" i="1"/>
  <c r="AH166" i="1"/>
  <c r="AF166" i="1"/>
  <c r="AE166" i="1"/>
  <c r="AP166" i="1" s="1"/>
  <c r="AO165" i="1"/>
  <c r="AN165" i="1"/>
  <c r="AL165" i="1"/>
  <c r="AK165" i="1"/>
  <c r="AJ165" i="1"/>
  <c r="AI165" i="1"/>
  <c r="AH165" i="1"/>
  <c r="AF165" i="1"/>
  <c r="AE165" i="1"/>
  <c r="AP165" i="1" s="1"/>
  <c r="AO164" i="1"/>
  <c r="AN164" i="1"/>
  <c r="AL164" i="1"/>
  <c r="AK164" i="1"/>
  <c r="AJ164" i="1"/>
  <c r="AI164" i="1"/>
  <c r="AH164" i="1"/>
  <c r="AF164" i="1"/>
  <c r="AE164" i="1"/>
  <c r="AP164" i="1" s="1"/>
  <c r="AO163" i="1"/>
  <c r="AN163" i="1"/>
  <c r="AL163" i="1"/>
  <c r="AK163" i="1"/>
  <c r="AJ163" i="1"/>
  <c r="AI163" i="1"/>
  <c r="AH163" i="1"/>
  <c r="AF163" i="1"/>
  <c r="AE163" i="1"/>
  <c r="AP163" i="1" s="1"/>
  <c r="AO162" i="1"/>
  <c r="AN162" i="1"/>
  <c r="AL162" i="1"/>
  <c r="AK162" i="1"/>
  <c r="AJ162" i="1"/>
  <c r="AI162" i="1"/>
  <c r="AH162" i="1"/>
  <c r="AF162" i="1"/>
  <c r="AE162" i="1"/>
  <c r="AP162" i="1" s="1"/>
  <c r="AO161" i="1"/>
  <c r="AN161" i="1"/>
  <c r="AL161" i="1"/>
  <c r="AK161" i="1"/>
  <c r="AJ161" i="1"/>
  <c r="AI161" i="1"/>
  <c r="AH161" i="1"/>
  <c r="AF161" i="1"/>
  <c r="AE161" i="1"/>
  <c r="AP161" i="1" s="1"/>
  <c r="AO160" i="1"/>
  <c r="AN160" i="1"/>
  <c r="AL160" i="1"/>
  <c r="AK160" i="1"/>
  <c r="AJ160" i="1"/>
  <c r="AI160" i="1"/>
  <c r="AH160" i="1"/>
  <c r="AF160" i="1"/>
  <c r="AE160" i="1"/>
  <c r="AP160" i="1" s="1"/>
  <c r="AO159" i="1"/>
  <c r="AN159" i="1"/>
  <c r="AL159" i="1"/>
  <c r="AK159" i="1"/>
  <c r="AJ159" i="1"/>
  <c r="AI159" i="1"/>
  <c r="AH159" i="1"/>
  <c r="AF159" i="1"/>
  <c r="AE159" i="1"/>
  <c r="AP159" i="1" s="1"/>
  <c r="AO158" i="1"/>
  <c r="AN158" i="1"/>
  <c r="AL158" i="1"/>
  <c r="AK158" i="1"/>
  <c r="AJ158" i="1"/>
  <c r="AI158" i="1"/>
  <c r="AH158" i="1"/>
  <c r="AF158" i="1"/>
  <c r="AE158" i="1"/>
  <c r="AP158" i="1" s="1"/>
  <c r="AO157" i="1"/>
  <c r="AN157" i="1"/>
  <c r="AL157" i="1"/>
  <c r="AK157" i="1"/>
  <c r="AJ157" i="1"/>
  <c r="AI157" i="1"/>
  <c r="AH157" i="1"/>
  <c r="AF157" i="1"/>
  <c r="AE157" i="1"/>
  <c r="AP157" i="1" s="1"/>
  <c r="AO156" i="1"/>
  <c r="AN156" i="1"/>
  <c r="AL156" i="1"/>
  <c r="AK156" i="1"/>
  <c r="AJ156" i="1"/>
  <c r="AI156" i="1"/>
  <c r="AH156" i="1"/>
  <c r="AF156" i="1"/>
  <c r="AE156" i="1"/>
  <c r="AP156" i="1" s="1"/>
  <c r="AO155" i="1"/>
  <c r="AN155" i="1"/>
  <c r="AL155" i="1"/>
  <c r="AK155" i="1"/>
  <c r="AJ155" i="1"/>
  <c r="AI155" i="1"/>
  <c r="AH155" i="1"/>
  <c r="AF155" i="1"/>
  <c r="AE155" i="1"/>
  <c r="AP155" i="1" s="1"/>
  <c r="AO154" i="1"/>
  <c r="AN154" i="1"/>
  <c r="AL154" i="1"/>
  <c r="AK154" i="1"/>
  <c r="AJ154" i="1"/>
  <c r="AI154" i="1"/>
  <c r="AH154" i="1"/>
  <c r="AF154" i="1"/>
  <c r="AE154" i="1"/>
  <c r="AP154" i="1" s="1"/>
  <c r="AO153" i="1"/>
  <c r="AN153" i="1"/>
  <c r="AL153" i="1"/>
  <c r="AK153" i="1"/>
  <c r="AJ153" i="1"/>
  <c r="AI153" i="1"/>
  <c r="AH153" i="1"/>
  <c r="AF153" i="1"/>
  <c r="AE153" i="1"/>
  <c r="AP153" i="1" s="1"/>
  <c r="AO152" i="1"/>
  <c r="AN152" i="1"/>
  <c r="AL152" i="1"/>
  <c r="AK152" i="1"/>
  <c r="AJ152" i="1"/>
  <c r="AI152" i="1"/>
  <c r="AH152" i="1"/>
  <c r="AF152" i="1"/>
  <c r="AE152" i="1"/>
  <c r="AP152" i="1" s="1"/>
  <c r="AO151" i="1"/>
  <c r="AN151" i="1"/>
  <c r="AL151" i="1"/>
  <c r="AK151" i="1"/>
  <c r="AJ151" i="1"/>
  <c r="AI151" i="1"/>
  <c r="AH151" i="1"/>
  <c r="AF151" i="1"/>
  <c r="AE151" i="1"/>
  <c r="AP151" i="1" s="1"/>
  <c r="AO150" i="1"/>
  <c r="AN150" i="1"/>
  <c r="AL150" i="1"/>
  <c r="AK150" i="1"/>
  <c r="AJ150" i="1"/>
  <c r="AI150" i="1"/>
  <c r="AH150" i="1"/>
  <c r="AF150" i="1"/>
  <c r="AE150" i="1"/>
  <c r="AP150" i="1" s="1"/>
  <c r="AO149" i="1"/>
  <c r="AN149" i="1"/>
  <c r="AL149" i="1"/>
  <c r="AK149" i="1"/>
  <c r="AJ149" i="1"/>
  <c r="AI149" i="1"/>
  <c r="AH149" i="1"/>
  <c r="AF149" i="1"/>
  <c r="AE149" i="1"/>
  <c r="AP149" i="1" s="1"/>
  <c r="AO148" i="1"/>
  <c r="AN148" i="1"/>
  <c r="AL148" i="1"/>
  <c r="AK148" i="1"/>
  <c r="AJ148" i="1"/>
  <c r="AI148" i="1"/>
  <c r="AH148" i="1"/>
  <c r="AF148" i="1"/>
  <c r="AE148" i="1"/>
  <c r="AP148" i="1" s="1"/>
  <c r="AO147" i="1"/>
  <c r="AN147" i="1"/>
  <c r="AL147" i="1"/>
  <c r="AK147" i="1"/>
  <c r="AJ147" i="1"/>
  <c r="AI147" i="1"/>
  <c r="AH147" i="1"/>
  <c r="AF147" i="1"/>
  <c r="AE147" i="1"/>
  <c r="AP147" i="1" s="1"/>
  <c r="AO146" i="1"/>
  <c r="AN146" i="1"/>
  <c r="AL146" i="1"/>
  <c r="AK146" i="1"/>
  <c r="AJ146" i="1"/>
  <c r="AI146" i="1"/>
  <c r="AH146" i="1"/>
  <c r="AF146" i="1"/>
  <c r="AE146" i="1"/>
  <c r="AP146" i="1" s="1"/>
  <c r="AO145" i="1"/>
  <c r="AN145" i="1"/>
  <c r="AL145" i="1"/>
  <c r="AK145" i="1"/>
  <c r="AJ145" i="1"/>
  <c r="AI145" i="1"/>
  <c r="AH145" i="1"/>
  <c r="AF145" i="1"/>
  <c r="AE145" i="1"/>
  <c r="AP145" i="1" s="1"/>
  <c r="AO144" i="1"/>
  <c r="AN144" i="1"/>
  <c r="AL144" i="1"/>
  <c r="AK144" i="1"/>
  <c r="AJ144" i="1"/>
  <c r="AI144" i="1"/>
  <c r="AH144" i="1"/>
  <c r="AF144" i="1"/>
  <c r="AE144" i="1"/>
  <c r="AP144" i="1" s="1"/>
  <c r="AO143" i="1"/>
  <c r="AN143" i="1"/>
  <c r="AL143" i="1"/>
  <c r="AK143" i="1"/>
  <c r="AJ143" i="1"/>
  <c r="AI143" i="1"/>
  <c r="AH143" i="1"/>
  <c r="AF143" i="1"/>
  <c r="AE143" i="1"/>
  <c r="AP143" i="1" s="1"/>
  <c r="AO142" i="1"/>
  <c r="AN142" i="1"/>
  <c r="AL142" i="1"/>
  <c r="AK142" i="1"/>
  <c r="AJ142" i="1"/>
  <c r="AI142" i="1"/>
  <c r="AH142" i="1"/>
  <c r="AF142" i="1"/>
  <c r="AE142" i="1"/>
  <c r="AP142" i="1" s="1"/>
  <c r="AO141" i="1"/>
  <c r="AN141" i="1"/>
  <c r="AL141" i="1"/>
  <c r="AK141" i="1"/>
  <c r="AJ141" i="1"/>
  <c r="AI141" i="1"/>
  <c r="AH141" i="1"/>
  <c r="AF141" i="1"/>
  <c r="AE141" i="1"/>
  <c r="AP141" i="1" s="1"/>
  <c r="AO140" i="1"/>
  <c r="AN140" i="1"/>
  <c r="AL140" i="1"/>
  <c r="AK140" i="1"/>
  <c r="AJ140" i="1"/>
  <c r="AI140" i="1"/>
  <c r="AH140" i="1"/>
  <c r="AF140" i="1"/>
  <c r="AE140" i="1"/>
  <c r="AP140" i="1" s="1"/>
  <c r="AO139" i="1"/>
  <c r="AN139" i="1"/>
  <c r="AL139" i="1"/>
  <c r="AK139" i="1"/>
  <c r="AJ139" i="1"/>
  <c r="AI139" i="1"/>
  <c r="AH139" i="1"/>
  <c r="AF139" i="1"/>
  <c r="AE139" i="1"/>
  <c r="AP139" i="1" s="1"/>
  <c r="AO138" i="1"/>
  <c r="AN138" i="1"/>
  <c r="AL138" i="1"/>
  <c r="AK138" i="1"/>
  <c r="AJ138" i="1"/>
  <c r="AI138" i="1"/>
  <c r="AH138" i="1"/>
  <c r="AF138" i="1"/>
  <c r="AE138" i="1"/>
  <c r="AP138" i="1" s="1"/>
  <c r="AO137" i="1"/>
  <c r="AN137" i="1"/>
  <c r="AL137" i="1"/>
  <c r="AK137" i="1"/>
  <c r="AJ137" i="1"/>
  <c r="AI137" i="1"/>
  <c r="AH137" i="1"/>
  <c r="AF137" i="1"/>
  <c r="AE137" i="1"/>
  <c r="AP137" i="1" s="1"/>
  <c r="AO136" i="1"/>
  <c r="AN136" i="1"/>
  <c r="AL136" i="1"/>
  <c r="AK136" i="1"/>
  <c r="AJ136" i="1"/>
  <c r="AI136" i="1"/>
  <c r="AH136" i="1"/>
  <c r="AF136" i="1"/>
  <c r="AE136" i="1"/>
  <c r="AP136" i="1" s="1"/>
  <c r="AO135" i="1"/>
  <c r="AN135" i="1"/>
  <c r="AL135" i="1"/>
  <c r="AK135" i="1"/>
  <c r="AJ135" i="1"/>
  <c r="AI135" i="1"/>
  <c r="AH135" i="1"/>
  <c r="AF135" i="1"/>
  <c r="AE135" i="1"/>
  <c r="AP135" i="1" s="1"/>
  <c r="AO134" i="1"/>
  <c r="AN134" i="1"/>
  <c r="AL134" i="1"/>
  <c r="AK134" i="1"/>
  <c r="AJ134" i="1"/>
  <c r="AI134" i="1"/>
  <c r="AH134" i="1"/>
  <c r="AF134" i="1"/>
  <c r="AE134" i="1"/>
  <c r="AP134" i="1" s="1"/>
  <c r="AO133" i="1"/>
  <c r="AN133" i="1"/>
  <c r="AL133" i="1"/>
  <c r="AK133" i="1"/>
  <c r="AJ133" i="1"/>
  <c r="AI133" i="1"/>
  <c r="AH133" i="1"/>
  <c r="AF133" i="1"/>
  <c r="AE133" i="1"/>
  <c r="AP133" i="1" s="1"/>
  <c r="AO132" i="1"/>
  <c r="AN132" i="1"/>
  <c r="AL132" i="1"/>
  <c r="AK132" i="1"/>
  <c r="AJ132" i="1"/>
  <c r="AI132" i="1"/>
  <c r="AH132" i="1"/>
  <c r="AF132" i="1"/>
  <c r="AE132" i="1"/>
  <c r="AP132" i="1" s="1"/>
  <c r="AO131" i="1"/>
  <c r="AN131" i="1"/>
  <c r="AL131" i="1"/>
  <c r="AK131" i="1"/>
  <c r="AJ131" i="1"/>
  <c r="AI131" i="1"/>
  <c r="AH131" i="1"/>
  <c r="AF131" i="1"/>
  <c r="AE131" i="1"/>
  <c r="AP131" i="1" s="1"/>
  <c r="AO130" i="1"/>
  <c r="AN130" i="1"/>
  <c r="AL130" i="1"/>
  <c r="AK130" i="1"/>
  <c r="AJ130" i="1"/>
  <c r="AI130" i="1"/>
  <c r="AH130" i="1"/>
  <c r="AF130" i="1"/>
  <c r="AE130" i="1"/>
  <c r="AP130" i="1" s="1"/>
  <c r="AO129" i="1"/>
  <c r="AN129" i="1"/>
  <c r="AL129" i="1"/>
  <c r="AK129" i="1"/>
  <c r="AJ129" i="1"/>
  <c r="AI129" i="1"/>
  <c r="AH129" i="1"/>
  <c r="AF129" i="1"/>
  <c r="AE129" i="1"/>
  <c r="AP129" i="1" s="1"/>
  <c r="AO128" i="1"/>
  <c r="AN128" i="1"/>
  <c r="AL128" i="1"/>
  <c r="AK128" i="1"/>
  <c r="AJ128" i="1"/>
  <c r="AI128" i="1"/>
  <c r="AH128" i="1"/>
  <c r="AF128" i="1"/>
  <c r="AE128" i="1"/>
  <c r="AP128" i="1" s="1"/>
  <c r="AO127" i="1"/>
  <c r="AN127" i="1"/>
  <c r="AL127" i="1"/>
  <c r="AK127" i="1"/>
  <c r="AJ127" i="1"/>
  <c r="AI127" i="1"/>
  <c r="AH127" i="1"/>
  <c r="AF127" i="1"/>
  <c r="AE127" i="1"/>
  <c r="AP127" i="1" s="1"/>
  <c r="AO126" i="1"/>
  <c r="AN126" i="1"/>
  <c r="AL126" i="1"/>
  <c r="AK126" i="1"/>
  <c r="AJ126" i="1"/>
  <c r="AI126" i="1"/>
  <c r="AH126" i="1"/>
  <c r="AF126" i="1"/>
  <c r="AE126" i="1"/>
  <c r="AP126" i="1" s="1"/>
  <c r="AO125" i="1"/>
  <c r="AN125" i="1"/>
  <c r="AL125" i="1"/>
  <c r="AK125" i="1"/>
  <c r="AJ125" i="1"/>
  <c r="AI125" i="1"/>
  <c r="AH125" i="1"/>
  <c r="AF125" i="1"/>
  <c r="AE125" i="1"/>
  <c r="AP125" i="1" s="1"/>
  <c r="AO124" i="1"/>
  <c r="AN124" i="1"/>
  <c r="AL124" i="1"/>
  <c r="AK124" i="1"/>
  <c r="AJ124" i="1"/>
  <c r="AI124" i="1"/>
  <c r="AH124" i="1"/>
  <c r="AF124" i="1"/>
  <c r="AE124" i="1"/>
  <c r="AP124" i="1" s="1"/>
  <c r="AO123" i="1"/>
  <c r="AN123" i="1"/>
  <c r="AL123" i="1"/>
  <c r="AK123" i="1"/>
  <c r="AJ123" i="1"/>
  <c r="AI123" i="1"/>
  <c r="AH123" i="1"/>
  <c r="AF123" i="1"/>
  <c r="AE123" i="1"/>
  <c r="AP123" i="1" s="1"/>
  <c r="AO122" i="1"/>
  <c r="AN122" i="1"/>
  <c r="AL122" i="1"/>
  <c r="AK122" i="1"/>
  <c r="AJ122" i="1"/>
  <c r="AI122" i="1"/>
  <c r="AH122" i="1"/>
  <c r="AF122" i="1"/>
  <c r="AE122" i="1"/>
  <c r="AP122" i="1" s="1"/>
  <c r="AO121" i="1"/>
  <c r="AN121" i="1"/>
  <c r="AL121" i="1"/>
  <c r="AK121" i="1"/>
  <c r="AJ121" i="1"/>
  <c r="AI121" i="1"/>
  <c r="AH121" i="1"/>
  <c r="AF121" i="1"/>
  <c r="AE121" i="1"/>
  <c r="AP121" i="1" s="1"/>
  <c r="AO120" i="1"/>
  <c r="AN120" i="1"/>
  <c r="AL120" i="1"/>
  <c r="AK120" i="1"/>
  <c r="AJ120" i="1"/>
  <c r="AI120" i="1"/>
  <c r="AH120" i="1"/>
  <c r="AF120" i="1"/>
  <c r="AE120" i="1"/>
  <c r="AP120" i="1" s="1"/>
  <c r="AO119" i="1"/>
  <c r="AN119" i="1"/>
  <c r="AL119" i="1"/>
  <c r="AK119" i="1"/>
  <c r="AJ119" i="1"/>
  <c r="AI119" i="1"/>
  <c r="AH119" i="1"/>
  <c r="AF119" i="1"/>
  <c r="AE119" i="1"/>
  <c r="AP119" i="1" s="1"/>
  <c r="AO118" i="1"/>
  <c r="AN118" i="1"/>
  <c r="AL118" i="1"/>
  <c r="AK118" i="1"/>
  <c r="AJ118" i="1"/>
  <c r="AI118" i="1"/>
  <c r="AH118" i="1"/>
  <c r="AF118" i="1"/>
  <c r="AE118" i="1"/>
  <c r="AP118" i="1" s="1"/>
  <c r="AO117" i="1"/>
  <c r="AN117" i="1"/>
  <c r="AL117" i="1"/>
  <c r="AK117" i="1"/>
  <c r="AJ117" i="1"/>
  <c r="AI117" i="1"/>
  <c r="AH117" i="1"/>
  <c r="AF117" i="1"/>
  <c r="AE117" i="1"/>
  <c r="AP117" i="1" s="1"/>
  <c r="AO116" i="1"/>
  <c r="AN116" i="1"/>
  <c r="AL116" i="1"/>
  <c r="AK116" i="1"/>
  <c r="AJ116" i="1"/>
  <c r="AI116" i="1"/>
  <c r="AH116" i="1"/>
  <c r="AF116" i="1"/>
  <c r="AE116" i="1"/>
  <c r="AP116" i="1" s="1"/>
  <c r="AO115" i="1"/>
  <c r="AN115" i="1"/>
  <c r="AL115" i="1"/>
  <c r="AK115" i="1"/>
  <c r="AJ115" i="1"/>
  <c r="AI115" i="1"/>
  <c r="AH115" i="1"/>
  <c r="AF115" i="1"/>
  <c r="AE115" i="1"/>
  <c r="AP115" i="1" s="1"/>
  <c r="AO114" i="1"/>
  <c r="AN114" i="1"/>
  <c r="AL114" i="1"/>
  <c r="AK114" i="1"/>
  <c r="AJ114" i="1"/>
  <c r="AI114" i="1"/>
  <c r="AH114" i="1"/>
  <c r="AF114" i="1"/>
  <c r="AE114" i="1"/>
  <c r="AP114" i="1" s="1"/>
  <c r="AO113" i="1"/>
  <c r="AN113" i="1"/>
  <c r="AL113" i="1"/>
  <c r="AK113" i="1"/>
  <c r="AJ113" i="1"/>
  <c r="AI113" i="1"/>
  <c r="AH113" i="1"/>
  <c r="AF113" i="1"/>
  <c r="AE113" i="1"/>
  <c r="AP113" i="1" s="1"/>
  <c r="AO112" i="1"/>
  <c r="AN112" i="1"/>
  <c r="AL112" i="1"/>
  <c r="AK112" i="1"/>
  <c r="AJ112" i="1"/>
  <c r="AI112" i="1"/>
  <c r="AH112" i="1"/>
  <c r="AF112" i="1"/>
  <c r="AE112" i="1"/>
  <c r="AP112" i="1" s="1"/>
  <c r="AO111" i="1"/>
  <c r="AN111" i="1"/>
  <c r="AL111" i="1"/>
  <c r="AK111" i="1"/>
  <c r="AJ111" i="1"/>
  <c r="AI111" i="1"/>
  <c r="AH111" i="1"/>
  <c r="AF111" i="1"/>
  <c r="AE111" i="1"/>
  <c r="AP111" i="1" s="1"/>
  <c r="AO110" i="1"/>
  <c r="AN110" i="1"/>
  <c r="AL110" i="1"/>
  <c r="AK110" i="1"/>
  <c r="AJ110" i="1"/>
  <c r="AI110" i="1"/>
  <c r="AH110" i="1"/>
  <c r="AF110" i="1"/>
  <c r="AE110" i="1"/>
  <c r="AP110" i="1" s="1"/>
  <c r="AO109" i="1"/>
  <c r="AN109" i="1"/>
  <c r="AL109" i="1"/>
  <c r="AK109" i="1"/>
  <c r="AJ109" i="1"/>
  <c r="AI109" i="1"/>
  <c r="AH109" i="1"/>
  <c r="AF109" i="1"/>
  <c r="AE109" i="1"/>
  <c r="AP109" i="1" s="1"/>
  <c r="AO108" i="1"/>
  <c r="AN108" i="1"/>
  <c r="AL108" i="1"/>
  <c r="AK108" i="1"/>
  <c r="AJ108" i="1"/>
  <c r="AI108" i="1"/>
  <c r="AH108" i="1"/>
  <c r="AF108" i="1"/>
  <c r="AE108" i="1"/>
  <c r="AP108" i="1" s="1"/>
  <c r="AO107" i="1"/>
  <c r="AN107" i="1"/>
  <c r="AL107" i="1"/>
  <c r="AK107" i="1"/>
  <c r="AJ107" i="1"/>
  <c r="AI107" i="1"/>
  <c r="AH107" i="1"/>
  <c r="AF107" i="1"/>
  <c r="AE107" i="1"/>
  <c r="AP107" i="1" s="1"/>
  <c r="AO106" i="1"/>
  <c r="AN106" i="1"/>
  <c r="AL106" i="1"/>
  <c r="AK106" i="1"/>
  <c r="AJ106" i="1"/>
  <c r="AI106" i="1"/>
  <c r="AH106" i="1"/>
  <c r="AF106" i="1"/>
  <c r="AE106" i="1"/>
  <c r="AP106" i="1" s="1"/>
  <c r="AO105" i="1"/>
  <c r="AN105" i="1"/>
  <c r="AL105" i="1"/>
  <c r="AK105" i="1"/>
  <c r="AJ105" i="1"/>
  <c r="AI105" i="1"/>
  <c r="AH105" i="1"/>
  <c r="AF105" i="1"/>
  <c r="AE105" i="1"/>
  <c r="AP105" i="1" s="1"/>
  <c r="AO104" i="1"/>
  <c r="AN104" i="1"/>
  <c r="AL104" i="1"/>
  <c r="AK104" i="1"/>
  <c r="AJ104" i="1"/>
  <c r="AI104" i="1"/>
  <c r="AH104" i="1"/>
  <c r="AF104" i="1"/>
  <c r="AE104" i="1"/>
  <c r="AP104" i="1" s="1"/>
  <c r="AO103" i="1"/>
  <c r="AN103" i="1"/>
  <c r="AL103" i="1"/>
  <c r="AK103" i="1"/>
  <c r="AJ103" i="1"/>
  <c r="AI103" i="1"/>
  <c r="AH103" i="1"/>
  <c r="AF103" i="1"/>
  <c r="AE103" i="1"/>
  <c r="AP103" i="1" s="1"/>
  <c r="AO102" i="1"/>
  <c r="AN102" i="1"/>
  <c r="AL102" i="1"/>
  <c r="AK102" i="1"/>
  <c r="AJ102" i="1"/>
  <c r="AI102" i="1"/>
  <c r="AH102" i="1"/>
  <c r="AF102" i="1"/>
  <c r="AE102" i="1"/>
  <c r="AP102" i="1" s="1"/>
  <c r="AO101" i="1"/>
  <c r="AN101" i="1"/>
  <c r="AL101" i="1"/>
  <c r="AK101" i="1"/>
  <c r="AJ101" i="1"/>
  <c r="AI101" i="1"/>
  <c r="AH101" i="1"/>
  <c r="AF101" i="1"/>
  <c r="AE101" i="1"/>
  <c r="AP101" i="1" s="1"/>
  <c r="AO100" i="1"/>
  <c r="AN100" i="1"/>
  <c r="AL100" i="1"/>
  <c r="AK100" i="1"/>
  <c r="AJ100" i="1"/>
  <c r="AI100" i="1"/>
  <c r="AH100" i="1"/>
  <c r="AF100" i="1"/>
  <c r="AE100" i="1"/>
  <c r="AP100" i="1" s="1"/>
  <c r="AO99" i="1"/>
  <c r="AN99" i="1"/>
  <c r="AL99" i="1"/>
  <c r="AK99" i="1"/>
  <c r="AJ99" i="1"/>
  <c r="AI99" i="1"/>
  <c r="AH99" i="1"/>
  <c r="AF99" i="1"/>
  <c r="AE99" i="1"/>
  <c r="AP99" i="1" s="1"/>
  <c r="AO98" i="1"/>
  <c r="AN98" i="1"/>
  <c r="AL98" i="1"/>
  <c r="AK98" i="1"/>
  <c r="AJ98" i="1"/>
  <c r="AI98" i="1"/>
  <c r="AH98" i="1"/>
  <c r="AF98" i="1"/>
  <c r="AE98" i="1"/>
  <c r="AP98" i="1" s="1"/>
  <c r="AO97" i="1"/>
  <c r="AN97" i="1"/>
  <c r="AL97" i="1"/>
  <c r="AK97" i="1"/>
  <c r="AJ97" i="1"/>
  <c r="AI97" i="1"/>
  <c r="AH97" i="1"/>
  <c r="AF97" i="1"/>
  <c r="AE97" i="1"/>
  <c r="AP97" i="1" s="1"/>
  <c r="AO96" i="1"/>
  <c r="AN96" i="1"/>
  <c r="AL96" i="1"/>
  <c r="AK96" i="1"/>
  <c r="AJ96" i="1"/>
  <c r="AI96" i="1"/>
  <c r="AH96" i="1"/>
  <c r="AF96" i="1"/>
  <c r="AE96" i="1"/>
  <c r="AP96" i="1" s="1"/>
  <c r="AO95" i="1"/>
  <c r="AN95" i="1"/>
  <c r="AL95" i="1"/>
  <c r="AK95" i="1"/>
  <c r="AJ95" i="1"/>
  <c r="AI95" i="1"/>
  <c r="AH95" i="1"/>
  <c r="AF95" i="1"/>
  <c r="AE95" i="1"/>
  <c r="AP95" i="1" s="1"/>
  <c r="AO94" i="1"/>
  <c r="AN94" i="1"/>
  <c r="AL94" i="1"/>
  <c r="AK94" i="1"/>
  <c r="AJ94" i="1"/>
  <c r="AI94" i="1"/>
  <c r="AH94" i="1"/>
  <c r="AF94" i="1"/>
  <c r="AE94" i="1"/>
  <c r="AP94" i="1" s="1"/>
  <c r="AO93" i="1"/>
  <c r="AN93" i="1"/>
  <c r="AL93" i="1"/>
  <c r="AK93" i="1"/>
  <c r="AJ93" i="1"/>
  <c r="AI93" i="1"/>
  <c r="AH93" i="1"/>
  <c r="AF93" i="1"/>
  <c r="AE93" i="1"/>
  <c r="AP93" i="1" s="1"/>
  <c r="AO92" i="1"/>
  <c r="AN92" i="1"/>
  <c r="AL92" i="1"/>
  <c r="AK92" i="1"/>
  <c r="AJ92" i="1"/>
  <c r="AI92" i="1"/>
  <c r="AH92" i="1"/>
  <c r="AF92" i="1"/>
  <c r="AE92" i="1"/>
  <c r="AP92" i="1" s="1"/>
  <c r="AO91" i="1"/>
  <c r="AN91" i="1"/>
  <c r="AL91" i="1"/>
  <c r="AK91" i="1"/>
  <c r="AJ91" i="1"/>
  <c r="AI91" i="1"/>
  <c r="AH91" i="1"/>
  <c r="AF91" i="1"/>
  <c r="AE91" i="1"/>
  <c r="AP91" i="1" s="1"/>
  <c r="AO90" i="1"/>
  <c r="AN90" i="1"/>
  <c r="AL90" i="1"/>
  <c r="AK90" i="1"/>
  <c r="AJ90" i="1"/>
  <c r="AI90" i="1"/>
  <c r="AH90" i="1"/>
  <c r="AF90" i="1"/>
  <c r="AE90" i="1"/>
  <c r="AP90" i="1" s="1"/>
  <c r="AO89" i="1"/>
  <c r="AN89" i="1"/>
  <c r="AL89" i="1"/>
  <c r="AK89" i="1"/>
  <c r="AJ89" i="1"/>
  <c r="AI89" i="1"/>
  <c r="AH89" i="1"/>
  <c r="AF89" i="1"/>
  <c r="AE89" i="1"/>
  <c r="AP89" i="1" s="1"/>
  <c r="AO88" i="1"/>
  <c r="AN88" i="1"/>
  <c r="AL88" i="1"/>
  <c r="AK88" i="1"/>
  <c r="AJ88" i="1"/>
  <c r="AI88" i="1"/>
  <c r="AH88" i="1"/>
  <c r="AF88" i="1"/>
  <c r="AE88" i="1"/>
  <c r="AP88" i="1" s="1"/>
  <c r="AO87" i="1"/>
  <c r="AN87" i="1"/>
  <c r="AL87" i="1"/>
  <c r="AK87" i="1"/>
  <c r="AJ87" i="1"/>
  <c r="AI87" i="1"/>
  <c r="AH87" i="1"/>
  <c r="AF87" i="1"/>
  <c r="AE87" i="1"/>
  <c r="AP87" i="1" s="1"/>
  <c r="AO86" i="1"/>
  <c r="AN86" i="1"/>
  <c r="AL86" i="1"/>
  <c r="AK86" i="1"/>
  <c r="AJ86" i="1"/>
  <c r="AI86" i="1"/>
  <c r="AH86" i="1"/>
  <c r="AF86" i="1"/>
  <c r="AE86" i="1"/>
  <c r="AP86" i="1" s="1"/>
  <c r="AO85" i="1"/>
  <c r="AN85" i="1"/>
  <c r="AL85" i="1"/>
  <c r="AK85" i="1"/>
  <c r="AJ85" i="1"/>
  <c r="AI85" i="1"/>
  <c r="AH85" i="1"/>
  <c r="AF85" i="1"/>
  <c r="AE85" i="1"/>
  <c r="AP85" i="1" s="1"/>
  <c r="AO84" i="1"/>
  <c r="AN84" i="1"/>
  <c r="AL84" i="1"/>
  <c r="AK84" i="1"/>
  <c r="AJ84" i="1"/>
  <c r="AI84" i="1"/>
  <c r="AH84" i="1"/>
  <c r="AF84" i="1"/>
  <c r="AE84" i="1"/>
  <c r="AP84" i="1" s="1"/>
  <c r="AO83" i="1"/>
  <c r="AN83" i="1"/>
  <c r="AL83" i="1"/>
  <c r="AK83" i="1"/>
  <c r="AJ83" i="1"/>
  <c r="AI83" i="1"/>
  <c r="AH83" i="1"/>
  <c r="AF83" i="1"/>
  <c r="AE83" i="1"/>
  <c r="AP83" i="1" s="1"/>
  <c r="AO82" i="1"/>
  <c r="AN82" i="1"/>
  <c r="AL82" i="1"/>
  <c r="AK82" i="1"/>
  <c r="AJ82" i="1"/>
  <c r="AI82" i="1"/>
  <c r="AH82" i="1"/>
  <c r="AF82" i="1"/>
  <c r="AE82" i="1"/>
  <c r="AP82" i="1" s="1"/>
  <c r="AO81" i="1"/>
  <c r="AN81" i="1"/>
  <c r="AL81" i="1"/>
  <c r="AK81" i="1"/>
  <c r="AJ81" i="1"/>
  <c r="AI81" i="1"/>
  <c r="AH81" i="1"/>
  <c r="AF81" i="1"/>
  <c r="AE81" i="1"/>
  <c r="AP81" i="1" s="1"/>
  <c r="AO80" i="1"/>
  <c r="AN80" i="1"/>
  <c r="AL80" i="1"/>
  <c r="AK80" i="1"/>
  <c r="AJ80" i="1"/>
  <c r="AI80" i="1"/>
  <c r="AH80" i="1"/>
  <c r="AF80" i="1"/>
  <c r="AE80" i="1"/>
  <c r="AP80" i="1" s="1"/>
  <c r="AO79" i="1"/>
  <c r="AN79" i="1"/>
  <c r="AL79" i="1"/>
  <c r="AK79" i="1"/>
  <c r="AJ79" i="1"/>
  <c r="AI79" i="1"/>
  <c r="AH79" i="1"/>
  <c r="AF79" i="1"/>
  <c r="AE79" i="1"/>
  <c r="AP79" i="1" s="1"/>
  <c r="AO78" i="1"/>
  <c r="AN78" i="1"/>
  <c r="AL78" i="1"/>
  <c r="AK78" i="1"/>
  <c r="AJ78" i="1"/>
  <c r="AI78" i="1"/>
  <c r="AH78" i="1"/>
  <c r="AF78" i="1"/>
  <c r="AE78" i="1"/>
  <c r="AP78" i="1" s="1"/>
  <c r="AO77" i="1"/>
  <c r="AN77" i="1"/>
  <c r="AL77" i="1"/>
  <c r="AK77" i="1"/>
  <c r="AJ77" i="1"/>
  <c r="AI77" i="1"/>
  <c r="AH77" i="1"/>
  <c r="AF77" i="1"/>
  <c r="AE77" i="1"/>
  <c r="AP77" i="1" s="1"/>
  <c r="AO76" i="1"/>
  <c r="AN76" i="1"/>
  <c r="AL76" i="1"/>
  <c r="AK76" i="1"/>
  <c r="AJ76" i="1"/>
  <c r="AI76" i="1"/>
  <c r="AH76" i="1"/>
  <c r="AF76" i="1"/>
  <c r="AE76" i="1"/>
  <c r="AP76" i="1" s="1"/>
  <c r="AO75" i="1"/>
  <c r="AN75" i="1"/>
  <c r="AL75" i="1"/>
  <c r="AK75" i="1"/>
  <c r="AJ75" i="1"/>
  <c r="AI75" i="1"/>
  <c r="AH75" i="1"/>
  <c r="AF75" i="1"/>
  <c r="AE75" i="1"/>
  <c r="AP75" i="1" s="1"/>
  <c r="AO74" i="1"/>
  <c r="AN74" i="1"/>
  <c r="AL74" i="1"/>
  <c r="AK74" i="1"/>
  <c r="AJ74" i="1"/>
  <c r="AI74" i="1"/>
  <c r="AH74" i="1"/>
  <c r="AF74" i="1"/>
  <c r="AE74" i="1"/>
  <c r="AP74" i="1" s="1"/>
  <c r="AO73" i="1"/>
  <c r="AN73" i="1"/>
  <c r="AL73" i="1"/>
  <c r="AK73" i="1"/>
  <c r="AJ73" i="1"/>
  <c r="AI73" i="1"/>
  <c r="AH73" i="1"/>
  <c r="AF73" i="1"/>
  <c r="AE73" i="1"/>
  <c r="AP73" i="1" s="1"/>
  <c r="AO72" i="1"/>
  <c r="AN72" i="1"/>
  <c r="AL72" i="1"/>
  <c r="AK72" i="1"/>
  <c r="AJ72" i="1"/>
  <c r="AI72" i="1"/>
  <c r="AH72" i="1"/>
  <c r="AF72" i="1"/>
  <c r="AE72" i="1"/>
  <c r="AP72" i="1" s="1"/>
  <c r="AO71" i="1"/>
  <c r="AN71" i="1"/>
  <c r="AL71" i="1"/>
  <c r="AK71" i="1"/>
  <c r="AJ71" i="1"/>
  <c r="AI71" i="1"/>
  <c r="AH71" i="1"/>
  <c r="AF71" i="1"/>
  <c r="AE71" i="1"/>
  <c r="AP71" i="1" s="1"/>
  <c r="AO70" i="1"/>
  <c r="AN70" i="1"/>
  <c r="AL70" i="1"/>
  <c r="AK70" i="1"/>
  <c r="AJ70" i="1"/>
  <c r="AI70" i="1"/>
  <c r="AH70" i="1"/>
  <c r="AF70" i="1"/>
  <c r="AE70" i="1"/>
  <c r="AP70" i="1" s="1"/>
  <c r="AO69" i="1"/>
  <c r="AN69" i="1"/>
  <c r="AL69" i="1"/>
  <c r="AK69" i="1"/>
  <c r="AJ69" i="1"/>
  <c r="AI69" i="1"/>
  <c r="AH69" i="1"/>
  <c r="AF69" i="1"/>
  <c r="AE69" i="1"/>
  <c r="AP69" i="1" s="1"/>
  <c r="AO68" i="1"/>
  <c r="AN68" i="1"/>
  <c r="AL68" i="1"/>
  <c r="AK68" i="1"/>
  <c r="AJ68" i="1"/>
  <c r="AI68" i="1"/>
  <c r="AH68" i="1"/>
  <c r="AF68" i="1"/>
  <c r="AE68" i="1"/>
  <c r="AP68" i="1" s="1"/>
  <c r="AO67" i="1"/>
  <c r="AN67" i="1"/>
  <c r="AL67" i="1"/>
  <c r="AK67" i="1"/>
  <c r="AJ67" i="1"/>
  <c r="AI67" i="1"/>
  <c r="AH67" i="1"/>
  <c r="AF67" i="1"/>
  <c r="AE67" i="1"/>
  <c r="AP67" i="1" s="1"/>
  <c r="AO66" i="1"/>
  <c r="AN66" i="1"/>
  <c r="AL66" i="1"/>
  <c r="AK66" i="1"/>
  <c r="AJ66" i="1"/>
  <c r="AI66" i="1"/>
  <c r="AH66" i="1"/>
  <c r="AF66" i="1"/>
  <c r="AE66" i="1"/>
  <c r="AP66" i="1" s="1"/>
  <c r="AO65" i="1"/>
  <c r="AN65" i="1"/>
  <c r="AL65" i="1"/>
  <c r="AK65" i="1"/>
  <c r="AJ65" i="1"/>
  <c r="AI65" i="1"/>
  <c r="AH65" i="1"/>
  <c r="AF65" i="1"/>
  <c r="AE65" i="1"/>
  <c r="AP65" i="1" s="1"/>
  <c r="AO64" i="1"/>
  <c r="AN64" i="1"/>
  <c r="AL64" i="1"/>
  <c r="AK64" i="1"/>
  <c r="AJ64" i="1"/>
  <c r="AI64" i="1"/>
  <c r="AH64" i="1"/>
  <c r="AF64" i="1"/>
  <c r="AE64" i="1"/>
  <c r="AP64" i="1" s="1"/>
  <c r="AO63" i="1"/>
  <c r="AN63" i="1"/>
  <c r="AL63" i="1"/>
  <c r="AK63" i="1"/>
  <c r="AJ63" i="1"/>
  <c r="AI63" i="1"/>
  <c r="AH63" i="1"/>
  <c r="AF63" i="1"/>
  <c r="AE63" i="1"/>
  <c r="AP63" i="1" s="1"/>
  <c r="AO62" i="1"/>
  <c r="AN62" i="1"/>
  <c r="AL62" i="1"/>
  <c r="AK62" i="1"/>
  <c r="AJ62" i="1"/>
  <c r="AI62" i="1"/>
  <c r="AH62" i="1"/>
  <c r="AF62" i="1"/>
  <c r="AE62" i="1"/>
  <c r="AP62" i="1" s="1"/>
  <c r="AO61" i="1"/>
  <c r="AN61" i="1"/>
  <c r="AL61" i="1"/>
  <c r="AK61" i="1"/>
  <c r="AJ61" i="1"/>
  <c r="AI61" i="1"/>
  <c r="AH61" i="1"/>
  <c r="AF61" i="1"/>
  <c r="AE61" i="1"/>
  <c r="AP61" i="1" s="1"/>
  <c r="AO60" i="1"/>
  <c r="AN60" i="1"/>
  <c r="AL60" i="1"/>
  <c r="AK60" i="1"/>
  <c r="AJ60" i="1"/>
  <c r="AI60" i="1"/>
  <c r="AH60" i="1"/>
  <c r="AF60" i="1"/>
  <c r="AE60" i="1"/>
  <c r="AP60" i="1" s="1"/>
  <c r="AO59" i="1"/>
  <c r="AN59" i="1"/>
  <c r="AL59" i="1"/>
  <c r="AK59" i="1"/>
  <c r="AJ59" i="1"/>
  <c r="AI59" i="1"/>
  <c r="AH59" i="1"/>
  <c r="AF59" i="1"/>
  <c r="AE59" i="1"/>
  <c r="AP59" i="1" s="1"/>
  <c r="AO58" i="1"/>
  <c r="AN58" i="1"/>
  <c r="AL58" i="1"/>
  <c r="AK58" i="1"/>
  <c r="AJ58" i="1"/>
  <c r="AI58" i="1"/>
  <c r="AH58" i="1"/>
  <c r="AF58" i="1"/>
  <c r="AE58" i="1"/>
  <c r="AP58" i="1" s="1"/>
  <c r="AO57" i="1"/>
  <c r="AN57" i="1"/>
  <c r="AL57" i="1"/>
  <c r="AK57" i="1"/>
  <c r="AJ57" i="1"/>
  <c r="AI57" i="1"/>
  <c r="AH57" i="1"/>
  <c r="AF57" i="1"/>
  <c r="AE57" i="1"/>
  <c r="AP57" i="1" s="1"/>
  <c r="AO56" i="1"/>
  <c r="AN56" i="1"/>
  <c r="AL56" i="1"/>
  <c r="AK56" i="1"/>
  <c r="AJ56" i="1"/>
  <c r="AI56" i="1"/>
  <c r="AH56" i="1"/>
  <c r="AF56" i="1"/>
  <c r="AE56" i="1"/>
  <c r="AP56" i="1" s="1"/>
  <c r="AO55" i="1"/>
  <c r="AN55" i="1"/>
  <c r="AL55" i="1"/>
  <c r="AK55" i="1"/>
  <c r="AJ55" i="1"/>
  <c r="AI55" i="1"/>
  <c r="AH55" i="1"/>
  <c r="AF55" i="1"/>
  <c r="AE55" i="1"/>
  <c r="AP55" i="1" s="1"/>
  <c r="AO54" i="1"/>
  <c r="AN54" i="1"/>
  <c r="AL54" i="1"/>
  <c r="AK54" i="1"/>
  <c r="AJ54" i="1"/>
  <c r="AI54" i="1"/>
  <c r="AH54" i="1"/>
  <c r="AF54" i="1"/>
  <c r="AE54" i="1"/>
  <c r="AP54" i="1" s="1"/>
  <c r="AO53" i="1"/>
  <c r="AN53" i="1"/>
  <c r="AL53" i="1"/>
  <c r="AK53" i="1"/>
  <c r="AJ53" i="1"/>
  <c r="AI53" i="1"/>
  <c r="AH53" i="1"/>
  <c r="AF53" i="1"/>
  <c r="AE53" i="1"/>
  <c r="AP53" i="1" s="1"/>
  <c r="AO52" i="1"/>
  <c r="AN52" i="1"/>
  <c r="AL52" i="1"/>
  <c r="AK52" i="1"/>
  <c r="AJ52" i="1"/>
  <c r="AI52" i="1"/>
  <c r="AH52" i="1"/>
  <c r="AF52" i="1"/>
  <c r="AE52" i="1"/>
  <c r="AO51" i="1"/>
  <c r="AN51" i="1"/>
  <c r="AL51" i="1"/>
  <c r="AK51" i="1"/>
  <c r="AJ51" i="1"/>
  <c r="AI51" i="1"/>
  <c r="AH51" i="1"/>
  <c r="AF51" i="1"/>
  <c r="AE51" i="1"/>
  <c r="AO50" i="1"/>
  <c r="AN50" i="1"/>
  <c r="AL50" i="1"/>
  <c r="AK50" i="1"/>
  <c r="AJ50" i="1"/>
  <c r="AI50" i="1"/>
  <c r="AH50" i="1"/>
  <c r="AF50" i="1"/>
  <c r="AE50" i="1"/>
  <c r="AO49" i="1"/>
  <c r="AN49" i="1"/>
  <c r="AL49" i="1"/>
  <c r="AK49" i="1"/>
  <c r="AJ49" i="1"/>
  <c r="AI49" i="1"/>
  <c r="AH49" i="1"/>
  <c r="AF49" i="1"/>
  <c r="AE49" i="1"/>
  <c r="AO48" i="1"/>
  <c r="AN48" i="1"/>
  <c r="AL48" i="1"/>
  <c r="AK48" i="1"/>
  <c r="AJ48" i="1"/>
  <c r="AI48" i="1"/>
  <c r="AH48" i="1"/>
  <c r="AF48" i="1"/>
  <c r="AE48" i="1"/>
  <c r="AO47" i="1"/>
  <c r="AN47" i="1"/>
  <c r="AL47" i="1"/>
  <c r="AK47" i="1"/>
  <c r="AJ47" i="1"/>
  <c r="AI47" i="1"/>
  <c r="AH47" i="1"/>
  <c r="AF47" i="1"/>
  <c r="AE47" i="1"/>
  <c r="AO46" i="1"/>
  <c r="AN46" i="1"/>
  <c r="AL46" i="1"/>
  <c r="AK46" i="1"/>
  <c r="AJ46" i="1"/>
  <c r="AI46" i="1"/>
  <c r="AH46" i="1"/>
  <c r="AF46" i="1"/>
  <c r="AE46" i="1"/>
  <c r="AO45" i="1"/>
  <c r="AN45" i="1"/>
  <c r="AL45" i="1"/>
  <c r="AK45" i="1"/>
  <c r="AJ45" i="1"/>
  <c r="AI45" i="1"/>
  <c r="AH45" i="1"/>
  <c r="AF45" i="1"/>
  <c r="AE45" i="1"/>
  <c r="AO44" i="1"/>
  <c r="AN44" i="1"/>
  <c r="AL44" i="1"/>
  <c r="AK44" i="1"/>
  <c r="AJ44" i="1"/>
  <c r="AI44" i="1"/>
  <c r="AH44" i="1"/>
  <c r="AF44" i="1"/>
  <c r="AE44" i="1"/>
  <c r="AO43" i="1"/>
  <c r="AN43" i="1"/>
  <c r="AL43" i="1"/>
  <c r="AK43" i="1"/>
  <c r="AJ43" i="1"/>
  <c r="AI43" i="1"/>
  <c r="AH43" i="1"/>
  <c r="AF43" i="1"/>
  <c r="AE43" i="1"/>
  <c r="AO42" i="1"/>
  <c r="AN42" i="1"/>
  <c r="AL42" i="1"/>
  <c r="AK42" i="1"/>
  <c r="AJ42" i="1"/>
  <c r="AI42" i="1"/>
  <c r="AH42" i="1"/>
  <c r="AF42" i="1"/>
  <c r="AE42" i="1"/>
  <c r="AO41" i="1"/>
  <c r="AN41" i="1"/>
  <c r="AL41" i="1"/>
  <c r="AK41" i="1"/>
  <c r="AJ41" i="1"/>
  <c r="AI41" i="1"/>
  <c r="AH41" i="1"/>
  <c r="AF41" i="1"/>
  <c r="AE41" i="1"/>
  <c r="AO40" i="1"/>
  <c r="AN40" i="1"/>
  <c r="AL40" i="1"/>
  <c r="AK40" i="1"/>
  <c r="AJ40" i="1"/>
  <c r="AI40" i="1"/>
  <c r="AH40" i="1"/>
  <c r="AF40" i="1"/>
  <c r="AE40" i="1"/>
  <c r="AO39" i="1"/>
  <c r="AN39" i="1"/>
  <c r="AL39" i="1"/>
  <c r="AK39" i="1"/>
  <c r="AJ39" i="1"/>
  <c r="AI39" i="1"/>
  <c r="AH39" i="1"/>
  <c r="AF39" i="1"/>
  <c r="AE39" i="1"/>
  <c r="AO38" i="1"/>
  <c r="AN38" i="1"/>
  <c r="AL38" i="1"/>
  <c r="AK38" i="1"/>
  <c r="AJ38" i="1"/>
  <c r="AI38" i="1"/>
  <c r="AH38" i="1"/>
  <c r="AF38" i="1"/>
  <c r="AE38" i="1"/>
  <c r="AO37" i="1"/>
  <c r="AN37" i="1"/>
  <c r="AL37" i="1"/>
  <c r="AK37" i="1"/>
  <c r="AJ37" i="1"/>
  <c r="AI37" i="1"/>
  <c r="AH37" i="1"/>
  <c r="AF37" i="1"/>
  <c r="AE37" i="1"/>
  <c r="AO36" i="1"/>
  <c r="AN36" i="1"/>
  <c r="AL36" i="1"/>
  <c r="AK36" i="1"/>
  <c r="AJ36" i="1"/>
  <c r="AI36" i="1"/>
  <c r="AH36" i="1"/>
  <c r="AF36" i="1"/>
  <c r="AE36" i="1"/>
  <c r="AO35" i="1"/>
  <c r="AN35" i="1"/>
  <c r="AL35" i="1"/>
  <c r="AK35" i="1"/>
  <c r="AJ35" i="1"/>
  <c r="AI35" i="1"/>
  <c r="AH35" i="1"/>
  <c r="AF35" i="1"/>
  <c r="AE35" i="1"/>
  <c r="AO34" i="1"/>
  <c r="AN34" i="1"/>
  <c r="AL34" i="1"/>
  <c r="AK34" i="1"/>
  <c r="AJ34" i="1"/>
  <c r="AI34" i="1"/>
  <c r="AH34" i="1"/>
  <c r="AF34" i="1"/>
  <c r="AE34" i="1"/>
  <c r="AO33" i="1"/>
  <c r="AN33" i="1"/>
  <c r="AL33" i="1"/>
  <c r="AK33" i="1"/>
  <c r="AJ33" i="1"/>
  <c r="AI33" i="1"/>
  <c r="AH33" i="1"/>
  <c r="AF33" i="1"/>
  <c r="AE33" i="1"/>
  <c r="AO32" i="1"/>
  <c r="AN32" i="1"/>
  <c r="AL32" i="1"/>
  <c r="AK32" i="1"/>
  <c r="AJ32" i="1"/>
  <c r="AI32" i="1"/>
  <c r="AH32" i="1"/>
  <c r="AF32" i="1"/>
  <c r="AE32" i="1"/>
  <c r="AO31" i="1"/>
  <c r="AN31" i="1"/>
  <c r="AL31" i="1"/>
  <c r="AK31" i="1"/>
  <c r="AJ31" i="1"/>
  <c r="AI31" i="1"/>
  <c r="AH31" i="1"/>
  <c r="AF31" i="1"/>
  <c r="AE31" i="1"/>
  <c r="AO30" i="1"/>
  <c r="AN30" i="1"/>
  <c r="AL30" i="1"/>
  <c r="AK30" i="1"/>
  <c r="AJ30" i="1"/>
  <c r="AI30" i="1"/>
  <c r="AH30" i="1"/>
  <c r="AF30" i="1"/>
  <c r="AE30" i="1"/>
  <c r="AO29" i="1"/>
  <c r="AN29" i="1"/>
  <c r="AL29" i="1"/>
  <c r="AK29" i="1"/>
  <c r="AJ29" i="1"/>
  <c r="AI29" i="1"/>
  <c r="AH29" i="1"/>
  <c r="AF29" i="1"/>
  <c r="AE29" i="1"/>
  <c r="AO28" i="1"/>
  <c r="AN28" i="1"/>
  <c r="AL28" i="1"/>
  <c r="AK28" i="1"/>
  <c r="AJ28" i="1"/>
  <c r="AI28" i="1"/>
  <c r="AH28" i="1"/>
  <c r="AF28" i="1"/>
  <c r="AE28" i="1"/>
  <c r="AO27" i="1"/>
  <c r="AN27" i="1"/>
  <c r="AL27" i="1"/>
  <c r="AK27" i="1"/>
  <c r="AJ27" i="1"/>
  <c r="AI27" i="1"/>
  <c r="AH27" i="1"/>
  <c r="AE27" i="1"/>
  <c r="AO26" i="1"/>
  <c r="AN26" i="1"/>
  <c r="AL26" i="1"/>
  <c r="AK26" i="1"/>
  <c r="AJ26" i="1"/>
  <c r="AI26" i="1"/>
  <c r="AH26" i="1"/>
  <c r="AE26" i="1"/>
  <c r="AO25" i="1"/>
  <c r="AN25" i="1"/>
  <c r="AL25" i="1"/>
  <c r="AK25" i="1"/>
  <c r="AJ25" i="1"/>
  <c r="AI25" i="1"/>
  <c r="AH25" i="1"/>
  <c r="AE25" i="1"/>
  <c r="AO24" i="1"/>
  <c r="AN24" i="1"/>
  <c r="AL24" i="1"/>
  <c r="AK24" i="1"/>
  <c r="AJ24" i="1"/>
  <c r="AI24" i="1"/>
  <c r="AH24" i="1"/>
  <c r="AE24" i="1"/>
  <c r="AO23" i="1"/>
  <c r="AN23" i="1"/>
  <c r="AL23" i="1"/>
  <c r="AK23" i="1"/>
  <c r="AJ23" i="1"/>
  <c r="AI23" i="1"/>
  <c r="AH23" i="1"/>
  <c r="AF23" i="1"/>
  <c r="AE23" i="1"/>
  <c r="AO22" i="1"/>
  <c r="AN22" i="1"/>
  <c r="AL22" i="1"/>
  <c r="AK22" i="1"/>
  <c r="AJ22" i="1"/>
  <c r="AI22" i="1"/>
  <c r="AH22" i="1"/>
  <c r="AF22" i="1"/>
  <c r="AE22" i="1"/>
  <c r="AO21" i="1"/>
  <c r="AN21" i="1"/>
  <c r="AL21" i="1"/>
  <c r="AK21" i="1"/>
  <c r="AJ21" i="1"/>
  <c r="AI21" i="1"/>
  <c r="AH21" i="1"/>
  <c r="AF21" i="1"/>
  <c r="AE21" i="1"/>
  <c r="AO20" i="1"/>
  <c r="AN20" i="1"/>
  <c r="AL20" i="1"/>
  <c r="AK20" i="1"/>
  <c r="AJ20" i="1"/>
  <c r="AI20" i="1"/>
  <c r="AH20" i="1"/>
  <c r="AF20" i="1"/>
  <c r="AE20" i="1"/>
  <c r="AO19" i="1"/>
  <c r="AN19" i="1"/>
  <c r="AL19" i="1"/>
  <c r="AK19" i="1"/>
  <c r="AJ19" i="1"/>
  <c r="AI19" i="1"/>
  <c r="AH19" i="1"/>
  <c r="AF19" i="1"/>
  <c r="AE19" i="1"/>
  <c r="AO18" i="1"/>
  <c r="AN18" i="1"/>
  <c r="AL18" i="1"/>
  <c r="AK18" i="1"/>
  <c r="AJ18" i="1"/>
  <c r="AI18" i="1"/>
  <c r="AH18" i="1"/>
  <c r="AE18" i="1"/>
  <c r="AO17" i="1"/>
  <c r="AN17" i="1"/>
  <c r="AL17" i="1"/>
  <c r="AK17" i="1"/>
  <c r="AJ17" i="1"/>
  <c r="AI17" i="1"/>
  <c r="AH17" i="1"/>
  <c r="AE17" i="1"/>
  <c r="AO16" i="1"/>
  <c r="AN16" i="1"/>
  <c r="AL16" i="1"/>
  <c r="AK16" i="1"/>
  <c r="AJ16" i="1"/>
  <c r="AI16" i="1"/>
  <c r="AH16" i="1"/>
  <c r="AE16" i="1"/>
  <c r="AO15" i="1"/>
  <c r="AN15" i="1"/>
  <c r="AL15" i="1"/>
  <c r="AK15" i="1"/>
  <c r="AJ15" i="1"/>
  <c r="AI15" i="1"/>
  <c r="AH15" i="1"/>
  <c r="AE15" i="1"/>
  <c r="AO14" i="1"/>
  <c r="AN14" i="1"/>
  <c r="AL14" i="1"/>
  <c r="AK14" i="1"/>
  <c r="AJ14" i="1"/>
  <c r="AI14" i="1"/>
  <c r="AH14" i="1"/>
  <c r="AF14" i="1"/>
  <c r="AE14" i="1"/>
  <c r="AO13" i="1"/>
  <c r="AN13" i="1"/>
  <c r="AL13" i="1"/>
  <c r="AK13" i="1"/>
  <c r="AJ13" i="1"/>
  <c r="AI13" i="1"/>
  <c r="AH13" i="1"/>
  <c r="AE13" i="1"/>
  <c r="AO12" i="1"/>
  <c r="AN12" i="1"/>
  <c r="AL12" i="1"/>
  <c r="AK12" i="1"/>
  <c r="AJ12" i="1"/>
  <c r="AI12" i="1"/>
  <c r="AH12" i="1"/>
  <c r="AE12" i="1"/>
  <c r="AO11" i="1"/>
  <c r="AN11" i="1"/>
  <c r="AL11" i="1"/>
  <c r="AK11" i="1"/>
  <c r="AJ11" i="1"/>
  <c r="AI11" i="1"/>
  <c r="AH11" i="1"/>
  <c r="AE11" i="1"/>
  <c r="AO10" i="1"/>
  <c r="AN10" i="1"/>
  <c r="AL10" i="1"/>
  <c r="AK10" i="1"/>
  <c r="AJ10" i="1"/>
  <c r="AI10" i="1"/>
  <c r="AH10" i="1"/>
  <c r="AE10" i="1"/>
  <c r="AO9" i="1"/>
  <c r="AN9" i="1"/>
  <c r="AL9" i="1"/>
  <c r="AK9" i="1"/>
  <c r="AJ9" i="1"/>
  <c r="AI9" i="1"/>
  <c r="AH9" i="1"/>
  <c r="AE9" i="1"/>
  <c r="AO8" i="1"/>
  <c r="AN8" i="1"/>
  <c r="AL8" i="1"/>
  <c r="AK8" i="1"/>
  <c r="AJ8" i="1"/>
  <c r="AI8" i="1"/>
  <c r="AH8" i="1"/>
  <c r="AF8" i="1"/>
  <c r="AE8" i="1"/>
  <c r="AO7" i="1"/>
  <c r="AN7" i="1"/>
  <c r="AL7" i="1"/>
  <c r="AK7" i="1"/>
  <c r="AJ7" i="1"/>
  <c r="AI7" i="1"/>
  <c r="AH7" i="1"/>
  <c r="AE7" i="1"/>
  <c r="AO6" i="1"/>
  <c r="AN6" i="1"/>
  <c r="AL6" i="1"/>
  <c r="AK6" i="1"/>
  <c r="AJ6" i="1"/>
  <c r="AI6" i="1"/>
  <c r="AH6" i="1"/>
  <c r="AF6" i="1"/>
  <c r="AE6" i="1"/>
  <c r="AO5" i="1"/>
  <c r="AN5" i="1"/>
  <c r="AL5" i="1"/>
  <c r="AK5" i="1"/>
  <c r="AJ5" i="1"/>
  <c r="AI5" i="1"/>
  <c r="AH5" i="1"/>
  <c r="AF5" i="1"/>
  <c r="AE5" i="1"/>
  <c r="AF4" i="1"/>
  <c r="AE4" i="1"/>
  <c r="AO4" i="1"/>
  <c r="AN4" i="1"/>
  <c r="AL4" i="1"/>
  <c r="AK4" i="1"/>
  <c r="AJ4" i="1"/>
  <c r="AI4" i="1"/>
  <c r="AH4" i="1"/>
  <c r="D19" i="4"/>
  <c r="AP40" i="1" l="1"/>
  <c r="D13" i="4"/>
  <c r="D9" i="4"/>
  <c r="E48" i="1" s="1"/>
  <c r="AM298" i="1"/>
  <c r="AM70" i="1"/>
  <c r="AM102" i="1"/>
  <c r="AM134" i="1"/>
  <c r="AM150" i="1"/>
  <c r="AM166" i="1"/>
  <c r="AM182" i="1"/>
  <c r="AM214" i="1"/>
  <c r="AM230" i="1"/>
  <c r="AM262" i="1"/>
  <c r="AM278" i="1"/>
  <c r="AM294" i="1"/>
  <c r="AM47" i="1"/>
  <c r="AP47" i="1" s="1"/>
  <c r="AM207" i="1"/>
  <c r="AM6" i="1"/>
  <c r="AP6" i="1" s="1"/>
  <c r="AM15" i="1"/>
  <c r="AM175" i="1"/>
  <c r="AM227" i="1"/>
  <c r="AM99" i="1"/>
  <c r="AM259" i="1"/>
  <c r="AM139" i="1"/>
  <c r="AM267" i="1"/>
  <c r="AM84" i="1"/>
  <c r="AM100" i="1"/>
  <c r="AM132" i="1"/>
  <c r="AM137" i="1"/>
  <c r="AM4" i="1"/>
  <c r="AP4" i="1" s="1"/>
  <c r="AM18" i="1"/>
  <c r="AM34" i="1"/>
  <c r="AP34" i="1" s="1"/>
  <c r="AM50" i="1"/>
  <c r="AP50" i="1" s="1"/>
  <c r="AM66" i="1"/>
  <c r="AM114" i="1"/>
  <c r="AM130" i="1"/>
  <c r="AM146" i="1"/>
  <c r="AM162" i="1"/>
  <c r="AM194" i="1"/>
  <c r="AM210" i="1"/>
  <c r="AM226" i="1"/>
  <c r="AM242" i="1"/>
  <c r="AM258" i="1"/>
  <c r="AM290" i="1"/>
  <c r="AM26" i="1"/>
  <c r="AM58" i="1"/>
  <c r="AM122" i="1"/>
  <c r="AM172" i="1"/>
  <c r="AM236" i="1"/>
  <c r="AM252" i="1"/>
  <c r="AM300" i="1"/>
  <c r="AM140" i="1"/>
  <c r="AM142" i="1"/>
  <c r="AM158" i="1"/>
  <c r="AM174" i="1"/>
  <c r="AM190" i="1"/>
  <c r="AM222" i="1"/>
  <c r="AM238" i="1"/>
  <c r="AM270" i="1"/>
  <c r="AM286" i="1"/>
  <c r="AM183" i="1"/>
  <c r="AM279" i="1"/>
  <c r="AM160" i="1"/>
  <c r="AM208" i="1"/>
  <c r="AM256" i="1"/>
  <c r="AM272" i="1"/>
  <c r="AM144" i="1"/>
  <c r="AM281" i="1"/>
  <c r="AM274" i="1"/>
  <c r="AM92" i="1"/>
  <c r="AM138" i="1"/>
  <c r="AM168" i="1"/>
  <c r="AM301" i="1"/>
  <c r="AM254" i="1"/>
  <c r="AM154" i="1"/>
  <c r="AM188" i="1"/>
  <c r="AM234" i="1"/>
  <c r="AM245" i="1"/>
  <c r="AM98" i="1"/>
  <c r="AM109" i="1"/>
  <c r="AM8" i="1"/>
  <c r="AP8" i="1" s="1"/>
  <c r="AM14" i="1"/>
  <c r="AP14" i="1" s="1"/>
  <c r="AM30" i="1"/>
  <c r="AP30" i="1" s="1"/>
  <c r="AM62" i="1"/>
  <c r="AM78" i="1"/>
  <c r="AM110" i="1"/>
  <c r="AM147" i="1"/>
  <c r="AM186" i="1"/>
  <c r="AM198" i="1"/>
  <c r="AM202" i="1"/>
  <c r="AM218" i="1"/>
  <c r="AM282" i="1"/>
  <c r="AM197" i="1"/>
  <c r="AM213" i="1"/>
  <c r="AM261" i="1"/>
  <c r="AM268" i="1"/>
  <c r="AM185" i="1"/>
  <c r="AM206" i="1"/>
  <c r="AM302" i="1"/>
  <c r="AM148" i="1"/>
  <c r="AM179" i="1"/>
  <c r="AM246" i="1"/>
  <c r="AM248" i="1"/>
  <c r="AM250" i="1"/>
  <c r="AM266" i="1"/>
  <c r="AM289" i="1"/>
  <c r="AM29" i="1"/>
  <c r="AP29" i="1" s="1"/>
  <c r="AM90" i="1"/>
  <c r="AM52" i="1"/>
  <c r="AP52" i="1" s="1"/>
  <c r="AM38" i="1"/>
  <c r="AP38" i="1" s="1"/>
  <c r="AM40" i="1"/>
  <c r="AM56" i="1"/>
  <c r="AM72" i="1"/>
  <c r="AM88" i="1"/>
  <c r="AM51" i="1"/>
  <c r="AP51" i="1" s="1"/>
  <c r="AM112" i="1"/>
  <c r="AM16" i="1"/>
  <c r="AM32" i="1"/>
  <c r="AP32" i="1" s="1"/>
  <c r="AM35" i="1"/>
  <c r="AP35" i="1" s="1"/>
  <c r="AM54" i="1"/>
  <c r="AM57" i="1"/>
  <c r="AM76" i="1"/>
  <c r="AM128" i="1"/>
  <c r="AM156" i="1"/>
  <c r="AM173" i="1"/>
  <c r="AM178" i="1"/>
  <c r="AM181" i="1"/>
  <c r="AM200" i="1"/>
  <c r="AM203" i="1"/>
  <c r="AM251" i="1"/>
  <c r="AM288" i="1"/>
  <c r="AM299" i="1"/>
  <c r="AM293" i="1"/>
  <c r="AM10" i="1"/>
  <c r="AM65" i="1"/>
  <c r="AM106" i="1"/>
  <c r="AM145" i="1"/>
  <c r="AM153" i="1"/>
  <c r="AM189" i="1"/>
  <c r="AM285" i="1"/>
  <c r="AM265" i="1"/>
  <c r="AM12" i="1"/>
  <c r="AM23" i="1"/>
  <c r="AP23" i="1" s="1"/>
  <c r="AM37" i="1"/>
  <c r="AP37" i="1" s="1"/>
  <c r="AM67" i="1"/>
  <c r="AM89" i="1"/>
  <c r="AM111" i="1"/>
  <c r="AM119" i="1"/>
  <c r="AM136" i="1"/>
  <c r="AM161" i="1"/>
  <c r="AM205" i="1"/>
  <c r="AM253" i="1"/>
  <c r="AM273" i="1"/>
  <c r="AM276" i="1"/>
  <c r="AM287" i="1"/>
  <c r="AM48" i="1"/>
  <c r="AP48" i="1" s="1"/>
  <c r="AM75" i="1"/>
  <c r="AM86" i="1"/>
  <c r="AM97" i="1"/>
  <c r="AM108" i="1"/>
  <c r="AM133" i="1"/>
  <c r="AM152" i="1"/>
  <c r="AM169" i="1"/>
  <c r="AM216" i="1"/>
  <c r="AM228" i="1"/>
  <c r="AM233" i="1"/>
  <c r="AM247" i="1"/>
  <c r="AM264" i="1"/>
  <c r="AM28" i="1"/>
  <c r="AP28" i="1" s="1"/>
  <c r="AM42" i="1"/>
  <c r="AP42" i="1" s="1"/>
  <c r="AM64" i="1"/>
  <c r="AM83" i="1"/>
  <c r="AM94" i="1"/>
  <c r="AM163" i="1"/>
  <c r="AM177" i="1"/>
  <c r="AM196" i="1"/>
  <c r="AM244" i="1"/>
  <c r="AM73" i="1"/>
  <c r="AM124" i="1"/>
  <c r="AM20" i="1"/>
  <c r="AP20" i="1" s="1"/>
  <c r="AM22" i="1"/>
  <c r="AP22" i="1" s="1"/>
  <c r="AM44" i="1"/>
  <c r="AP44" i="1" s="1"/>
  <c r="AM80" i="1"/>
  <c r="AM96" i="1"/>
  <c r="AM107" i="1"/>
  <c r="AM116" i="1"/>
  <c r="AM118" i="1"/>
  <c r="AM129" i="1"/>
  <c r="AM141" i="1"/>
  <c r="AM269" i="1"/>
  <c r="AM81" i="1"/>
  <c r="AM225" i="1"/>
  <c r="AM180" i="1"/>
  <c r="AM17" i="1"/>
  <c r="AM61" i="1"/>
  <c r="AM193" i="1"/>
  <c r="AM69" i="1"/>
  <c r="AM113" i="1"/>
  <c r="AM149" i="1"/>
  <c r="AM157" i="1"/>
  <c r="AM224" i="1"/>
  <c r="AM241" i="1"/>
  <c r="AM74" i="1"/>
  <c r="AM126" i="1"/>
  <c r="AM151" i="1"/>
  <c r="AM165" i="1"/>
  <c r="AM204" i="1"/>
  <c r="AM215" i="1"/>
  <c r="AM243" i="1"/>
  <c r="AM280" i="1"/>
  <c r="AM292" i="1"/>
  <c r="AM297" i="1"/>
  <c r="AM13" i="1"/>
  <c r="AM117" i="1"/>
  <c r="AM217" i="1"/>
  <c r="AM19" i="1"/>
  <c r="AP19" i="1" s="1"/>
  <c r="AM82" i="1"/>
  <c r="AM104" i="1"/>
  <c r="AM184" i="1"/>
  <c r="AM195" i="1"/>
  <c r="AM212" i="1"/>
  <c r="AM221" i="1"/>
  <c r="AM229" i="1"/>
  <c r="AM240" i="1"/>
  <c r="AM249" i="1"/>
  <c r="AM260" i="1"/>
  <c r="AM45" i="1"/>
  <c r="AP45" i="1" s="1"/>
  <c r="AM25" i="1"/>
  <c r="AM5" i="1"/>
  <c r="AP5" i="1" s="1"/>
  <c r="AM33" i="1"/>
  <c r="AP33" i="1" s="1"/>
  <c r="AM60" i="1"/>
  <c r="AM77" i="1"/>
  <c r="AM85" i="1"/>
  <c r="AM93" i="1"/>
  <c r="AM170" i="1"/>
  <c r="AM176" i="1"/>
  <c r="AM201" i="1"/>
  <c r="AM257" i="1"/>
  <c r="AM277" i="1"/>
  <c r="AM291" i="1"/>
  <c r="AM9" i="1"/>
  <c r="AM105" i="1"/>
  <c r="AM24" i="1"/>
  <c r="AM41" i="1"/>
  <c r="AP41" i="1" s="1"/>
  <c r="AM46" i="1"/>
  <c r="AP46" i="1" s="1"/>
  <c r="AM49" i="1"/>
  <c r="AP49" i="1" s="1"/>
  <c r="AM79" i="1"/>
  <c r="AM101" i="1"/>
  <c r="AM120" i="1"/>
  <c r="AM131" i="1"/>
  <c r="AM209" i="1"/>
  <c r="AM223" i="1"/>
  <c r="AM237" i="1"/>
  <c r="AM271" i="1"/>
  <c r="AM125" i="1"/>
  <c r="AM43" i="1"/>
  <c r="AP43" i="1" s="1"/>
  <c r="AM53" i="1"/>
  <c r="AM68" i="1"/>
  <c r="AM87" i="1"/>
  <c r="AM115" i="1"/>
  <c r="AM171" i="1"/>
  <c r="AM11" i="1"/>
  <c r="AM21" i="1"/>
  <c r="AP21" i="1" s="1"/>
  <c r="AM36" i="1"/>
  <c r="AP36" i="1" s="1"/>
  <c r="AM121" i="1"/>
  <c r="AM143" i="1"/>
  <c r="AM220" i="1"/>
  <c r="AM284" i="1"/>
  <c r="AM55" i="1"/>
  <c r="AM164" i="1"/>
  <c r="AM192" i="1"/>
  <c r="AM232" i="1"/>
  <c r="AM296" i="1"/>
  <c r="AM199" i="1"/>
  <c r="AM263" i="1"/>
  <c r="AM7" i="1"/>
  <c r="AM39" i="1"/>
  <c r="AP39" i="1" s="1"/>
  <c r="AM71" i="1"/>
  <c r="AM103" i="1"/>
  <c r="AM135" i="1"/>
  <c r="AM167" i="1"/>
  <c r="AM219" i="1"/>
  <c r="AM283" i="1"/>
  <c r="AM239" i="1"/>
  <c r="AM303" i="1"/>
  <c r="AM63" i="1"/>
  <c r="AM95" i="1"/>
  <c r="AM127" i="1"/>
  <c r="AM159" i="1"/>
  <c r="AM191" i="1"/>
  <c r="AM235" i="1"/>
  <c r="AM31" i="1"/>
  <c r="AP31" i="1" s="1"/>
  <c r="AM255" i="1"/>
  <c r="AM27" i="1"/>
  <c r="AM59" i="1"/>
  <c r="AM91" i="1"/>
  <c r="AM123" i="1"/>
  <c r="AM155" i="1"/>
  <c r="AM187" i="1"/>
  <c r="AM211" i="1"/>
  <c r="AM275" i="1"/>
  <c r="AM231" i="1"/>
  <c r="AM295"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D14" i="4"/>
  <c r="D12" i="4"/>
  <c r="D11" i="4"/>
  <c r="D10" i="4"/>
  <c r="X313" i="3"/>
  <c r="X312" i="3"/>
  <c r="X302" i="3"/>
  <c r="X299" i="3"/>
  <c r="X297" i="3"/>
  <c r="X296" i="3"/>
  <c r="X294" i="3"/>
  <c r="X289" i="3"/>
  <c r="X286" i="3"/>
  <c r="X281" i="3"/>
  <c r="X276" i="3"/>
  <c r="X273" i="3"/>
  <c r="X272" i="3"/>
  <c r="X266" i="3"/>
  <c r="X261" i="3"/>
  <c r="X260" i="3"/>
  <c r="X254" i="3"/>
  <c r="X244" i="3"/>
  <c r="X243" i="3"/>
  <c r="X241" i="3"/>
  <c r="X235" i="3"/>
  <c r="X233" i="3"/>
  <c r="X228" i="3"/>
  <c r="X227" i="3"/>
  <c r="X224" i="3"/>
  <c r="X217" i="3"/>
  <c r="X216" i="3"/>
  <c r="X197" i="3"/>
  <c r="X184" i="3"/>
  <c r="X181" i="3"/>
  <c r="X171" i="3"/>
  <c r="X169" i="3"/>
  <c r="X164" i="3"/>
  <c r="X149" i="3"/>
  <c r="X145" i="3"/>
  <c r="X138" i="3"/>
  <c r="X137" i="3"/>
  <c r="X134" i="3"/>
  <c r="X133" i="3"/>
  <c r="X131" i="3"/>
  <c r="X129" i="3"/>
  <c r="X124" i="3"/>
  <c r="X123" i="3"/>
  <c r="X117" i="3"/>
  <c r="X112" i="3"/>
  <c r="X111" i="3"/>
  <c r="X105" i="3"/>
  <c r="X102" i="3"/>
  <c r="Q303" i="1"/>
  <c r="D303" i="1"/>
  <c r="Q302" i="1"/>
  <c r="W302" i="1" s="1"/>
  <c r="AA302" i="1" s="1"/>
  <c r="D302" i="1"/>
  <c r="Q301" i="1"/>
  <c r="D301" i="1"/>
  <c r="Q300" i="1"/>
  <c r="D300" i="1"/>
  <c r="W300" i="1" s="1"/>
  <c r="AA300" i="1" s="1"/>
  <c r="W299" i="1"/>
  <c r="AA299" i="1" s="1"/>
  <c r="Q299" i="1"/>
  <c r="X309" i="3" s="1"/>
  <c r="D299" i="1"/>
  <c r="Q298" i="1"/>
  <c r="D298" i="1"/>
  <c r="Q297" i="1"/>
  <c r="W297" i="1" s="1"/>
  <c r="AA297" i="1" s="1"/>
  <c r="D297" i="1"/>
  <c r="Q296" i="1"/>
  <c r="W296" i="1" s="1"/>
  <c r="AA296" i="1" s="1"/>
  <c r="D296" i="1"/>
  <c r="Q295" i="1"/>
  <c r="D295" i="1"/>
  <c r="W294" i="1"/>
  <c r="AA294" i="1" s="1"/>
  <c r="Q294" i="1"/>
  <c r="D294" i="1"/>
  <c r="Q293" i="1"/>
  <c r="D293" i="1"/>
  <c r="X303" i="3" s="1"/>
  <c r="W292" i="1"/>
  <c r="AA292" i="1" s="1"/>
  <c r="Q292" i="1"/>
  <c r="D292" i="1"/>
  <c r="Q291" i="1"/>
  <c r="D291" i="1"/>
  <c r="W290" i="1"/>
  <c r="AA290" i="1" s="1"/>
  <c r="Q290" i="1"/>
  <c r="D290" i="1"/>
  <c r="X300" i="3" s="1"/>
  <c r="Q289" i="1"/>
  <c r="D289" i="1"/>
  <c r="W289" i="1" s="1"/>
  <c r="AA289" i="1" s="1"/>
  <c r="Q288" i="1"/>
  <c r="D288" i="1"/>
  <c r="W287" i="1"/>
  <c r="AA287" i="1" s="1"/>
  <c r="Q287" i="1"/>
  <c r="D287" i="1"/>
  <c r="Q286" i="1"/>
  <c r="D286" i="1"/>
  <c r="W286" i="1" s="1"/>
  <c r="AA286" i="1" s="1"/>
  <c r="Q285" i="1"/>
  <c r="D285" i="1"/>
  <c r="W284" i="1"/>
  <c r="AA284" i="1" s="1"/>
  <c r="Q284" i="1"/>
  <c r="D284" i="1"/>
  <c r="W283" i="1"/>
  <c r="AA283" i="1" s="1"/>
  <c r="Q283" i="1"/>
  <c r="D283" i="1"/>
  <c r="Q282" i="1"/>
  <c r="D282" i="1"/>
  <c r="Q281" i="1"/>
  <c r="D281" i="1"/>
  <c r="Q280" i="1"/>
  <c r="D280" i="1"/>
  <c r="Q279" i="1"/>
  <c r="D279" i="1"/>
  <c r="Q278" i="1"/>
  <c r="D278" i="1"/>
  <c r="Q277" i="1"/>
  <c r="D277" i="1"/>
  <c r="W276" i="1"/>
  <c r="AA276" i="1" s="1"/>
  <c r="Q276" i="1"/>
  <c r="D276" i="1"/>
  <c r="Q275" i="1"/>
  <c r="D275" i="1"/>
  <c r="Q274" i="1"/>
  <c r="D274" i="1"/>
  <c r="Q273" i="1"/>
  <c r="D273" i="1"/>
  <c r="W273" i="1" s="1"/>
  <c r="AA273" i="1" s="1"/>
  <c r="Q272" i="1"/>
  <c r="D272" i="1"/>
  <c r="W271" i="1"/>
  <c r="AA271" i="1" s="1"/>
  <c r="Q271" i="1"/>
  <c r="D271" i="1"/>
  <c r="Q270" i="1"/>
  <c r="D270" i="1"/>
  <c r="Q269" i="1"/>
  <c r="D269" i="1"/>
  <c r="Q268" i="1"/>
  <c r="W268" i="1" s="1"/>
  <c r="AA268" i="1" s="1"/>
  <c r="D268" i="1"/>
  <c r="X278" i="3" s="1"/>
  <c r="Q267" i="1"/>
  <c r="D267" i="1"/>
  <c r="W266" i="1"/>
  <c r="AA266" i="1" s="1"/>
  <c r="Q266" i="1"/>
  <c r="D266" i="1"/>
  <c r="Q265" i="1"/>
  <c r="D265" i="1"/>
  <c r="W264" i="1"/>
  <c r="AA264" i="1" s="1"/>
  <c r="Q264" i="1"/>
  <c r="D264" i="1"/>
  <c r="Q263" i="1"/>
  <c r="W263" i="1" s="1"/>
  <c r="AA263" i="1" s="1"/>
  <c r="D263" i="1"/>
  <c r="Q262" i="1"/>
  <c r="W262" i="1" s="1"/>
  <c r="AA262" i="1" s="1"/>
  <c r="D262" i="1"/>
  <c r="W261" i="1"/>
  <c r="AA261" i="1" s="1"/>
  <c r="Q261" i="1"/>
  <c r="D261" i="1"/>
  <c r="Q260" i="1"/>
  <c r="D260" i="1"/>
  <c r="Q259" i="1"/>
  <c r="D259" i="1"/>
  <c r="Q258" i="1"/>
  <c r="D258" i="1"/>
  <c r="W258" i="1" s="1"/>
  <c r="AA258" i="1" s="1"/>
  <c r="Q257" i="1"/>
  <c r="D257" i="1"/>
  <c r="W256" i="1"/>
  <c r="AA256" i="1" s="1"/>
  <c r="Q256" i="1"/>
  <c r="D256" i="1"/>
  <c r="Q255" i="1"/>
  <c r="D255" i="1"/>
  <c r="Q254" i="1"/>
  <c r="X264" i="3" s="1"/>
  <c r="D254" i="1"/>
  <c r="Q253" i="1"/>
  <c r="W253" i="1" s="1"/>
  <c r="AA253" i="1" s="1"/>
  <c r="D253" i="1"/>
  <c r="X263" i="3" s="1"/>
  <c r="Q252" i="1"/>
  <c r="D252" i="1"/>
  <c r="W252" i="1" s="1"/>
  <c r="AA252" i="1" s="1"/>
  <c r="W251" i="1"/>
  <c r="AA251" i="1" s="1"/>
  <c r="Q251" i="1"/>
  <c r="D251" i="1"/>
  <c r="Q250" i="1"/>
  <c r="D250" i="1"/>
  <c r="Q249" i="1"/>
  <c r="D249" i="1"/>
  <c r="Q248" i="1"/>
  <c r="D248" i="1"/>
  <c r="Q247" i="1"/>
  <c r="D247" i="1"/>
  <c r="W246" i="1"/>
  <c r="AA246" i="1" s="1"/>
  <c r="Q246" i="1"/>
  <c r="D246" i="1"/>
  <c r="X256" i="3" s="1"/>
  <c r="Q245" i="1"/>
  <c r="D245" i="1"/>
  <c r="Q244" i="1"/>
  <c r="W244" i="1" s="1"/>
  <c r="AA244" i="1" s="1"/>
  <c r="D244" i="1"/>
  <c r="Q243" i="1"/>
  <c r="D243" i="1"/>
  <c r="Q242" i="1"/>
  <c r="D242" i="1"/>
  <c r="Q241" i="1"/>
  <c r="D241" i="1"/>
  <c r="Q240" i="1"/>
  <c r="D240" i="1"/>
  <c r="X250" i="3" s="1"/>
  <c r="W239" i="1"/>
  <c r="AA239" i="1" s="1"/>
  <c r="Q239" i="1"/>
  <c r="D239" i="1"/>
  <c r="X249" i="3" s="1"/>
  <c r="Q238" i="1"/>
  <c r="D238" i="1"/>
  <c r="Q237" i="1"/>
  <c r="W237" i="1" s="1"/>
  <c r="AA237" i="1" s="1"/>
  <c r="D237" i="1"/>
  <c r="Q236" i="1"/>
  <c r="D236" i="1"/>
  <c r="W236" i="1" s="1"/>
  <c r="AA236" i="1" s="1"/>
  <c r="W235" i="1"/>
  <c r="AA235" i="1" s="1"/>
  <c r="Q235" i="1"/>
  <c r="X245" i="3" s="1"/>
  <c r="D235" i="1"/>
  <c r="Q234" i="1"/>
  <c r="D234" i="1"/>
  <c r="W234" i="1" s="1"/>
  <c r="AA234" i="1" s="1"/>
  <c r="Q233" i="1"/>
  <c r="D233" i="1"/>
  <c r="W233" i="1" s="1"/>
  <c r="AA233" i="1" s="1"/>
  <c r="Q232" i="1"/>
  <c r="W232" i="1" s="1"/>
  <c r="AA232" i="1" s="1"/>
  <c r="D232" i="1"/>
  <c r="Q231" i="1"/>
  <c r="D231" i="1"/>
  <c r="W230" i="1"/>
  <c r="AA230" i="1" s="1"/>
  <c r="Q230" i="1"/>
  <c r="X240" i="3" s="1"/>
  <c r="D230" i="1"/>
  <c r="Q229" i="1"/>
  <c r="D229" i="1"/>
  <c r="Q228" i="1"/>
  <c r="D228" i="1"/>
  <c r="Q227" i="1"/>
  <c r="D227" i="1"/>
  <c r="Q226" i="1"/>
  <c r="D226" i="1"/>
  <c r="Q225" i="1"/>
  <c r="D225" i="1"/>
  <c r="W225" i="1" s="1"/>
  <c r="AA225" i="1" s="1"/>
  <c r="Q224" i="1"/>
  <c r="X234" i="3" s="1"/>
  <c r="D224" i="1"/>
  <c r="W223" i="1"/>
  <c r="AA223" i="1" s="1"/>
  <c r="Q223" i="1"/>
  <c r="D223" i="1"/>
  <c r="Q222" i="1"/>
  <c r="D222" i="1"/>
  <c r="Q221" i="1"/>
  <c r="W221" i="1" s="1"/>
  <c r="AA221" i="1" s="1"/>
  <c r="D221" i="1"/>
  <c r="X231" i="3" s="1"/>
  <c r="W220" i="1"/>
  <c r="AA220" i="1" s="1"/>
  <c r="Q220" i="1"/>
  <c r="D220" i="1"/>
  <c r="Q219" i="1"/>
  <c r="W219" i="1" s="1"/>
  <c r="AA219" i="1" s="1"/>
  <c r="D219" i="1"/>
  <c r="W218" i="1"/>
  <c r="AA218" i="1" s="1"/>
  <c r="Q218" i="1"/>
  <c r="D218" i="1"/>
  <c r="W217" i="1"/>
  <c r="AA217" i="1" s="1"/>
  <c r="Q217" i="1"/>
  <c r="D217" i="1"/>
  <c r="Q216" i="1"/>
  <c r="D216" i="1"/>
  <c r="Q215" i="1"/>
  <c r="D215" i="1"/>
  <c r="Q214" i="1"/>
  <c r="W214" i="1" s="1"/>
  <c r="AA214" i="1" s="1"/>
  <c r="D214" i="1"/>
  <c r="Q213" i="1"/>
  <c r="D213" i="1"/>
  <c r="X223" i="3" s="1"/>
  <c r="W212" i="1"/>
  <c r="AA212" i="1" s="1"/>
  <c r="Q212" i="1"/>
  <c r="X222" i="3" s="1"/>
  <c r="D212" i="1"/>
  <c r="Q211" i="1"/>
  <c r="D211" i="1"/>
  <c r="Q210" i="1"/>
  <c r="D210" i="1"/>
  <c r="Q209" i="1"/>
  <c r="D209" i="1"/>
  <c r="Q208" i="1"/>
  <c r="D208" i="1"/>
  <c r="Q207" i="1"/>
  <c r="D207" i="1"/>
  <c r="W207" i="1" s="1"/>
  <c r="AA207" i="1" s="1"/>
  <c r="Q206" i="1"/>
  <c r="D206" i="1"/>
  <c r="W205" i="1"/>
  <c r="AA205" i="1" s="1"/>
  <c r="Q205" i="1"/>
  <c r="D205" i="1"/>
  <c r="X215" i="3" s="1"/>
  <c r="W204" i="1"/>
  <c r="AA204" i="1" s="1"/>
  <c r="Q204" i="1"/>
  <c r="D204" i="1"/>
  <c r="Q203" i="1"/>
  <c r="X213" i="3" s="1"/>
  <c r="D203" i="1"/>
  <c r="Q202" i="1"/>
  <c r="D202" i="1"/>
  <c r="Q201" i="1"/>
  <c r="D201" i="1"/>
  <c r="W201" i="1" s="1"/>
  <c r="AA201" i="1" s="1"/>
  <c r="Q200" i="1"/>
  <c r="D200" i="1"/>
  <c r="W200" i="1" s="1"/>
  <c r="AA200" i="1" s="1"/>
  <c r="Q199" i="1"/>
  <c r="X209" i="3" s="1"/>
  <c r="D199" i="1"/>
  <c r="Q198" i="1"/>
  <c r="D198" i="1"/>
  <c r="Q197" i="1"/>
  <c r="W197" i="1" s="1"/>
  <c r="AA197" i="1" s="1"/>
  <c r="D197" i="1"/>
  <c r="Q196" i="1"/>
  <c r="D196" i="1"/>
  <c r="Q195" i="1"/>
  <c r="D195" i="1"/>
  <c r="W194" i="1"/>
  <c r="AA194" i="1" s="1"/>
  <c r="Q194" i="1"/>
  <c r="D194" i="1"/>
  <c r="X204" i="3" s="1"/>
  <c r="Q193" i="1"/>
  <c r="D193" i="1"/>
  <c r="Q192" i="1"/>
  <c r="W192" i="1" s="1"/>
  <c r="AA192" i="1" s="1"/>
  <c r="D192" i="1"/>
  <c r="Q191" i="1"/>
  <c r="D191" i="1"/>
  <c r="W191" i="1" s="1"/>
  <c r="AA191" i="1" s="1"/>
  <c r="Q190" i="1"/>
  <c r="D190" i="1"/>
  <c r="Q189" i="1"/>
  <c r="W189" i="1" s="1"/>
  <c r="AA189" i="1" s="1"/>
  <c r="D189" i="1"/>
  <c r="X199" i="3" s="1"/>
  <c r="Q188" i="1"/>
  <c r="D188" i="1"/>
  <c r="W187" i="1"/>
  <c r="AA187" i="1" s="1"/>
  <c r="Q187" i="1"/>
  <c r="D187" i="1"/>
  <c r="Q186" i="1"/>
  <c r="D186" i="1"/>
  <c r="W185" i="1"/>
  <c r="AA185" i="1" s="1"/>
  <c r="Q185" i="1"/>
  <c r="D185" i="1"/>
  <c r="Q184" i="1"/>
  <c r="D184" i="1"/>
  <c r="Q183" i="1"/>
  <c r="D183" i="1"/>
  <c r="X193" i="3" s="1"/>
  <c r="W182" i="1"/>
  <c r="AA182" i="1" s="1"/>
  <c r="Q182" i="1"/>
  <c r="D182" i="1"/>
  <c r="Q181" i="1"/>
  <c r="D181" i="1"/>
  <c r="X191" i="3" s="1"/>
  <c r="Q180" i="1"/>
  <c r="X190" i="3" s="1"/>
  <c r="D180" i="1"/>
  <c r="Q179" i="1"/>
  <c r="D179" i="1"/>
  <c r="Q178" i="1"/>
  <c r="X188" i="3" s="1"/>
  <c r="D178" i="1"/>
  <c r="Q177" i="1"/>
  <c r="D177" i="1"/>
  <c r="Q176" i="1"/>
  <c r="D176" i="1"/>
  <c r="Q175" i="1"/>
  <c r="D175" i="1"/>
  <c r="X185" i="3" s="1"/>
  <c r="W174" i="1"/>
  <c r="AA174" i="1" s="1"/>
  <c r="Q174" i="1"/>
  <c r="D174" i="1"/>
  <c r="Q173" i="1"/>
  <c r="D173" i="1"/>
  <c r="Q172" i="1"/>
  <c r="W172" i="1" s="1"/>
  <c r="AA172" i="1" s="1"/>
  <c r="D172" i="1"/>
  <c r="W171" i="1"/>
  <c r="AA171" i="1" s="1"/>
  <c r="Q171" i="1"/>
  <c r="D171" i="1"/>
  <c r="Q170" i="1"/>
  <c r="D170" i="1"/>
  <c r="W169" i="1"/>
  <c r="AA169" i="1" s="1"/>
  <c r="Q169" i="1"/>
  <c r="D169" i="1"/>
  <c r="X179" i="3" s="1"/>
  <c r="Q168" i="1"/>
  <c r="D168" i="1"/>
  <c r="Q167" i="1"/>
  <c r="W167" i="1" s="1"/>
  <c r="AA167" i="1" s="1"/>
  <c r="D167" i="1"/>
  <c r="X177" i="3" s="1"/>
  <c r="W166" i="1"/>
  <c r="AA166" i="1" s="1"/>
  <c r="Q166" i="1"/>
  <c r="X176" i="3" s="1"/>
  <c r="D166" i="1"/>
  <c r="Q165" i="1"/>
  <c r="D165" i="1"/>
  <c r="Q164" i="1"/>
  <c r="D164" i="1"/>
  <c r="X174" i="3" s="1"/>
  <c r="Q163" i="1"/>
  <c r="D163" i="1"/>
  <c r="Q162" i="1"/>
  <c r="W162" i="1" s="1"/>
  <c r="AA162" i="1" s="1"/>
  <c r="D162" i="1"/>
  <c r="Q161" i="1"/>
  <c r="D161" i="1"/>
  <c r="W161" i="1" s="1"/>
  <c r="AA161" i="1" s="1"/>
  <c r="W160" i="1"/>
  <c r="AA160" i="1" s="1"/>
  <c r="Q160" i="1"/>
  <c r="D160" i="1"/>
  <c r="W159" i="1"/>
  <c r="AA159" i="1" s="1"/>
  <c r="Q159" i="1"/>
  <c r="D159" i="1"/>
  <c r="Q158" i="1"/>
  <c r="D158" i="1"/>
  <c r="W157" i="1"/>
  <c r="AA157" i="1" s="1"/>
  <c r="Q157" i="1"/>
  <c r="D157" i="1"/>
  <c r="Q156" i="1"/>
  <c r="D156" i="1"/>
  <c r="Q155" i="1"/>
  <c r="D155" i="1"/>
  <c r="Q154" i="1"/>
  <c r="W154" i="1" s="1"/>
  <c r="AA154" i="1" s="1"/>
  <c r="D154" i="1"/>
  <c r="Q153" i="1"/>
  <c r="D153" i="1"/>
  <c r="Q152" i="1"/>
  <c r="W152" i="1" s="1"/>
  <c r="AA152" i="1" s="1"/>
  <c r="D152" i="1"/>
  <c r="Q151" i="1"/>
  <c r="D151" i="1"/>
  <c r="Q150" i="1"/>
  <c r="W150" i="1" s="1"/>
  <c r="AA150" i="1" s="1"/>
  <c r="D150" i="1"/>
  <c r="W149" i="1"/>
  <c r="AA149" i="1" s="1"/>
  <c r="Q149" i="1"/>
  <c r="D149" i="1"/>
  <c r="X159" i="3" s="1"/>
  <c r="Q148" i="1"/>
  <c r="D148" i="1"/>
  <c r="X158" i="3" s="1"/>
  <c r="Q147" i="1"/>
  <c r="D147" i="1"/>
  <c r="Q146" i="1"/>
  <c r="D146" i="1"/>
  <c r="Q145" i="1"/>
  <c r="D145" i="1"/>
  <c r="W144" i="1"/>
  <c r="AA144" i="1" s="1"/>
  <c r="Q144" i="1"/>
  <c r="D144" i="1"/>
  <c r="Q143" i="1"/>
  <c r="D143" i="1"/>
  <c r="Q142" i="1"/>
  <c r="W142" i="1" s="1"/>
  <c r="AA142" i="1" s="1"/>
  <c r="D142" i="1"/>
  <c r="W141" i="1"/>
  <c r="AA141" i="1" s="1"/>
  <c r="Q141" i="1"/>
  <c r="D141" i="1"/>
  <c r="X151" i="3" s="1"/>
  <c r="Q140" i="1"/>
  <c r="D140" i="1"/>
  <c r="Q139" i="1"/>
  <c r="W139" i="1" s="1"/>
  <c r="AA139" i="1" s="1"/>
  <c r="D139" i="1"/>
  <c r="Q138" i="1"/>
  <c r="D138" i="1"/>
  <c r="W138" i="1" s="1"/>
  <c r="AA138" i="1" s="1"/>
  <c r="W137" i="1"/>
  <c r="AA137" i="1" s="1"/>
  <c r="Q137" i="1"/>
  <c r="D137" i="1"/>
  <c r="X147" i="3" s="1"/>
  <c r="Q136" i="1"/>
  <c r="D136" i="1"/>
  <c r="Q135" i="1"/>
  <c r="W135" i="1" s="1"/>
  <c r="AA135" i="1" s="1"/>
  <c r="D135" i="1"/>
  <c r="Q134" i="1"/>
  <c r="D134" i="1"/>
  <c r="W133" i="1"/>
  <c r="AA133" i="1" s="1"/>
  <c r="Q133" i="1"/>
  <c r="X143" i="3" s="1"/>
  <c r="D133" i="1"/>
  <c r="Q132" i="1"/>
  <c r="D132" i="1"/>
  <c r="X142" i="3" s="1"/>
  <c r="Q131" i="1"/>
  <c r="D131" i="1"/>
  <c r="Q130" i="1"/>
  <c r="D130" i="1"/>
  <c r="X140" i="3" s="1"/>
  <c r="Q129" i="1"/>
  <c r="D129" i="1"/>
  <c r="W128" i="1"/>
  <c r="AA128" i="1" s="1"/>
  <c r="Q128" i="1"/>
  <c r="D128" i="1"/>
  <c r="Q127" i="1"/>
  <c r="D127" i="1"/>
  <c r="Q126" i="1"/>
  <c r="D126" i="1"/>
  <c r="Q125" i="1"/>
  <c r="W125" i="1" s="1"/>
  <c r="AA125" i="1" s="1"/>
  <c r="D125" i="1"/>
  <c r="X135" i="3" s="1"/>
  <c r="W124" i="1"/>
  <c r="AA124" i="1" s="1"/>
  <c r="Q124" i="1"/>
  <c r="D124" i="1"/>
  <c r="W123" i="1"/>
  <c r="AA123" i="1" s="1"/>
  <c r="Q123" i="1"/>
  <c r="D123" i="1"/>
  <c r="Q122" i="1"/>
  <c r="X132" i="3" s="1"/>
  <c r="D122" i="1"/>
  <c r="W121" i="1"/>
  <c r="AA121" i="1" s="1"/>
  <c r="Q121" i="1"/>
  <c r="D121" i="1"/>
  <c r="Q120" i="1"/>
  <c r="D120" i="1"/>
  <c r="W119" i="1"/>
  <c r="AA119" i="1" s="1"/>
  <c r="Q119" i="1"/>
  <c r="D119" i="1"/>
  <c r="Q118" i="1"/>
  <c r="D118" i="1"/>
  <c r="Q117" i="1"/>
  <c r="W117" i="1" s="1"/>
  <c r="AA117" i="1" s="1"/>
  <c r="D117" i="1"/>
  <c r="Q116" i="1"/>
  <c r="D116" i="1"/>
  <c r="Q115" i="1"/>
  <c r="D115" i="1"/>
  <c r="Q114" i="1"/>
  <c r="W114" i="1" s="1"/>
  <c r="AA114" i="1" s="1"/>
  <c r="D114" i="1"/>
  <c r="Q113" i="1"/>
  <c r="D113" i="1"/>
  <c r="Q112" i="1"/>
  <c r="X122" i="3" s="1"/>
  <c r="D112" i="1"/>
  <c r="Q111" i="1"/>
  <c r="D111" i="1"/>
  <c r="Q110" i="1"/>
  <c r="W110" i="1" s="1"/>
  <c r="AA110" i="1" s="1"/>
  <c r="D110" i="1"/>
  <c r="Q109" i="1"/>
  <c r="W109" i="1" s="1"/>
  <c r="AA109" i="1" s="1"/>
  <c r="D109" i="1"/>
  <c r="Q108" i="1"/>
  <c r="D108" i="1"/>
  <c r="W108" i="1" s="1"/>
  <c r="AA108" i="1" s="1"/>
  <c r="W107" i="1"/>
  <c r="AA107" i="1" s="1"/>
  <c r="Q107" i="1"/>
  <c r="D107" i="1"/>
  <c r="Q106" i="1"/>
  <c r="D106" i="1"/>
  <c r="Q105" i="1"/>
  <c r="W105" i="1" s="1"/>
  <c r="AA105" i="1" s="1"/>
  <c r="D105" i="1"/>
  <c r="Q104" i="1"/>
  <c r="D104" i="1"/>
  <c r="Q103" i="1"/>
  <c r="D103" i="1"/>
  <c r="W102" i="1"/>
  <c r="AA102" i="1" s="1"/>
  <c r="Q102" i="1"/>
  <c r="D102" i="1"/>
  <c r="Q101" i="1"/>
  <c r="D101" i="1"/>
  <c r="Q100" i="1"/>
  <c r="W100" i="1" s="1"/>
  <c r="AA100" i="1" s="1"/>
  <c r="D100" i="1"/>
  <c r="X110" i="3" s="1"/>
  <c r="Q99" i="1"/>
  <c r="D99" i="1"/>
  <c r="Q98" i="1"/>
  <c r="D98" i="1"/>
  <c r="X108" i="3" s="1"/>
  <c r="Q97" i="1"/>
  <c r="D97" i="1"/>
  <c r="W97" i="1" s="1"/>
  <c r="AA97" i="1" s="1"/>
  <c r="Q96" i="1"/>
  <c r="D96" i="1"/>
  <c r="W95" i="1"/>
  <c r="AA95" i="1" s="1"/>
  <c r="Q95" i="1"/>
  <c r="D95" i="1"/>
  <c r="Q94" i="1"/>
  <c r="D94" i="1"/>
  <c r="Q93" i="1"/>
  <c r="D93" i="1"/>
  <c r="X103" i="3" s="1"/>
  <c r="W92" i="1"/>
  <c r="AA92" i="1" s="1"/>
  <c r="Q92" i="1"/>
  <c r="D92" i="1"/>
  <c r="Q91"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BN3" i="2"/>
  <c r="DD3" i="2"/>
  <c r="DD4" i="2"/>
  <c r="DD5" i="2"/>
  <c r="Q3" i="2"/>
  <c r="H4" i="1" s="1"/>
  <c r="BH3" i="2"/>
  <c r="BN4" i="2"/>
  <c r="BH4" i="2"/>
  <c r="BH5" i="2"/>
  <c r="D4" i="1"/>
  <c r="L4" i="1" l="1"/>
  <c r="X292" i="3"/>
  <c r="W282" i="1"/>
  <c r="AA282" i="1" s="1"/>
  <c r="X165" i="3"/>
  <c r="W155" i="1"/>
  <c r="AA155" i="1" s="1"/>
  <c r="W153" i="1"/>
  <c r="AA153" i="1" s="1"/>
  <c r="X163" i="3"/>
  <c r="X128" i="3"/>
  <c r="W118" i="1"/>
  <c r="W145" i="1"/>
  <c r="AA145" i="1" s="1"/>
  <c r="X155" i="3"/>
  <c r="W94" i="1"/>
  <c r="AA94" i="1" s="1"/>
  <c r="X104" i="3"/>
  <c r="X202" i="1"/>
  <c r="W285" i="1"/>
  <c r="X150" i="3"/>
  <c r="W199" i="1"/>
  <c r="AA199" i="1" s="1"/>
  <c r="X101" i="3"/>
  <c r="W91" i="1"/>
  <c r="AA91" i="1" s="1"/>
  <c r="W238" i="1"/>
  <c r="AA238" i="1" s="1"/>
  <c r="X248" i="3"/>
  <c r="W257" i="1"/>
  <c r="AA257" i="1" s="1"/>
  <c r="X267" i="3"/>
  <c r="X290" i="3"/>
  <c r="W280" i="1"/>
  <c r="X237" i="3"/>
  <c r="W227" i="1"/>
  <c r="W113" i="1"/>
  <c r="AA113" i="1" s="1"/>
  <c r="X218" i="3"/>
  <c r="W208" i="1"/>
  <c r="AA208" i="1" s="1"/>
  <c r="X257" i="3"/>
  <c r="W151" i="1"/>
  <c r="AA151" i="1" s="1"/>
  <c r="X161" i="3"/>
  <c r="X180" i="3"/>
  <c r="W170" i="1"/>
  <c r="AA170" i="1" s="1"/>
  <c r="W180" i="1"/>
  <c r="AA180" i="1" s="1"/>
  <c r="W140" i="1"/>
  <c r="AA140" i="1" s="1"/>
  <c r="X265" i="3"/>
  <c r="W255" i="1"/>
  <c r="AA255" i="1" s="1"/>
  <c r="X175" i="1"/>
  <c r="X207" i="3"/>
  <c r="X113" i="3"/>
  <c r="W148" i="1"/>
  <c r="AA148" i="1" s="1"/>
  <c r="W250" i="1"/>
  <c r="AA250" i="1" s="1"/>
  <c r="X282" i="3"/>
  <c r="W277" i="1"/>
  <c r="AA277" i="1" s="1"/>
  <c r="X200" i="3"/>
  <c r="X238" i="3"/>
  <c r="W228" i="1"/>
  <c r="X115" i="3"/>
  <c r="X148" i="3"/>
  <c r="W175" i="1"/>
  <c r="AA175" i="1" s="1"/>
  <c r="W198" i="1"/>
  <c r="AA198" i="1" s="1"/>
  <c r="W245" i="1"/>
  <c r="AA245" i="1" s="1"/>
  <c r="X255" i="3"/>
  <c r="X305" i="3"/>
  <c r="X208" i="3"/>
  <c r="W106" i="1"/>
  <c r="AA106" i="1" s="1"/>
  <c r="X116" i="3"/>
  <c r="X136" i="1"/>
  <c r="AQ136" i="1" s="1"/>
  <c r="X146" i="3"/>
  <c r="W136" i="1"/>
  <c r="AA136" i="1" s="1"/>
  <c r="X170" i="3"/>
  <c r="X178" i="3"/>
  <c r="W168" i="1"/>
  <c r="AA168" i="1" s="1"/>
  <c r="X186" i="3"/>
  <c r="W176" i="1"/>
  <c r="AA176" i="1" s="1"/>
  <c r="W247" i="1"/>
  <c r="AA247" i="1" s="1"/>
  <c r="W269" i="1"/>
  <c r="AA269" i="1" s="1"/>
  <c r="W101" i="1"/>
  <c r="AA101" i="1" s="1"/>
  <c r="W173" i="1"/>
  <c r="X192" i="3"/>
  <c r="W193" i="1"/>
  <c r="AA193" i="1" s="1"/>
  <c r="X203" i="3"/>
  <c r="X230" i="3"/>
  <c r="W270" i="1"/>
  <c r="AA270" i="1" s="1"/>
  <c r="X280" i="3"/>
  <c r="X292" i="1"/>
  <c r="W298" i="1"/>
  <c r="AA298" i="1" s="1"/>
  <c r="X308" i="3"/>
  <c r="X106" i="3"/>
  <c r="W96" i="1"/>
  <c r="AA96" i="1" s="1"/>
  <c r="X130" i="3"/>
  <c r="W120" i="1"/>
  <c r="AA120" i="1" s="1"/>
  <c r="W122" i="1"/>
  <c r="AA122" i="1" s="1"/>
  <c r="W130" i="1"/>
  <c r="AA130" i="1" s="1"/>
  <c r="W242" i="1"/>
  <c r="W272" i="1"/>
  <c r="X276" i="1"/>
  <c r="Y276" i="1" s="1"/>
  <c r="X133" i="1"/>
  <c r="X268" i="3"/>
  <c r="X138" i="1"/>
  <c r="Y138" i="1" s="1"/>
  <c r="W224" i="1"/>
  <c r="AA224" i="1" s="1"/>
  <c r="W103" i="1"/>
  <c r="AA103" i="1" s="1"/>
  <c r="X141" i="3"/>
  <c r="W131" i="1"/>
  <c r="AA131" i="1" s="1"/>
  <c r="X173" i="3"/>
  <c r="W163" i="1"/>
  <c r="W215" i="1"/>
  <c r="X225" i="3"/>
  <c r="W240" i="1"/>
  <c r="X253" i="3"/>
  <c r="W243" i="1"/>
  <c r="AA243" i="1" s="1"/>
  <c r="X287" i="3"/>
  <c r="W164" i="1"/>
  <c r="AA164" i="1" s="1"/>
  <c r="X252" i="1"/>
  <c r="AQ252" i="1" s="1"/>
  <c r="W116" i="1"/>
  <c r="X126" i="3"/>
  <c r="X210" i="3"/>
  <c r="W254" i="1"/>
  <c r="AA254" i="1" s="1"/>
  <c r="X182" i="3"/>
  <c r="W249" i="1"/>
  <c r="AA249" i="1" s="1"/>
  <c r="W278" i="1"/>
  <c r="AA278" i="1" s="1"/>
  <c r="X307" i="3"/>
  <c r="X262" i="3"/>
  <c r="W98" i="1"/>
  <c r="AA98" i="1" s="1"/>
  <c r="X114" i="3"/>
  <c r="W104" i="1"/>
  <c r="AA104" i="1" s="1"/>
  <c r="X125" i="3"/>
  <c r="W115" i="1"/>
  <c r="AA115" i="1" s="1"/>
  <c r="X144" i="3"/>
  <c r="W134" i="1"/>
  <c r="AA134" i="1" s="1"/>
  <c r="X160" i="3"/>
  <c r="X198" i="3"/>
  <c r="W188" i="1"/>
  <c r="AA188" i="1" s="1"/>
  <c r="W190" i="1"/>
  <c r="AA190" i="1" s="1"/>
  <c r="W267" i="1"/>
  <c r="AA267" i="1" s="1"/>
  <c r="X277" i="3"/>
  <c r="X295" i="3"/>
  <c r="W293" i="1"/>
  <c r="X293" i="1"/>
  <c r="W295" i="1"/>
  <c r="AA295" i="1" s="1"/>
  <c r="X252" i="3"/>
  <c r="W183" i="1"/>
  <c r="AA183" i="1" s="1"/>
  <c r="W112" i="1"/>
  <c r="AA112" i="1" s="1"/>
  <c r="X166" i="3"/>
  <c r="W156" i="1"/>
  <c r="AA156" i="1" s="1"/>
  <c r="W260" i="1"/>
  <c r="AA260" i="1" s="1"/>
  <c r="X270" i="3"/>
  <c r="X153" i="3"/>
  <c r="W143" i="1"/>
  <c r="AA143" i="1" s="1"/>
  <c r="X118" i="3"/>
  <c r="W202" i="1"/>
  <c r="AA202" i="1" s="1"/>
  <c r="W146" i="1"/>
  <c r="AA146" i="1" s="1"/>
  <c r="X156" i="3"/>
  <c r="W222" i="1"/>
  <c r="AA222" i="1" s="1"/>
  <c r="X232" i="3"/>
  <c r="X310" i="3"/>
  <c r="W165" i="1"/>
  <c r="X205" i="3"/>
  <c r="W195" i="1"/>
  <c r="AA195" i="1" s="1"/>
  <c r="X121" i="3"/>
  <c r="W111" i="1"/>
  <c r="X202" i="3"/>
  <c r="X229" i="3"/>
  <c r="W93" i="1"/>
  <c r="AA93" i="1" s="1"/>
  <c r="X109" i="3"/>
  <c r="W99" i="1"/>
  <c r="AA99" i="1" s="1"/>
  <c r="X136" i="3"/>
  <c r="W126" i="1"/>
  <c r="W158" i="1"/>
  <c r="AA158" i="1" s="1"/>
  <c r="X168" i="3"/>
  <c r="W177" i="1"/>
  <c r="X187" i="3"/>
  <c r="X195" i="3"/>
  <c r="W210" i="1"/>
  <c r="AA210" i="1" s="1"/>
  <c r="X220" i="3"/>
  <c r="X242" i="3"/>
  <c r="X275" i="3"/>
  <c r="W265" i="1"/>
  <c r="AA265" i="1" s="1"/>
  <c r="X255" i="1"/>
  <c r="X175" i="3"/>
  <c r="X288" i="3"/>
  <c r="X298" i="3"/>
  <c r="W288" i="1"/>
  <c r="X303" i="1"/>
  <c r="X201" i="3"/>
  <c r="X258" i="3"/>
  <c r="W248" i="1"/>
  <c r="AA248" i="1" s="1"/>
  <c r="X301" i="3"/>
  <c r="W291" i="1"/>
  <c r="AA291" i="1" s="1"/>
  <c r="X236" i="3"/>
  <c r="X246" i="3"/>
  <c r="W129" i="1"/>
  <c r="X139" i="3"/>
  <c r="X291" i="3"/>
  <c r="W281" i="1"/>
  <c r="AA281" i="1" s="1"/>
  <c r="X211" i="3"/>
  <c r="W178" i="1"/>
  <c r="AA178" i="1" s="1"/>
  <c r="W303" i="1"/>
  <c r="AA303" i="1" s="1"/>
  <c r="X206" i="3"/>
  <c r="W196" i="1"/>
  <c r="AA196" i="1" s="1"/>
  <c r="X226" i="3"/>
  <c r="W213" i="1"/>
  <c r="X239" i="3"/>
  <c r="W229" i="1"/>
  <c r="AA229" i="1" s="1"/>
  <c r="W241" i="1"/>
  <c r="AA241" i="1" s="1"/>
  <c r="X251" i="3"/>
  <c r="X127" i="3"/>
  <c r="W132" i="1"/>
  <c r="AA132" i="1" s="1"/>
  <c r="X172" i="3"/>
  <c r="X184" i="1"/>
  <c r="X194" i="3"/>
  <c r="W184" i="1"/>
  <c r="AA184" i="1" s="1"/>
  <c r="W209" i="1"/>
  <c r="AA209" i="1" s="1"/>
  <c r="X219" i="3"/>
  <c r="X271" i="3"/>
  <c r="W301" i="1"/>
  <c r="AA301" i="1" s="1"/>
  <c r="X152" i="3"/>
  <c r="X196" i="3"/>
  <c r="W203" i="1"/>
  <c r="AA203" i="1" s="1"/>
  <c r="X189" i="3"/>
  <c r="W179" i="1"/>
  <c r="AA179" i="1" s="1"/>
  <c r="X127" i="1"/>
  <c r="W127" i="1"/>
  <c r="AA127" i="1" s="1"/>
  <c r="X152" i="1"/>
  <c r="X162" i="3"/>
  <c r="X167" i="3"/>
  <c r="W186" i="1"/>
  <c r="AA186" i="1" s="1"/>
  <c r="W216" i="1"/>
  <c r="AA216" i="1" s="1"/>
  <c r="X259" i="3"/>
  <c r="X279" i="3"/>
  <c r="X120" i="3"/>
  <c r="W181" i="1"/>
  <c r="AA181" i="1" s="1"/>
  <c r="X212" i="3"/>
  <c r="W206" i="1"/>
  <c r="AA206" i="1" s="1"/>
  <c r="W226" i="1"/>
  <c r="AA226" i="1" s="1"/>
  <c r="W231" i="1"/>
  <c r="AA231" i="1" s="1"/>
  <c r="X269" i="3"/>
  <c r="W259" i="1"/>
  <c r="AA259" i="1" s="1"/>
  <c r="X274" i="3"/>
  <c r="X284" i="3"/>
  <c r="W274" i="1"/>
  <c r="AA274" i="1" s="1"/>
  <c r="W279" i="1"/>
  <c r="AA279" i="1" s="1"/>
  <c r="X214" i="3"/>
  <c r="X283" i="3"/>
  <c r="X293" i="3"/>
  <c r="X154" i="3"/>
  <c r="X306" i="3"/>
  <c r="X311" i="3"/>
  <c r="X183" i="3"/>
  <c r="X247" i="3"/>
  <c r="X157" i="3"/>
  <c r="W147" i="1"/>
  <c r="AA147" i="1" s="1"/>
  <c r="X221" i="3"/>
  <c r="W211" i="1"/>
  <c r="AA211" i="1" s="1"/>
  <c r="X285" i="3"/>
  <c r="W275" i="1"/>
  <c r="AA275" i="1" s="1"/>
  <c r="X107" i="3"/>
  <c r="X304" i="3"/>
  <c r="X119" i="3"/>
  <c r="S14" i="1"/>
  <c r="AF7" i="1"/>
  <c r="AP7" i="1" s="1"/>
  <c r="S8" i="1"/>
  <c r="E40" i="1"/>
  <c r="R40" i="1" s="1"/>
  <c r="E41" i="1"/>
  <c r="E42" i="1"/>
  <c r="E43" i="1"/>
  <c r="E44" i="1"/>
  <c r="E45" i="1"/>
  <c r="E46" i="1"/>
  <c r="E47" i="1"/>
  <c r="S7" i="1"/>
  <c r="S18" i="1"/>
  <c r="S23" i="1"/>
  <c r="S13" i="1"/>
  <c r="AF17" i="1"/>
  <c r="AP17" i="1" s="1"/>
  <c r="AF24" i="1"/>
  <c r="AP24" i="1" s="1"/>
  <c r="AF15" i="1"/>
  <c r="AP15" i="1" s="1"/>
  <c r="AF13" i="1"/>
  <c r="AP13" i="1" s="1"/>
  <c r="AF27" i="1"/>
  <c r="AP27" i="1" s="1"/>
  <c r="AF11" i="1"/>
  <c r="AP11" i="1" s="1"/>
  <c r="AF18" i="1"/>
  <c r="AP18" i="1" s="1"/>
  <c r="AF25" i="1"/>
  <c r="AP25" i="1" s="1"/>
  <c r="AF9" i="1"/>
  <c r="AP9" i="1" s="1"/>
  <c r="AF16" i="1"/>
  <c r="AP16" i="1" s="1"/>
  <c r="AF12" i="1"/>
  <c r="AP12" i="1" s="1"/>
  <c r="AF10" i="1"/>
  <c r="AP10" i="1" s="1"/>
  <c r="AF26" i="1"/>
  <c r="S20" i="1"/>
  <c r="S25" i="1"/>
  <c r="S10" i="1"/>
  <c r="S26" i="1"/>
  <c r="AP26" i="1"/>
  <c r="S21" i="1"/>
  <c r="S16" i="1"/>
  <c r="S11" i="1"/>
  <c r="S6" i="1"/>
  <c r="S9" i="1"/>
  <c r="S15" i="1"/>
  <c r="S27" i="1"/>
  <c r="S22" i="1"/>
  <c r="S17" i="1"/>
  <c r="S12" i="1"/>
  <c r="S5" i="1"/>
  <c r="U40" i="1"/>
  <c r="S29" i="1"/>
  <c r="S32" i="1"/>
  <c r="S31" i="1"/>
  <c r="R60" i="1"/>
  <c r="R50" i="1"/>
  <c r="R56" i="1"/>
  <c r="R61" i="1"/>
  <c r="R48" i="1"/>
  <c r="R51" i="1"/>
  <c r="R53" i="1"/>
  <c r="R54" i="1"/>
  <c r="R57" i="1"/>
  <c r="R59" i="1"/>
  <c r="R49" i="1"/>
  <c r="R52" i="1"/>
  <c r="R55" i="1"/>
  <c r="R58" i="1"/>
  <c r="U298" i="1"/>
  <c r="U136" i="1"/>
  <c r="U253" i="1"/>
  <c r="U143" i="1"/>
  <c r="U254" i="1"/>
  <c r="U144" i="1"/>
  <c r="U262" i="1"/>
  <c r="U49" i="1"/>
  <c r="U194" i="1"/>
  <c r="U51" i="1"/>
  <c r="U197" i="1"/>
  <c r="U84" i="1"/>
  <c r="U198" i="1"/>
  <c r="U105" i="1"/>
  <c r="U152" i="1"/>
  <c r="U269" i="1"/>
  <c r="U37" i="1"/>
  <c r="U159" i="1"/>
  <c r="U272" i="1"/>
  <c r="U46" i="1"/>
  <c r="U161" i="1"/>
  <c r="U302" i="1"/>
  <c r="U48" i="1"/>
  <c r="U163" i="1"/>
  <c r="U88" i="1"/>
  <c r="U203" i="1"/>
  <c r="U95" i="1"/>
  <c r="U214" i="1"/>
  <c r="U89" i="1"/>
  <c r="U204" i="1"/>
  <c r="U94" i="1"/>
  <c r="U205" i="1"/>
  <c r="U96" i="1"/>
  <c r="U245" i="1"/>
  <c r="U246" i="1"/>
  <c r="U50" i="1"/>
  <c r="U104" i="1"/>
  <c r="U162" i="1"/>
  <c r="U206" i="1"/>
  <c r="U271" i="1"/>
  <c r="U56" i="1"/>
  <c r="U115" i="1"/>
  <c r="U164" i="1"/>
  <c r="U219" i="1"/>
  <c r="U273" i="1"/>
  <c r="U57" i="1"/>
  <c r="U116" i="1"/>
  <c r="U169" i="1"/>
  <c r="U225" i="1"/>
  <c r="U277" i="1"/>
  <c r="U62" i="1"/>
  <c r="U120" i="1"/>
  <c r="U173" i="1"/>
  <c r="U229" i="1"/>
  <c r="U283" i="1"/>
  <c r="T33" i="1"/>
  <c r="U64" i="1"/>
  <c r="U121" i="1"/>
  <c r="U174" i="1"/>
  <c r="U230" i="1"/>
  <c r="U284" i="1"/>
  <c r="U65" i="1"/>
  <c r="U126" i="1"/>
  <c r="U176" i="1"/>
  <c r="U235" i="1"/>
  <c r="U285" i="1"/>
  <c r="U80" i="1"/>
  <c r="U129" i="1"/>
  <c r="U177" i="1"/>
  <c r="U236" i="1"/>
  <c r="U287" i="1"/>
  <c r="U81" i="1"/>
  <c r="U131" i="1"/>
  <c r="U191" i="1"/>
  <c r="U239" i="1"/>
  <c r="U288" i="1"/>
  <c r="U83" i="1"/>
  <c r="U132" i="1"/>
  <c r="U192" i="1"/>
  <c r="U241" i="1"/>
  <c r="U301" i="1"/>
  <c r="T299" i="1"/>
  <c r="U63" i="1"/>
  <c r="U99" i="1"/>
  <c r="U137" i="1"/>
  <c r="U175" i="1"/>
  <c r="U209" i="1"/>
  <c r="U251" i="1"/>
  <c r="U286" i="1"/>
  <c r="U66" i="1"/>
  <c r="U110" i="1"/>
  <c r="U145" i="1"/>
  <c r="U178" i="1"/>
  <c r="U220" i="1"/>
  <c r="U255" i="1"/>
  <c r="U289" i="1"/>
  <c r="U34" i="1"/>
  <c r="U72" i="1"/>
  <c r="T85" i="1"/>
  <c r="T86" i="1"/>
  <c r="U111" i="1"/>
  <c r="U146" i="1"/>
  <c r="U183" i="1"/>
  <c r="U221" i="1"/>
  <c r="U256" i="1"/>
  <c r="U299" i="1"/>
  <c r="U35" i="1"/>
  <c r="U78" i="1"/>
  <c r="U113" i="1"/>
  <c r="U147" i="1"/>
  <c r="U189" i="1"/>
  <c r="U223" i="1"/>
  <c r="U257" i="1"/>
  <c r="U300" i="1"/>
  <c r="U36" i="1"/>
  <c r="U79" i="1"/>
  <c r="U114" i="1"/>
  <c r="U148" i="1"/>
  <c r="U190" i="1"/>
  <c r="U224" i="1"/>
  <c r="U261" i="1"/>
  <c r="T301" i="1"/>
  <c r="T17" i="1"/>
  <c r="T127" i="1"/>
  <c r="T200" i="1"/>
  <c r="T9" i="1"/>
  <c r="T285" i="1"/>
  <c r="T101" i="1"/>
  <c r="T102" i="1"/>
  <c r="T294" i="1"/>
  <c r="T69" i="1"/>
  <c r="T70" i="1"/>
  <c r="T291" i="1"/>
  <c r="T292" i="1"/>
  <c r="T293" i="1"/>
  <c r="T295" i="1"/>
  <c r="T185" i="1"/>
  <c r="T40" i="1"/>
  <c r="T41" i="1"/>
  <c r="T159" i="1"/>
  <c r="T263" i="1"/>
  <c r="T264" i="1"/>
  <c r="T269" i="1"/>
  <c r="T54" i="1"/>
  <c r="T55" i="1"/>
  <c r="T143" i="1"/>
  <c r="T279" i="1"/>
  <c r="T280" i="1"/>
  <c r="T14" i="1"/>
  <c r="U47" i="1"/>
  <c r="U73" i="1"/>
  <c r="U100" i="1"/>
  <c r="U130" i="1"/>
  <c r="U160" i="1"/>
  <c r="U188" i="1"/>
  <c r="U213" i="1"/>
  <c r="U240" i="1"/>
  <c r="U270" i="1"/>
  <c r="T300" i="1"/>
  <c r="T232" i="1"/>
  <c r="T260" i="1"/>
  <c r="T261" i="1"/>
  <c r="U52" i="1"/>
  <c r="U82" i="1"/>
  <c r="U112" i="1"/>
  <c r="U142" i="1"/>
  <c r="U168" i="1"/>
  <c r="U193" i="1"/>
  <c r="U222" i="1"/>
  <c r="U252" i="1"/>
  <c r="T262" i="1"/>
  <c r="U278" i="1"/>
  <c r="U303" i="1"/>
  <c r="T246" i="1"/>
  <c r="T216" i="1"/>
  <c r="T24" i="1"/>
  <c r="T25" i="1"/>
  <c r="U41" i="1"/>
  <c r="U67" i="1"/>
  <c r="U97" i="1"/>
  <c r="T111" i="1"/>
  <c r="U127" i="1"/>
  <c r="U153" i="1"/>
  <c r="U179" i="1"/>
  <c r="U207" i="1"/>
  <c r="U237" i="1"/>
  <c r="T247" i="1"/>
  <c r="T248" i="1"/>
  <c r="U267" i="1"/>
  <c r="T275" i="1"/>
  <c r="T276" i="1"/>
  <c r="T277" i="1"/>
  <c r="U293" i="1"/>
  <c r="T42" i="1"/>
  <c r="U68" i="1"/>
  <c r="U98" i="1"/>
  <c r="U128" i="1"/>
  <c r="U158" i="1"/>
  <c r="U182" i="1"/>
  <c r="U208" i="1"/>
  <c r="U238" i="1"/>
  <c r="U268" i="1"/>
  <c r="T278" i="1"/>
  <c r="U294" i="1"/>
  <c r="U69" i="1"/>
  <c r="T76" i="1"/>
  <c r="T92" i="1"/>
  <c r="U165" i="1"/>
  <c r="T195" i="1"/>
  <c r="T201" i="1"/>
  <c r="U210" i="1"/>
  <c r="T217" i="1"/>
  <c r="U226" i="1"/>
  <c r="T233" i="1"/>
  <c r="T249" i="1"/>
  <c r="U258" i="1"/>
  <c r="U290" i="1"/>
  <c r="U38" i="1"/>
  <c r="U53" i="1"/>
  <c r="U85" i="1"/>
  <c r="U101" i="1"/>
  <c r="U117" i="1"/>
  <c r="U133" i="1"/>
  <c r="U149" i="1"/>
  <c r="U180" i="1"/>
  <c r="T186" i="1"/>
  <c r="U242" i="1"/>
  <c r="U274" i="1"/>
  <c r="T6" i="1"/>
  <c r="T30" i="1"/>
  <c r="U39" i="1"/>
  <c r="U54" i="1"/>
  <c r="T61" i="1"/>
  <c r="U70" i="1"/>
  <c r="U86" i="1"/>
  <c r="U102" i="1"/>
  <c r="U118" i="1"/>
  <c r="U134" i="1"/>
  <c r="T141" i="1"/>
  <c r="U150" i="1"/>
  <c r="T157" i="1"/>
  <c r="U166" i="1"/>
  <c r="T181" i="1"/>
  <c r="T187" i="1"/>
  <c r="U195" i="1"/>
  <c r="T202" i="1"/>
  <c r="U211" i="1"/>
  <c r="T218" i="1"/>
  <c r="U227" i="1"/>
  <c r="U243" i="1"/>
  <c r="U259" i="1"/>
  <c r="U275" i="1"/>
  <c r="U291" i="1"/>
  <c r="T31" i="1"/>
  <c r="T46" i="1"/>
  <c r="U55" i="1"/>
  <c r="U71" i="1"/>
  <c r="U87" i="1"/>
  <c r="U103" i="1"/>
  <c r="U119" i="1"/>
  <c r="T126" i="1"/>
  <c r="U135" i="1"/>
  <c r="T142" i="1"/>
  <c r="U151" i="1"/>
  <c r="T158" i="1"/>
  <c r="U167" i="1"/>
  <c r="U181" i="1"/>
  <c r="U196" i="1"/>
  <c r="U212" i="1"/>
  <c r="U228" i="1"/>
  <c r="U244" i="1"/>
  <c r="U260" i="1"/>
  <c r="U276" i="1"/>
  <c r="U292" i="1"/>
  <c r="T12" i="1"/>
  <c r="U44" i="1"/>
  <c r="U60" i="1"/>
  <c r="U76" i="1"/>
  <c r="U92" i="1"/>
  <c r="U108" i="1"/>
  <c r="T115" i="1"/>
  <c r="U124" i="1"/>
  <c r="U140" i="1"/>
  <c r="T147" i="1"/>
  <c r="U156" i="1"/>
  <c r="T163" i="1"/>
  <c r="U171" i="1"/>
  <c r="U186" i="1"/>
  <c r="U201" i="1"/>
  <c r="U217" i="1"/>
  <c r="U233" i="1"/>
  <c r="U249" i="1"/>
  <c r="U265" i="1"/>
  <c r="U281" i="1"/>
  <c r="U297" i="1"/>
  <c r="T15" i="1"/>
  <c r="U42" i="1"/>
  <c r="U58" i="1"/>
  <c r="U74" i="1"/>
  <c r="U90" i="1"/>
  <c r="U106" i="1"/>
  <c r="U122" i="1"/>
  <c r="U138" i="1"/>
  <c r="U154" i="1"/>
  <c r="U170" i="1"/>
  <c r="T176" i="1"/>
  <c r="U184" i="1"/>
  <c r="T191" i="1"/>
  <c r="U199" i="1"/>
  <c r="T206" i="1"/>
  <c r="U215" i="1"/>
  <c r="T222" i="1"/>
  <c r="U231" i="1"/>
  <c r="U247" i="1"/>
  <c r="T254" i="1"/>
  <c r="U263" i="1"/>
  <c r="U279" i="1"/>
  <c r="U295" i="1"/>
  <c r="U43" i="1"/>
  <c r="U59" i="1"/>
  <c r="U75" i="1"/>
  <c r="U91" i="1"/>
  <c r="U107" i="1"/>
  <c r="U123" i="1"/>
  <c r="U139" i="1"/>
  <c r="U155" i="1"/>
  <c r="T171" i="1"/>
  <c r="T177" i="1"/>
  <c r="U185" i="1"/>
  <c r="T192" i="1"/>
  <c r="U200" i="1"/>
  <c r="T207" i="1"/>
  <c r="U216" i="1"/>
  <c r="T223" i="1"/>
  <c r="U232" i="1"/>
  <c r="T239" i="1"/>
  <c r="U248" i="1"/>
  <c r="U264" i="1"/>
  <c r="U280" i="1"/>
  <c r="U296" i="1"/>
  <c r="U45" i="1"/>
  <c r="U61" i="1"/>
  <c r="U77" i="1"/>
  <c r="U93" i="1"/>
  <c r="U109" i="1"/>
  <c r="T116" i="1"/>
  <c r="U125" i="1"/>
  <c r="T132" i="1"/>
  <c r="U141" i="1"/>
  <c r="T148" i="1"/>
  <c r="U157" i="1"/>
  <c r="T164" i="1"/>
  <c r="U172" i="1"/>
  <c r="U187" i="1"/>
  <c r="U202" i="1"/>
  <c r="U218" i="1"/>
  <c r="U234" i="1"/>
  <c r="U250" i="1"/>
  <c r="U266" i="1"/>
  <c r="U282" i="1"/>
  <c r="T82" i="1"/>
  <c r="T112" i="1"/>
  <c r="T188" i="1"/>
  <c r="T203" i="1"/>
  <c r="T219" i="1"/>
  <c r="T259" i="1"/>
  <c r="T265" i="1"/>
  <c r="T13" i="1"/>
  <c r="T83" i="1"/>
  <c r="T99" i="1"/>
  <c r="T113" i="1"/>
  <c r="T129" i="1"/>
  <c r="T145" i="1"/>
  <c r="T161" i="1"/>
  <c r="T170" i="1"/>
  <c r="T174" i="1"/>
  <c r="T189" i="1"/>
  <c r="T204" i="1"/>
  <c r="T220" i="1"/>
  <c r="T245" i="1"/>
  <c r="T251" i="1"/>
  <c r="T266" i="1"/>
  <c r="T282" i="1"/>
  <c r="T298" i="1"/>
  <c r="T5" i="1"/>
  <c r="T52" i="1"/>
  <c r="T98" i="1"/>
  <c r="T107" i="1"/>
  <c r="T128" i="1"/>
  <c r="T144" i="1"/>
  <c r="T160" i="1"/>
  <c r="T173" i="1"/>
  <c r="T250" i="1"/>
  <c r="T281" i="1"/>
  <c r="T7" i="1"/>
  <c r="T23" i="1"/>
  <c r="T39" i="1"/>
  <c r="T68" i="1"/>
  <c r="T84" i="1"/>
  <c r="T100" i="1"/>
  <c r="T108" i="1"/>
  <c r="T114" i="1"/>
  <c r="T130" i="1"/>
  <c r="T146" i="1"/>
  <c r="T162" i="1"/>
  <c r="T175" i="1"/>
  <c r="T190" i="1"/>
  <c r="T205" i="1"/>
  <c r="T221" i="1"/>
  <c r="T237" i="1"/>
  <c r="T252" i="1"/>
  <c r="T267" i="1"/>
  <c r="T26" i="1"/>
  <c r="T56" i="1"/>
  <c r="T103" i="1"/>
  <c r="T4" i="1"/>
  <c r="T27" i="1"/>
  <c r="T57" i="1"/>
  <c r="T72" i="1"/>
  <c r="T88" i="1"/>
  <c r="T104" i="1"/>
  <c r="T118" i="1"/>
  <c r="T87" i="1"/>
  <c r="T224" i="1"/>
  <c r="T28" i="1"/>
  <c r="T58" i="1"/>
  <c r="T67" i="1"/>
  <c r="T73" i="1"/>
  <c r="T89" i="1"/>
  <c r="T105" i="1"/>
  <c r="T135" i="1"/>
  <c r="T151" i="1"/>
  <c r="T167" i="1"/>
  <c r="T180" i="1"/>
  <c r="T210" i="1"/>
  <c r="T226" i="1"/>
  <c r="T71" i="1"/>
  <c r="T133" i="1"/>
  <c r="T149" i="1"/>
  <c r="T165" i="1"/>
  <c r="T172" i="1"/>
  <c r="T178" i="1"/>
  <c r="T193" i="1"/>
  <c r="T208" i="1"/>
  <c r="T29" i="1"/>
  <c r="T53" i="1"/>
  <c r="T59" i="1"/>
  <c r="T74" i="1"/>
  <c r="T90" i="1"/>
  <c r="T120" i="1"/>
  <c r="T283" i="1"/>
  <c r="T16" i="1"/>
  <c r="T32" i="1"/>
  <c r="T45" i="1"/>
  <c r="T60" i="1"/>
  <c r="T75" i="1"/>
  <c r="T91" i="1"/>
  <c r="T119" i="1"/>
  <c r="T134" i="1"/>
  <c r="T150" i="1"/>
  <c r="T166" i="1"/>
  <c r="T179" i="1"/>
  <c r="T194" i="1"/>
  <c r="T209" i="1"/>
  <c r="T225" i="1"/>
  <c r="T234" i="1"/>
  <c r="T238" i="1"/>
  <c r="T253" i="1"/>
  <c r="T268" i="1"/>
  <c r="T284" i="1"/>
  <c r="T8" i="1"/>
  <c r="T11" i="1"/>
  <c r="T19" i="1"/>
  <c r="T35" i="1"/>
  <c r="T43" i="1"/>
  <c r="T48" i="1"/>
  <c r="T63" i="1"/>
  <c r="T78" i="1"/>
  <c r="T94" i="1"/>
  <c r="T122" i="1"/>
  <c r="T131" i="1"/>
  <c r="T137" i="1"/>
  <c r="T153" i="1"/>
  <c r="T169" i="1"/>
  <c r="T196" i="1"/>
  <c r="T212" i="1"/>
  <c r="T228" i="1"/>
  <c r="T241" i="1"/>
  <c r="T256" i="1"/>
  <c r="T271" i="1"/>
  <c r="T287" i="1"/>
  <c r="T20" i="1"/>
  <c r="T36" i="1"/>
  <c r="T49" i="1"/>
  <c r="T64" i="1"/>
  <c r="T79" i="1"/>
  <c r="T95" i="1"/>
  <c r="T117" i="1"/>
  <c r="T123" i="1"/>
  <c r="T138" i="1"/>
  <c r="T154" i="1"/>
  <c r="T182" i="1"/>
  <c r="T197" i="1"/>
  <c r="T213" i="1"/>
  <c r="T229" i="1"/>
  <c r="T236" i="1"/>
  <c r="T242" i="1"/>
  <c r="T257" i="1"/>
  <c r="T272" i="1"/>
  <c r="T288" i="1"/>
  <c r="T18" i="1"/>
  <c r="T34" i="1"/>
  <c r="T47" i="1"/>
  <c r="T62" i="1"/>
  <c r="T77" i="1"/>
  <c r="T93" i="1"/>
  <c r="T121" i="1"/>
  <c r="T136" i="1"/>
  <c r="T152" i="1"/>
  <c r="T168" i="1"/>
  <c r="T211" i="1"/>
  <c r="T227" i="1"/>
  <c r="T235" i="1"/>
  <c r="T240" i="1"/>
  <c r="T255" i="1"/>
  <c r="T270" i="1"/>
  <c r="T286" i="1"/>
  <c r="T10" i="1"/>
  <c r="T21" i="1"/>
  <c r="T37" i="1"/>
  <c r="T44" i="1"/>
  <c r="T50" i="1"/>
  <c r="T65" i="1"/>
  <c r="T80" i="1"/>
  <c r="T96" i="1"/>
  <c r="T109" i="1"/>
  <c r="T124" i="1"/>
  <c r="T139" i="1"/>
  <c r="T155" i="1"/>
  <c r="T183" i="1"/>
  <c r="T198" i="1"/>
  <c r="T214" i="1"/>
  <c r="T230" i="1"/>
  <c r="T243" i="1"/>
  <c r="T258" i="1"/>
  <c r="T273" i="1"/>
  <c r="T289" i="1"/>
  <c r="T302" i="1"/>
  <c r="T22" i="1"/>
  <c r="T38" i="1"/>
  <c r="T51" i="1"/>
  <c r="T66" i="1"/>
  <c r="T81" i="1"/>
  <c r="T97" i="1"/>
  <c r="T106" i="1"/>
  <c r="T110" i="1"/>
  <c r="T125" i="1"/>
  <c r="T140" i="1"/>
  <c r="T156" i="1"/>
  <c r="T184" i="1"/>
  <c r="T199" i="1"/>
  <c r="T215" i="1"/>
  <c r="T231" i="1"/>
  <c r="T244" i="1"/>
  <c r="T274" i="1"/>
  <c r="T290" i="1"/>
  <c r="T303" i="1"/>
  <c r="T297" i="1"/>
  <c r="T296" i="1"/>
  <c r="R95" i="1"/>
  <c r="V95" i="1" s="1"/>
  <c r="S78" i="1"/>
  <c r="S209" i="1"/>
  <c r="R74" i="1"/>
  <c r="R82" i="1"/>
  <c r="S221" i="1"/>
  <c r="S253" i="1"/>
  <c r="S293" i="1"/>
  <c r="S99" i="1"/>
  <c r="S131" i="1"/>
  <c r="S155" i="1"/>
  <c r="S171" i="1"/>
  <c r="S179" i="1"/>
  <c r="S203" i="1"/>
  <c r="S211" i="1"/>
  <c r="S235" i="1"/>
  <c r="S251" i="1"/>
  <c r="S52" i="1"/>
  <c r="S68" i="1"/>
  <c r="S84" i="1"/>
  <c r="S92" i="1"/>
  <c r="S142" i="1"/>
  <c r="S166" i="1"/>
  <c r="S190" i="1"/>
  <c r="S206" i="1"/>
  <c r="S222" i="1"/>
  <c r="S224" i="1"/>
  <c r="S232" i="1"/>
  <c r="S266" i="1"/>
  <c r="S282" i="1"/>
  <c r="R139" i="1"/>
  <c r="R187" i="1"/>
  <c r="R235" i="1"/>
  <c r="S289" i="1"/>
  <c r="S130" i="1"/>
  <c r="R212" i="1"/>
  <c r="R254" i="1"/>
  <c r="V254" i="1" s="1"/>
  <c r="R135" i="1"/>
  <c r="R159" i="1"/>
  <c r="V159" i="1" s="1"/>
  <c r="S95" i="1"/>
  <c r="S238" i="1"/>
  <c r="R97" i="1"/>
  <c r="V97" i="1" s="1"/>
  <c r="R161" i="1"/>
  <c r="R169" i="1"/>
  <c r="R185" i="1"/>
  <c r="R193" i="1"/>
  <c r="S271" i="1"/>
  <c r="S154" i="1"/>
  <c r="S91" i="1"/>
  <c r="R127" i="1"/>
  <c r="V127" i="1" s="1"/>
  <c r="S133" i="1"/>
  <c r="S136" i="1"/>
  <c r="S144" i="1"/>
  <c r="R233" i="1"/>
  <c r="R241" i="1"/>
  <c r="S186" i="1"/>
  <c r="S122" i="1"/>
  <c r="R132" i="1"/>
  <c r="S218" i="1"/>
  <c r="S297" i="1"/>
  <c r="R229" i="1"/>
  <c r="R292" i="1"/>
  <c r="V292" i="1" s="1"/>
  <c r="R63" i="1"/>
  <c r="S85" i="1"/>
  <c r="R102" i="1"/>
  <c r="R110" i="1"/>
  <c r="V110" i="1" s="1"/>
  <c r="R118" i="1"/>
  <c r="R134" i="1"/>
  <c r="R166" i="1"/>
  <c r="R174" i="1"/>
  <c r="R198" i="1"/>
  <c r="V198" i="1" s="1"/>
  <c r="S236" i="1"/>
  <c r="S267" i="1"/>
  <c r="S38" i="1"/>
  <c r="S117" i="1"/>
  <c r="S157" i="1"/>
  <c r="S173" i="1"/>
  <c r="R230" i="1"/>
  <c r="V230" i="1" s="1"/>
  <c r="S260" i="1"/>
  <c r="R165" i="1"/>
  <c r="R247" i="1"/>
  <c r="V247" i="1" s="1"/>
  <c r="R294" i="1"/>
  <c r="V294" i="1" s="1"/>
  <c r="R120" i="1"/>
  <c r="R255" i="1"/>
  <c r="V255" i="1" s="1"/>
  <c r="S103" i="1"/>
  <c r="S151" i="1"/>
  <c r="S175" i="1"/>
  <c r="S183" i="1"/>
  <c r="S254" i="1"/>
  <c r="R271" i="1"/>
  <c r="S80" i="1"/>
  <c r="S88" i="1"/>
  <c r="S215" i="1"/>
  <c r="S231" i="1"/>
  <c r="S278" i="1"/>
  <c r="S294" i="1"/>
  <c r="R125" i="1"/>
  <c r="V125" i="1" s="1"/>
  <c r="X125" i="1" s="1"/>
  <c r="R122" i="1"/>
  <c r="V122" i="1" s="1"/>
  <c r="R130" i="1"/>
  <c r="R154" i="1"/>
  <c r="R257" i="1"/>
  <c r="R265" i="1"/>
  <c r="S58" i="1"/>
  <c r="S129" i="1"/>
  <c r="R226" i="1"/>
  <c r="S256" i="1"/>
  <c r="S264" i="1"/>
  <c r="S19" i="1"/>
  <c r="S249" i="1"/>
  <c r="S272" i="1"/>
  <c r="S288" i="1"/>
  <c r="R220" i="1"/>
  <c r="V220" i="1" s="1"/>
  <c r="R236" i="1"/>
  <c r="V236" i="1" s="1"/>
  <c r="R252" i="1"/>
  <c r="V252" i="1" s="1"/>
  <c r="R267" i="1"/>
  <c r="R183" i="1"/>
  <c r="R69" i="1"/>
  <c r="R138" i="1"/>
  <c r="V138" i="1" s="1"/>
  <c r="R146" i="1"/>
  <c r="R217" i="1"/>
  <c r="S34" i="1"/>
  <c r="S49" i="1"/>
  <c r="S79" i="1"/>
  <c r="S108" i="1"/>
  <c r="S152" i="1"/>
  <c r="S174" i="1"/>
  <c r="S189" i="1"/>
  <c r="R191" i="1"/>
  <c r="S212" i="1"/>
  <c r="S263" i="1"/>
  <c r="S277" i="1"/>
  <c r="S65" i="1"/>
  <c r="S72" i="1"/>
  <c r="S94" i="1"/>
  <c r="S101" i="1"/>
  <c r="S138" i="1"/>
  <c r="S167" i="1"/>
  <c r="S197" i="1"/>
  <c r="S205" i="1"/>
  <c r="S220" i="1"/>
  <c r="S234" i="1"/>
  <c r="S270" i="1"/>
  <c r="R302" i="1"/>
  <c r="R155" i="1"/>
  <c r="R177" i="1"/>
  <c r="R251" i="1"/>
  <c r="S37" i="1"/>
  <c r="S50" i="1"/>
  <c r="S51" i="1"/>
  <c r="S110" i="1"/>
  <c r="S139" i="1"/>
  <c r="R163" i="1"/>
  <c r="S176" i="1"/>
  <c r="S191" i="1"/>
  <c r="S250" i="1"/>
  <c r="S257" i="1"/>
  <c r="S265" i="1"/>
  <c r="S286" i="1"/>
  <c r="S44" i="1"/>
  <c r="S67" i="1"/>
  <c r="S74" i="1"/>
  <c r="S125" i="1"/>
  <c r="S132" i="1"/>
  <c r="R149" i="1"/>
  <c r="S169" i="1"/>
  <c r="S184" i="1"/>
  <c r="S229" i="1"/>
  <c r="S243" i="1"/>
  <c r="R289" i="1"/>
  <c r="V289" i="1" s="1"/>
  <c r="S45" i="1"/>
  <c r="S60" i="1"/>
  <c r="S89" i="1"/>
  <c r="R105" i="1"/>
  <c r="S119" i="1"/>
  <c r="S148" i="1"/>
  <c r="R150" i="1"/>
  <c r="S163" i="1"/>
  <c r="S208" i="1"/>
  <c r="S230" i="1"/>
  <c r="R231" i="1"/>
  <c r="R238" i="1"/>
  <c r="R290" i="1"/>
  <c r="S53" i="1"/>
  <c r="R84" i="1"/>
  <c r="S97" i="1"/>
  <c r="S141" i="1"/>
  <c r="S170" i="1"/>
  <c r="S193" i="1"/>
  <c r="S237" i="1"/>
  <c r="S252" i="1"/>
  <c r="S273" i="1"/>
  <c r="S281" i="1"/>
  <c r="S296" i="1"/>
  <c r="S24" i="1"/>
  <c r="S46" i="1"/>
  <c r="S83" i="1"/>
  <c r="S120" i="1"/>
  <c r="S127" i="1"/>
  <c r="S134" i="1"/>
  <c r="S149" i="1"/>
  <c r="S245" i="1"/>
  <c r="R268" i="1"/>
  <c r="V268" i="1" s="1"/>
  <c r="S40" i="1"/>
  <c r="S62" i="1"/>
  <c r="R107" i="1"/>
  <c r="S113" i="1"/>
  <c r="S135" i="1"/>
  <c r="S150" i="1"/>
  <c r="S165" i="1"/>
  <c r="S33" i="1"/>
  <c r="S55" i="1"/>
  <c r="R100" i="1"/>
  <c r="S106" i="1"/>
  <c r="S121" i="1"/>
  <c r="S128" i="1"/>
  <c r="S143" i="1"/>
  <c r="S158" i="1"/>
  <c r="S187" i="1"/>
  <c r="S225" i="1"/>
  <c r="S239" i="1"/>
  <c r="S261" i="1"/>
  <c r="S274" i="1"/>
  <c r="S283" i="1"/>
  <c r="S291" i="1"/>
  <c r="S298" i="1"/>
  <c r="R65" i="1"/>
  <c r="R72" i="1"/>
  <c r="R167" i="1"/>
  <c r="R270" i="1"/>
  <c r="S276" i="1"/>
  <c r="S284" i="1"/>
  <c r="S299" i="1"/>
  <c r="R87" i="1"/>
  <c r="S93" i="1"/>
  <c r="S115" i="1"/>
  <c r="R153" i="1"/>
  <c r="R175" i="1"/>
  <c r="V175" i="1" s="1"/>
  <c r="R190" i="1"/>
  <c r="V190" i="1" s="1"/>
  <c r="X190" i="1" s="1"/>
  <c r="S204" i="1"/>
  <c r="S219" i="1"/>
  <c r="R249" i="1"/>
  <c r="V249" i="1" s="1"/>
  <c r="R256" i="1"/>
  <c r="S269" i="1"/>
  <c r="R80" i="1"/>
  <c r="R114" i="1"/>
  <c r="R121" i="1"/>
  <c r="R128" i="1"/>
  <c r="R170" i="1"/>
  <c r="R277" i="1"/>
  <c r="R298" i="1"/>
  <c r="R143" i="1"/>
  <c r="V143" i="1" s="1"/>
  <c r="X143" i="1" s="1"/>
  <c r="S71" i="1"/>
  <c r="R81" i="1"/>
  <c r="R129" i="1"/>
  <c r="V129" i="1" s="1"/>
  <c r="R246" i="1"/>
  <c r="R67" i="1"/>
  <c r="R88" i="1"/>
  <c r="R108" i="1"/>
  <c r="R158" i="1"/>
  <c r="S100" i="1"/>
  <c r="R213" i="1"/>
  <c r="V213" i="1" s="1"/>
  <c r="R293" i="1"/>
  <c r="V293" i="1" s="1"/>
  <c r="S39" i="1"/>
  <c r="R68" i="1"/>
  <c r="S87" i="1"/>
  <c r="S107" i="1"/>
  <c r="S114" i="1"/>
  <c r="R145" i="1"/>
  <c r="R207" i="1"/>
  <c r="R221" i="1"/>
  <c r="R227" i="1"/>
  <c r="R266" i="1"/>
  <c r="V266" i="1" s="1"/>
  <c r="R279" i="1"/>
  <c r="V279" i="1" s="1"/>
  <c r="X279" i="1" s="1"/>
  <c r="R300" i="1"/>
  <c r="V300" i="1" s="1"/>
  <c r="R66" i="1"/>
  <c r="S196" i="1"/>
  <c r="R232" i="1"/>
  <c r="R206" i="1"/>
  <c r="S244" i="1"/>
  <c r="R116" i="1"/>
  <c r="R178" i="1"/>
  <c r="S59" i="1"/>
  <c r="R75" i="1"/>
  <c r="R89" i="1"/>
  <c r="R117" i="1"/>
  <c r="V117" i="1" s="1"/>
  <c r="X117" i="1" s="1"/>
  <c r="S164" i="1"/>
  <c r="R173" i="1"/>
  <c r="V173" i="1" s="1"/>
  <c r="X173" i="1" s="1"/>
  <c r="S177" i="1"/>
  <c r="R214" i="1"/>
  <c r="R260" i="1"/>
  <c r="R272" i="1"/>
  <c r="S292" i="1"/>
  <c r="S54" i="1"/>
  <c r="R62" i="1"/>
  <c r="S81" i="1"/>
  <c r="R83" i="1"/>
  <c r="S102" i="1"/>
  <c r="R103" i="1"/>
  <c r="V103" i="1" s="1"/>
  <c r="S116" i="1"/>
  <c r="S172" i="1"/>
  <c r="S199" i="1"/>
  <c r="S213" i="1"/>
  <c r="R228" i="1"/>
  <c r="S247" i="1"/>
  <c r="R248" i="1"/>
  <c r="V248" i="1" s="1"/>
  <c r="X248" i="1" s="1"/>
  <c r="AQ248" i="1" s="1"/>
  <c r="S285" i="1"/>
  <c r="R164" i="1"/>
  <c r="R184" i="1"/>
  <c r="V184" i="1" s="1"/>
  <c r="R101" i="1"/>
  <c r="V101" i="1" s="1"/>
  <c r="R144" i="1"/>
  <c r="R151" i="1"/>
  <c r="R299" i="1"/>
  <c r="S28" i="1"/>
  <c r="S41" i="1"/>
  <c r="S48" i="1"/>
  <c r="S61" i="1"/>
  <c r="S96" i="1"/>
  <c r="S109" i="1"/>
  <c r="S123" i="1"/>
  <c r="S145" i="1"/>
  <c r="S207" i="1"/>
  <c r="S227" i="1"/>
  <c r="S240" i="1"/>
  <c r="S279" i="1"/>
  <c r="S300" i="1"/>
  <c r="R91" i="1"/>
  <c r="V91" i="1" s="1"/>
  <c r="X91" i="1" s="1"/>
  <c r="R111" i="1"/>
  <c r="V111" i="1" s="1"/>
  <c r="X111" i="1" s="1"/>
  <c r="R119" i="1"/>
  <c r="R202" i="1"/>
  <c r="V202" i="1" s="1"/>
  <c r="R216" i="1"/>
  <c r="V216" i="1" s="1"/>
  <c r="R242" i="1"/>
  <c r="V242" i="1" s="1"/>
  <c r="S36" i="1"/>
  <c r="S69" i="1"/>
  <c r="S75" i="1"/>
  <c r="S76" i="1"/>
  <c r="S90" i="1"/>
  <c r="R98" i="1"/>
  <c r="S118" i="1"/>
  <c r="R126" i="1"/>
  <c r="S160" i="1"/>
  <c r="R168" i="1"/>
  <c r="V168" i="1" s="1"/>
  <c r="S200" i="1"/>
  <c r="S42" i="1"/>
  <c r="R92" i="1"/>
  <c r="V92" i="1" s="1"/>
  <c r="S104" i="1"/>
  <c r="S146" i="1"/>
  <c r="R203" i="1"/>
  <c r="S228" i="1"/>
  <c r="S241" i="1"/>
  <c r="S248" i="1"/>
  <c r="R250" i="1"/>
  <c r="R263" i="1"/>
  <c r="V263" i="1" s="1"/>
  <c r="S280" i="1"/>
  <c r="R296" i="1"/>
  <c r="V296" i="1" s="1"/>
  <c r="S301" i="1"/>
  <c r="R303" i="1"/>
  <c r="V303" i="1" s="1"/>
  <c r="R274" i="1"/>
  <c r="R295" i="1"/>
  <c r="S30" i="1"/>
  <c r="S43" i="1"/>
  <c r="S56" i="1"/>
  <c r="S63" i="1"/>
  <c r="S77" i="1"/>
  <c r="S147" i="1"/>
  <c r="S161" i="1"/>
  <c r="S180" i="1"/>
  <c r="S181" i="1"/>
  <c r="S202" i="1"/>
  <c r="S216" i="1"/>
  <c r="S255" i="1"/>
  <c r="S262" i="1"/>
  <c r="S295" i="1"/>
  <c r="S70" i="1"/>
  <c r="R86" i="1"/>
  <c r="S105" i="1"/>
  <c r="R106" i="1"/>
  <c r="V106" i="1" s="1"/>
  <c r="X106" i="1" s="1"/>
  <c r="R113" i="1"/>
  <c r="V113" i="1" s="1"/>
  <c r="S126" i="1"/>
  <c r="S168" i="1"/>
  <c r="S188" i="1"/>
  <c r="S195" i="1"/>
  <c r="R197" i="1"/>
  <c r="S223" i="1"/>
  <c r="S268" i="1"/>
  <c r="R276" i="1"/>
  <c r="V276" i="1" s="1"/>
  <c r="R283" i="1"/>
  <c r="V283" i="1" s="1"/>
  <c r="R297" i="1"/>
  <c r="V297" i="1" s="1"/>
  <c r="S302" i="1"/>
  <c r="S57" i="1"/>
  <c r="R79" i="1"/>
  <c r="R115" i="1"/>
  <c r="S124" i="1"/>
  <c r="R141" i="1"/>
  <c r="R157" i="1"/>
  <c r="R162" i="1"/>
  <c r="R172" i="1"/>
  <c r="S182" i="1"/>
  <c r="S192" i="1"/>
  <c r="S214" i="1"/>
  <c r="R215" i="1"/>
  <c r="V215" i="1" s="1"/>
  <c r="X215" i="1" s="1"/>
  <c r="S246" i="1"/>
  <c r="R262" i="1"/>
  <c r="V262" i="1" s="1"/>
  <c r="S303" i="1"/>
  <c r="R99" i="1"/>
  <c r="R208" i="1"/>
  <c r="R288" i="1"/>
  <c r="S47" i="1"/>
  <c r="S73" i="1"/>
  <c r="R85" i="1"/>
  <c r="R90" i="1"/>
  <c r="R131" i="1"/>
  <c r="V131" i="1" s="1"/>
  <c r="R136" i="1"/>
  <c r="V136" i="1" s="1"/>
  <c r="S140" i="1"/>
  <c r="R147" i="1"/>
  <c r="R152" i="1"/>
  <c r="V152" i="1" s="1"/>
  <c r="S156" i="1"/>
  <c r="R188" i="1"/>
  <c r="S198" i="1"/>
  <c r="R199" i="1"/>
  <c r="R204" i="1"/>
  <c r="R210" i="1"/>
  <c r="R273" i="1"/>
  <c r="V273" i="1" s="1"/>
  <c r="R278" i="1"/>
  <c r="V278" i="1" s="1"/>
  <c r="R284" i="1"/>
  <c r="V284" i="1" s="1"/>
  <c r="R142" i="1"/>
  <c r="V142" i="1" s="1"/>
  <c r="R148" i="1"/>
  <c r="R189" i="1"/>
  <c r="R194" i="1"/>
  <c r="R205" i="1"/>
  <c r="R211" i="1"/>
  <c r="R237" i="1"/>
  <c r="R64" i="1"/>
  <c r="R137" i="1"/>
  <c r="R200" i="1"/>
  <c r="V200" i="1" s="1"/>
  <c r="X200" i="1" s="1"/>
  <c r="S226" i="1"/>
  <c r="R285" i="1"/>
  <c r="R301" i="1"/>
  <c r="V301" i="1" s="1"/>
  <c r="R70" i="1"/>
  <c r="S162" i="1"/>
  <c r="R179" i="1"/>
  <c r="R195" i="1"/>
  <c r="R222" i="1"/>
  <c r="R243" i="1"/>
  <c r="R253" i="1"/>
  <c r="R258" i="1"/>
  <c r="R264" i="1"/>
  <c r="V264" i="1" s="1"/>
  <c r="R269" i="1"/>
  <c r="V269" i="1" s="1"/>
  <c r="R291" i="1"/>
  <c r="S210" i="1"/>
  <c r="S64" i="1"/>
  <c r="R71" i="1"/>
  <c r="S86" i="1"/>
  <c r="S111" i="1"/>
  <c r="R112" i="1"/>
  <c r="R133" i="1"/>
  <c r="V133" i="1" s="1"/>
  <c r="S137" i="1"/>
  <c r="S153" i="1"/>
  <c r="S178" i="1"/>
  <c r="R180" i="1"/>
  <c r="V180" i="1" s="1"/>
  <c r="X180" i="1" s="1"/>
  <c r="R196" i="1"/>
  <c r="V196" i="1" s="1"/>
  <c r="R201" i="1"/>
  <c r="V201" i="1" s="1"/>
  <c r="S242" i="1"/>
  <c r="R244" i="1"/>
  <c r="V244" i="1" s="1"/>
  <c r="X244" i="1" s="1"/>
  <c r="R259" i="1"/>
  <c r="R275" i="1"/>
  <c r="R280" i="1"/>
  <c r="R286" i="1"/>
  <c r="S290" i="1"/>
  <c r="R96" i="1"/>
  <c r="R76" i="1"/>
  <c r="S194" i="1"/>
  <c r="R223" i="1"/>
  <c r="V223" i="1" s="1"/>
  <c r="S35" i="1"/>
  <c r="R77" i="1"/>
  <c r="R93" i="1"/>
  <c r="S112" i="1"/>
  <c r="R123" i="1"/>
  <c r="S159" i="1"/>
  <c r="R160" i="1"/>
  <c r="V160" i="1" s="1"/>
  <c r="R181" i="1"/>
  <c r="V181" i="1" s="1"/>
  <c r="S185" i="1"/>
  <c r="R186" i="1"/>
  <c r="V186" i="1" s="1"/>
  <c r="S201" i="1"/>
  <c r="S217" i="1"/>
  <c r="R218" i="1"/>
  <c r="V218" i="1" s="1"/>
  <c r="R224" i="1"/>
  <c r="S233" i="1"/>
  <c r="R234" i="1"/>
  <c r="R239" i="1"/>
  <c r="R245" i="1"/>
  <c r="S258" i="1"/>
  <c r="S259" i="1"/>
  <c r="S275" i="1"/>
  <c r="R281" i="1"/>
  <c r="V281" i="1" s="1"/>
  <c r="R287" i="1"/>
  <c r="V287" i="1" s="1"/>
  <c r="R225" i="1"/>
  <c r="V225" i="1" s="1"/>
  <c r="R282" i="1"/>
  <c r="R78" i="1"/>
  <c r="S82" i="1"/>
  <c r="R94" i="1"/>
  <c r="R109" i="1"/>
  <c r="R171" i="1"/>
  <c r="R219" i="1"/>
  <c r="R261" i="1"/>
  <c r="S66" i="1"/>
  <c r="R73" i="1"/>
  <c r="S98" i="1"/>
  <c r="R140" i="1"/>
  <c r="V140" i="1" s="1"/>
  <c r="X140" i="1" s="1"/>
  <c r="R156" i="1"/>
  <c r="V156" i="1" s="1"/>
  <c r="R209" i="1"/>
  <c r="R176" i="1"/>
  <c r="V176" i="1" s="1"/>
  <c r="R240" i="1"/>
  <c r="V240" i="1" s="1"/>
  <c r="R104" i="1"/>
  <c r="R124" i="1"/>
  <c r="R182" i="1"/>
  <c r="V182" i="1" s="1"/>
  <c r="X182" i="1" s="1"/>
  <c r="R192" i="1"/>
  <c r="V192" i="1" s="1"/>
  <c r="S287" i="1"/>
  <c r="Y91" i="1" l="1"/>
  <c r="Y136" i="1"/>
  <c r="AC182" i="1"/>
  <c r="AB192" i="3" s="1"/>
  <c r="Z192" i="3"/>
  <c r="AQ182" i="1"/>
  <c r="Y182" i="1"/>
  <c r="AC180" i="1"/>
  <c r="AB190" i="3" s="1"/>
  <c r="Z190" i="3"/>
  <c r="AQ180" i="1"/>
  <c r="Y180" i="1"/>
  <c r="AC117" i="1"/>
  <c r="AB127" i="3" s="1"/>
  <c r="Z127" i="3"/>
  <c r="AQ117" i="1"/>
  <c r="Y117" i="1"/>
  <c r="AC106" i="1"/>
  <c r="AB116" i="3" s="1"/>
  <c r="Z116" i="3"/>
  <c r="AQ106" i="1"/>
  <c r="Y106" i="1"/>
  <c r="AC111" i="1"/>
  <c r="AB121" i="3" s="1"/>
  <c r="Z121" i="3"/>
  <c r="AQ111" i="1"/>
  <c r="AC200" i="1"/>
  <c r="AB210" i="3" s="1"/>
  <c r="Z210" i="3"/>
  <c r="Y200" i="1"/>
  <c r="AQ200" i="1"/>
  <c r="AC173" i="1"/>
  <c r="AB183" i="3" s="1"/>
  <c r="Z183" i="3"/>
  <c r="AQ173" i="1"/>
  <c r="AC215" i="1"/>
  <c r="AB225" i="3" s="1"/>
  <c r="Z225" i="3"/>
  <c r="AQ215" i="1"/>
  <c r="AC190" i="1"/>
  <c r="AB200" i="3" s="1"/>
  <c r="Z200" i="3"/>
  <c r="AQ190" i="1"/>
  <c r="Y190" i="1"/>
  <c r="AC143" i="1"/>
  <c r="AB153" i="3" s="1"/>
  <c r="Z153" i="3"/>
  <c r="AQ143" i="1"/>
  <c r="AC244" i="1"/>
  <c r="AB254" i="3" s="1"/>
  <c r="Z254" i="3"/>
  <c r="Y244" i="1"/>
  <c r="AQ244" i="1"/>
  <c r="AC140" i="1"/>
  <c r="AB150" i="3" s="1"/>
  <c r="Z150" i="3"/>
  <c r="AQ140" i="1"/>
  <c r="AC279" i="1"/>
  <c r="AB289" i="3" s="1"/>
  <c r="Z289" i="3"/>
  <c r="AQ279" i="1"/>
  <c r="Y279" i="1"/>
  <c r="AC125" i="1"/>
  <c r="AB135" i="3" s="1"/>
  <c r="Z135" i="3"/>
  <c r="Y125" i="1"/>
  <c r="AQ125" i="1"/>
  <c r="AB196" i="1"/>
  <c r="Y206" i="3"/>
  <c r="AC184" i="1"/>
  <c r="AB194" i="3" s="1"/>
  <c r="Z194" i="3"/>
  <c r="AQ184" i="1"/>
  <c r="AB156" i="1"/>
  <c r="Y166" i="3"/>
  <c r="X156" i="1"/>
  <c r="V164" i="1"/>
  <c r="X196" i="1"/>
  <c r="AA272" i="1"/>
  <c r="AB284" i="1"/>
  <c r="Y294" i="3"/>
  <c r="X284" i="1"/>
  <c r="AB136" i="1"/>
  <c r="Y146" i="3"/>
  <c r="AB216" i="1"/>
  <c r="Y226" i="3"/>
  <c r="AC248" i="1"/>
  <c r="AB258" i="3" s="1"/>
  <c r="Z258" i="3"/>
  <c r="Y248" i="1"/>
  <c r="V153" i="1"/>
  <c r="AB220" i="1"/>
  <c r="Y230" i="3"/>
  <c r="X220" i="1"/>
  <c r="V165" i="1"/>
  <c r="V135" i="1"/>
  <c r="AA242" i="1"/>
  <c r="AC303" i="1"/>
  <c r="AB313" i="3" s="1"/>
  <c r="Z313" i="3"/>
  <c r="AQ303" i="1"/>
  <c r="AC202" i="1"/>
  <c r="AB212" i="3" s="1"/>
  <c r="Z212" i="3"/>
  <c r="AQ202" i="1"/>
  <c r="AB264" i="1"/>
  <c r="Y274" i="3"/>
  <c r="X264" i="1"/>
  <c r="AB103" i="1"/>
  <c r="Y113" i="3"/>
  <c r="X103" i="1"/>
  <c r="AA116" i="1"/>
  <c r="AA280" i="1"/>
  <c r="AC293" i="1"/>
  <c r="AB303" i="3" s="1"/>
  <c r="Z303" i="3"/>
  <c r="AQ293" i="1"/>
  <c r="AC292" i="1"/>
  <c r="AB302" i="3" s="1"/>
  <c r="Z302" i="3"/>
  <c r="AQ292" i="1"/>
  <c r="Y292" i="1"/>
  <c r="AB262" i="1"/>
  <c r="Y272" i="3"/>
  <c r="AB186" i="1"/>
  <c r="Y196" i="3"/>
  <c r="X186" i="1"/>
  <c r="AB97" i="1"/>
  <c r="Y107" i="3"/>
  <c r="X97" i="1"/>
  <c r="AA118" i="1"/>
  <c r="AB283" i="1"/>
  <c r="Y293" i="3"/>
  <c r="X283" i="1"/>
  <c r="AB184" i="1"/>
  <c r="Y194" i="3"/>
  <c r="AB287" i="1"/>
  <c r="Y297" i="3"/>
  <c r="X287" i="1"/>
  <c r="AB190" i="1"/>
  <c r="Y200" i="3"/>
  <c r="AB110" i="1"/>
  <c r="Y120" i="3"/>
  <c r="X110" i="1"/>
  <c r="AB281" i="1"/>
  <c r="Y291" i="3"/>
  <c r="X281" i="1"/>
  <c r="AB242" i="1"/>
  <c r="Y252" i="3"/>
  <c r="X242" i="1"/>
  <c r="Y242" i="1" s="1"/>
  <c r="AB175" i="1"/>
  <c r="Y185" i="3"/>
  <c r="X262" i="1"/>
  <c r="AB131" i="1"/>
  <c r="Y141" i="3"/>
  <c r="X131" i="1"/>
  <c r="Y303" i="1"/>
  <c r="AB202" i="1"/>
  <c r="Y212" i="3"/>
  <c r="AB143" i="1"/>
  <c r="Y153" i="3"/>
  <c r="V251" i="1"/>
  <c r="AB254" i="1"/>
  <c r="Y264" i="3"/>
  <c r="X254" i="1"/>
  <c r="AA213" i="1"/>
  <c r="AA111" i="1"/>
  <c r="Y111" i="1"/>
  <c r="AA215" i="1"/>
  <c r="Y215" i="1"/>
  <c r="AC136" i="1"/>
  <c r="AB146" i="3" s="1"/>
  <c r="Z146" i="3"/>
  <c r="AB273" i="1"/>
  <c r="Y283" i="3"/>
  <c r="AB303" i="1"/>
  <c r="Y313" i="3"/>
  <c r="V119" i="1"/>
  <c r="V150" i="1"/>
  <c r="V177" i="1"/>
  <c r="AB230" i="1"/>
  <c r="Y240" i="3"/>
  <c r="X230" i="1"/>
  <c r="AB292" i="1"/>
  <c r="Y302" i="3"/>
  <c r="V259" i="1"/>
  <c r="AB301" i="1"/>
  <c r="Y311" i="3"/>
  <c r="X301" i="1"/>
  <c r="AB111" i="1"/>
  <c r="Y121" i="3"/>
  <c r="AB293" i="1"/>
  <c r="Y303" i="3"/>
  <c r="V155" i="1"/>
  <c r="V229" i="1"/>
  <c r="AA173" i="1"/>
  <c r="Y173" i="1"/>
  <c r="AB263" i="1"/>
  <c r="Y273" i="3"/>
  <c r="AB300" i="1"/>
  <c r="Y310" i="3"/>
  <c r="X300" i="1"/>
  <c r="AB180" i="1"/>
  <c r="Y190" i="3"/>
  <c r="AB266" i="1"/>
  <c r="Y276" i="3"/>
  <c r="X266" i="1"/>
  <c r="AA126" i="1"/>
  <c r="AC138" i="1"/>
  <c r="AB148" i="3" s="1"/>
  <c r="Z148" i="3"/>
  <c r="AA293" i="1"/>
  <c r="Y293" i="1"/>
  <c r="AB225" i="1"/>
  <c r="Y235" i="3"/>
  <c r="X225" i="1"/>
  <c r="AB297" i="1"/>
  <c r="Y307" i="3"/>
  <c r="X297" i="1"/>
  <c r="V246" i="1"/>
  <c r="AQ138" i="1"/>
  <c r="AC133" i="1"/>
  <c r="AB143" i="3" s="1"/>
  <c r="Z143" i="3"/>
  <c r="Y133" i="1"/>
  <c r="AQ133" i="1"/>
  <c r="AB181" i="1"/>
  <c r="Y191" i="3"/>
  <c r="X181" i="1"/>
  <c r="Y181" i="1" s="1"/>
  <c r="AB215" i="1"/>
  <c r="Y225" i="3"/>
  <c r="AB252" i="1"/>
  <c r="Y262" i="3"/>
  <c r="AB122" i="1"/>
  <c r="Y132" i="3"/>
  <c r="X122" i="1"/>
  <c r="AB127" i="1"/>
  <c r="Y137" i="3"/>
  <c r="AA228" i="1"/>
  <c r="AB160" i="1"/>
  <c r="Y170" i="3"/>
  <c r="X160" i="1"/>
  <c r="AB92" i="1"/>
  <c r="Y102" i="3"/>
  <c r="AB236" i="1"/>
  <c r="Y246" i="3"/>
  <c r="X236" i="1"/>
  <c r="V102" i="1"/>
  <c r="AA240" i="1"/>
  <c r="AB278" i="1"/>
  <c r="Y288" i="3"/>
  <c r="X278" i="1"/>
  <c r="Y255" i="1"/>
  <c r="AB244" i="1"/>
  <c r="Y254" i="3"/>
  <c r="V285" i="1"/>
  <c r="AB296" i="1"/>
  <c r="Y306" i="3"/>
  <c r="X296" i="1"/>
  <c r="AB168" i="1"/>
  <c r="Y178" i="3"/>
  <c r="X168" i="1"/>
  <c r="AC91" i="1"/>
  <c r="AB101" i="3" s="1"/>
  <c r="Z101" i="3"/>
  <c r="AQ91" i="1"/>
  <c r="Y143" i="1"/>
  <c r="V302" i="1"/>
  <c r="X273" i="1"/>
  <c r="X216" i="1"/>
  <c r="Y216" i="1" s="1"/>
  <c r="AA163" i="1"/>
  <c r="X92" i="1"/>
  <c r="AB269" i="1"/>
  <c r="Y279" i="3"/>
  <c r="AC152" i="1"/>
  <c r="AB162" i="3" s="1"/>
  <c r="Z162" i="3"/>
  <c r="AQ152" i="1"/>
  <c r="AA227" i="1"/>
  <c r="AB279" i="1"/>
  <c r="Y289" i="3"/>
  <c r="AC175" i="1"/>
  <c r="AB185" i="3" s="1"/>
  <c r="Z185" i="3"/>
  <c r="AQ175" i="1"/>
  <c r="AB218" i="1"/>
  <c r="X218" i="1"/>
  <c r="Y228" i="3"/>
  <c r="AB113" i="1"/>
  <c r="Y123" i="3"/>
  <c r="AB106" i="1"/>
  <c r="Y116" i="3"/>
  <c r="AB117" i="1"/>
  <c r="Y127" i="3"/>
  <c r="V282" i="1"/>
  <c r="AB249" i="1"/>
  <c r="Y259" i="3"/>
  <c r="AB101" i="1"/>
  <c r="Y111" i="3"/>
  <c r="Y140" i="1"/>
  <c r="AA129" i="1"/>
  <c r="AB140" i="1"/>
  <c r="Y150" i="3"/>
  <c r="V147" i="1"/>
  <c r="AB129" i="1"/>
  <c r="Y139" i="3"/>
  <c r="X129" i="1"/>
  <c r="Y129" i="1" s="1"/>
  <c r="AB294" i="1"/>
  <c r="Y304" i="3"/>
  <c r="X294" i="1"/>
  <c r="AC276" i="1"/>
  <c r="AB286" i="3" s="1"/>
  <c r="Z286" i="3"/>
  <c r="AQ276" i="1"/>
  <c r="AB142" i="1"/>
  <c r="Y152" i="3"/>
  <c r="X142" i="1"/>
  <c r="V149" i="1"/>
  <c r="AB159" i="1"/>
  <c r="Y169" i="3"/>
  <c r="X159" i="1"/>
  <c r="AB213" i="1"/>
  <c r="Y223" i="3"/>
  <c r="X213" i="1"/>
  <c r="Y213" i="1" s="1"/>
  <c r="Y202" i="1"/>
  <c r="AA177" i="1"/>
  <c r="X113" i="1"/>
  <c r="AA285" i="1"/>
  <c r="AB201" i="1"/>
  <c r="Y211" i="3"/>
  <c r="X201" i="1"/>
  <c r="AB173" i="1"/>
  <c r="Y183" i="3"/>
  <c r="AB268" i="1"/>
  <c r="Y278" i="3"/>
  <c r="X268" i="1"/>
  <c r="AB95" i="1"/>
  <c r="X95" i="1"/>
  <c r="Y105" i="3"/>
  <c r="AA288" i="1"/>
  <c r="AC127" i="1"/>
  <c r="AB137" i="3" s="1"/>
  <c r="Z137" i="3"/>
  <c r="AQ127" i="1"/>
  <c r="AC252" i="1"/>
  <c r="AB262" i="3" s="1"/>
  <c r="Z262" i="3"/>
  <c r="Y252" i="1"/>
  <c r="AB152" i="1"/>
  <c r="Y162" i="3"/>
  <c r="AC255" i="1"/>
  <c r="AB265" i="3" s="1"/>
  <c r="Z265" i="3"/>
  <c r="AQ255" i="1"/>
  <c r="X269" i="1"/>
  <c r="AB125" i="1"/>
  <c r="Y135" i="3"/>
  <c r="AB247" i="1"/>
  <c r="Y257" i="3"/>
  <c r="X247" i="1"/>
  <c r="AB192" i="1"/>
  <c r="Y202" i="3"/>
  <c r="X192" i="1"/>
  <c r="Y152" i="1"/>
  <c r="Y175" i="1"/>
  <c r="AB182" i="1"/>
  <c r="Y192" i="3"/>
  <c r="AB223" i="1"/>
  <c r="X223" i="1"/>
  <c r="Y233" i="3"/>
  <c r="V291" i="1"/>
  <c r="AB200" i="1"/>
  <c r="Y210" i="3"/>
  <c r="Y127" i="1"/>
  <c r="V105" i="1"/>
  <c r="Y184" i="1"/>
  <c r="X263" i="1"/>
  <c r="AA165" i="1"/>
  <c r="X249" i="1"/>
  <c r="X101" i="1"/>
  <c r="Y101" i="1" s="1"/>
  <c r="AB240" i="1"/>
  <c r="Y250" i="3"/>
  <c r="V261" i="1"/>
  <c r="V96" i="1"/>
  <c r="V243" i="1"/>
  <c r="V126" i="1"/>
  <c r="V227" i="1"/>
  <c r="V170" i="1"/>
  <c r="AB289" i="1"/>
  <c r="Y299" i="3"/>
  <c r="X289" i="1"/>
  <c r="V146" i="1"/>
  <c r="V226" i="1"/>
  <c r="V258" i="1"/>
  <c r="V253" i="1"/>
  <c r="V132" i="1"/>
  <c r="AB176" i="1"/>
  <c r="Y186" i="3"/>
  <c r="X176" i="1"/>
  <c r="Y176" i="1" s="1"/>
  <c r="V204" i="1"/>
  <c r="V178" i="1"/>
  <c r="V171" i="1"/>
  <c r="AB133" i="1"/>
  <c r="Y143" i="3"/>
  <c r="V211" i="1"/>
  <c r="V208" i="1"/>
  <c r="V197" i="1"/>
  <c r="V98" i="1"/>
  <c r="V116" i="1"/>
  <c r="AB198" i="1"/>
  <c r="Y208" i="3"/>
  <c r="V239" i="1"/>
  <c r="V112" i="1"/>
  <c r="V157" i="1"/>
  <c r="V299" i="1"/>
  <c r="V228" i="1"/>
  <c r="V207" i="1"/>
  <c r="V158" i="1"/>
  <c r="V114" i="1"/>
  <c r="V270" i="1"/>
  <c r="V238" i="1"/>
  <c r="V163" i="1"/>
  <c r="V265" i="1"/>
  <c r="V174" i="1"/>
  <c r="V233" i="1"/>
  <c r="V193" i="1"/>
  <c r="V298" i="1"/>
  <c r="V191" i="1"/>
  <c r="V104" i="1"/>
  <c r="V123" i="1"/>
  <c r="V210" i="1"/>
  <c r="V245" i="1"/>
  <c r="V222" i="1"/>
  <c r="V172" i="1"/>
  <c r="V128" i="1"/>
  <c r="AB138" i="1"/>
  <c r="Y148" i="3"/>
  <c r="V212" i="1"/>
  <c r="V199" i="1"/>
  <c r="V162" i="1"/>
  <c r="V203" i="1"/>
  <c r="V121" i="1"/>
  <c r="V290" i="1"/>
  <c r="V241" i="1"/>
  <c r="V209" i="1"/>
  <c r="V109" i="1"/>
  <c r="V286" i="1"/>
  <c r="V205" i="1"/>
  <c r="V99" i="1"/>
  <c r="V94" i="1"/>
  <c r="V234" i="1"/>
  <c r="V280" i="1"/>
  <c r="V195" i="1"/>
  <c r="V194" i="1"/>
  <c r="V141" i="1"/>
  <c r="V295" i="1"/>
  <c r="V151" i="1"/>
  <c r="V272" i="1"/>
  <c r="V206" i="1"/>
  <c r="V145" i="1"/>
  <c r="V108" i="1"/>
  <c r="V167" i="1"/>
  <c r="V231" i="1"/>
  <c r="V257" i="1"/>
  <c r="V166" i="1"/>
  <c r="V185" i="1"/>
  <c r="V235" i="1"/>
  <c r="AB276" i="1"/>
  <c r="Y286" i="3"/>
  <c r="AB91" i="1"/>
  <c r="Y101" i="3"/>
  <c r="AB248" i="1"/>
  <c r="Y258" i="3"/>
  <c r="V107" i="1"/>
  <c r="V219" i="1"/>
  <c r="V288" i="1"/>
  <c r="V275" i="1"/>
  <c r="V179" i="1"/>
  <c r="V189" i="1"/>
  <c r="V188" i="1"/>
  <c r="V274" i="1"/>
  <c r="V144" i="1"/>
  <c r="V260" i="1"/>
  <c r="V183" i="1"/>
  <c r="V154" i="1"/>
  <c r="AB255" i="1"/>
  <c r="Y265" i="3"/>
  <c r="V134" i="1"/>
  <c r="V169" i="1"/>
  <c r="V187" i="1"/>
  <c r="X198" i="1"/>
  <c r="V124" i="1"/>
  <c r="V250" i="1"/>
  <c r="V137" i="1"/>
  <c r="V277" i="1"/>
  <c r="V217" i="1"/>
  <c r="V271" i="1"/>
  <c r="V93" i="1"/>
  <c r="V237" i="1"/>
  <c r="V221" i="1"/>
  <c r="V224" i="1"/>
  <c r="V148" i="1"/>
  <c r="V115" i="1"/>
  <c r="V214" i="1"/>
  <c r="V232" i="1"/>
  <c r="V256" i="1"/>
  <c r="V100" i="1"/>
  <c r="V267" i="1"/>
  <c r="V130" i="1"/>
  <c r="V120" i="1"/>
  <c r="V118" i="1"/>
  <c r="V161" i="1"/>
  <c r="V139" i="1"/>
  <c r="X240" i="1"/>
  <c r="Y240" i="1" s="1"/>
  <c r="R43" i="1"/>
  <c r="R46" i="1"/>
  <c r="V46" i="1" s="1"/>
  <c r="AB46" i="1" s="1"/>
  <c r="R41" i="1"/>
  <c r="R47" i="1"/>
  <c r="V47" i="1" s="1"/>
  <c r="AB47" i="1" s="1"/>
  <c r="R42" i="1"/>
  <c r="V42" i="1" s="1"/>
  <c r="AB42" i="1" s="1"/>
  <c r="R45" i="1"/>
  <c r="R44" i="1"/>
  <c r="V44" i="1" s="1"/>
  <c r="E30" i="1"/>
  <c r="U30" i="1" s="1"/>
  <c r="E39" i="1"/>
  <c r="E38" i="1"/>
  <c r="E37" i="1"/>
  <c r="E36" i="1"/>
  <c r="E35" i="1"/>
  <c r="E34" i="1"/>
  <c r="V78" i="1"/>
  <c r="V73" i="1"/>
  <c r="V70" i="1"/>
  <c r="V84" i="1"/>
  <c r="V68" i="1"/>
  <c r="V90" i="1"/>
  <c r="V76" i="1"/>
  <c r="V85" i="1"/>
  <c r="AB85" i="1" s="1"/>
  <c r="V86" i="1"/>
  <c r="V80" i="1"/>
  <c r="AB80" i="1" s="1"/>
  <c r="V64" i="1"/>
  <c r="AB64" i="1" s="1"/>
  <c r="V88" i="1"/>
  <c r="AB88" i="1" s="1"/>
  <c r="V67" i="1"/>
  <c r="AB67" i="1" s="1"/>
  <c r="V72" i="1"/>
  <c r="AB72" i="1" s="1"/>
  <c r="V65" i="1"/>
  <c r="AB65" i="1" s="1"/>
  <c r="V63" i="1"/>
  <c r="AB63" i="1" s="1"/>
  <c r="V87" i="1"/>
  <c r="AB87" i="1" s="1"/>
  <c r="V77" i="1"/>
  <c r="AB77" i="1" s="1"/>
  <c r="V66" i="1"/>
  <c r="AB66" i="1" s="1"/>
  <c r="V69" i="1"/>
  <c r="AB69" i="1" s="1"/>
  <c r="V81" i="1"/>
  <c r="AB81" i="1" s="1"/>
  <c r="V62" i="1"/>
  <c r="AB62" i="1" s="1"/>
  <c r="V89" i="1"/>
  <c r="AB89" i="1" s="1"/>
  <c r="V71" i="1"/>
  <c r="AB71" i="1" s="1"/>
  <c r="V82" i="1"/>
  <c r="AB82" i="1" s="1"/>
  <c r="V83" i="1"/>
  <c r="AB83" i="1" s="1"/>
  <c r="V74" i="1"/>
  <c r="AB74" i="1" s="1"/>
  <c r="V79" i="1"/>
  <c r="AB79" i="1" s="1"/>
  <c r="V75" i="1"/>
  <c r="AB75" i="1" s="1"/>
  <c r="E26" i="1"/>
  <c r="E29" i="1"/>
  <c r="U29" i="1" s="1"/>
  <c r="E32" i="1"/>
  <c r="U32" i="1" s="1"/>
  <c r="E31" i="1"/>
  <c r="U31" i="1" s="1"/>
  <c r="E25" i="1"/>
  <c r="U25" i="1" s="1"/>
  <c r="E33" i="1"/>
  <c r="U33" i="1" s="1"/>
  <c r="E28" i="1"/>
  <c r="U28" i="1" s="1"/>
  <c r="E27" i="1"/>
  <c r="U27" i="1" s="1"/>
  <c r="E12" i="1"/>
  <c r="E9" i="1"/>
  <c r="E11" i="1"/>
  <c r="E5" i="1"/>
  <c r="E20" i="1"/>
  <c r="U20" i="1" s="1"/>
  <c r="E10" i="1"/>
  <c r="E24" i="1"/>
  <c r="U24" i="1" s="1"/>
  <c r="E15" i="1"/>
  <c r="U15" i="1" s="1"/>
  <c r="E8" i="1"/>
  <c r="E14" i="1"/>
  <c r="U14" i="1" s="1"/>
  <c r="E23" i="1"/>
  <c r="U23" i="1" s="1"/>
  <c r="E13" i="1"/>
  <c r="U13" i="1" s="1"/>
  <c r="E7" i="1"/>
  <c r="E22" i="1"/>
  <c r="U22" i="1" s="1"/>
  <c r="E21" i="1"/>
  <c r="U21" i="1" s="1"/>
  <c r="E4" i="1"/>
  <c r="E18" i="1"/>
  <c r="E19" i="1"/>
  <c r="E16" i="1"/>
  <c r="E17" i="1"/>
  <c r="E6" i="1"/>
  <c r="V49" i="1"/>
  <c r="V58" i="1"/>
  <c r="V40" i="1"/>
  <c r="V61" i="1"/>
  <c r="V55" i="1"/>
  <c r="V53" i="1"/>
  <c r="V52" i="1"/>
  <c r="V51" i="1"/>
  <c r="V43" i="1"/>
  <c r="V48" i="1"/>
  <c r="V57" i="1"/>
  <c r="V54" i="1"/>
  <c r="V41" i="1"/>
  <c r="AB41" i="1" s="1"/>
  <c r="V45" i="1"/>
  <c r="V56" i="1"/>
  <c r="V59" i="1"/>
  <c r="AB59" i="1" s="1"/>
  <c r="V50" i="1"/>
  <c r="AB50" i="1" s="1"/>
  <c r="V60" i="1"/>
  <c r="AB60" i="1" s="1"/>
  <c r="AW8" i="2"/>
  <c r="AW9" i="2"/>
  <c r="AW10" i="2"/>
  <c r="AW11" i="2"/>
  <c r="AW12" i="2"/>
  <c r="AW13" i="2"/>
  <c r="AW6" i="2"/>
  <c r="AW5" i="2"/>
  <c r="AW4" i="2"/>
  <c r="AW7" i="2"/>
  <c r="AW3" i="2"/>
  <c r="F4" i="1" l="1"/>
  <c r="BB3" i="2" a="1"/>
  <c r="BB3" i="2" s="1"/>
  <c r="AB211" i="1"/>
  <c r="Y221" i="3"/>
  <c r="X211" i="1"/>
  <c r="AB124" i="1"/>
  <c r="Y134" i="3"/>
  <c r="X124" i="1"/>
  <c r="AB205" i="1"/>
  <c r="Y215" i="3"/>
  <c r="X205" i="1"/>
  <c r="AB165" i="1"/>
  <c r="Y175" i="3"/>
  <c r="X165" i="1"/>
  <c r="AC220" i="1"/>
  <c r="AB230" i="3" s="1"/>
  <c r="Z230" i="3"/>
  <c r="Y220" i="1"/>
  <c r="AQ220" i="1"/>
  <c r="AB207" i="1"/>
  <c r="Y217" i="3"/>
  <c r="X207" i="1"/>
  <c r="AC156" i="1"/>
  <c r="AB166" i="3" s="1"/>
  <c r="Z166" i="3"/>
  <c r="Y156" i="1"/>
  <c r="AQ156" i="1"/>
  <c r="AB107" i="1"/>
  <c r="Y117" i="3"/>
  <c r="X107" i="1"/>
  <c r="AC269" i="1"/>
  <c r="AB279" i="3" s="1"/>
  <c r="Z279" i="3"/>
  <c r="AQ269" i="1"/>
  <c r="AB154" i="1"/>
  <c r="Y164" i="3"/>
  <c r="X154" i="1"/>
  <c r="AB132" i="1"/>
  <c r="Y142" i="3"/>
  <c r="X132" i="1"/>
  <c r="AC268" i="1"/>
  <c r="AB278" i="3" s="1"/>
  <c r="Z278" i="3"/>
  <c r="Y268" i="1"/>
  <c r="AQ268" i="1"/>
  <c r="AC129" i="1"/>
  <c r="AB139" i="3" s="1"/>
  <c r="Z139" i="3"/>
  <c r="AQ129" i="1"/>
  <c r="AC230" i="1"/>
  <c r="AB240" i="3" s="1"/>
  <c r="Z240" i="3"/>
  <c r="Y230" i="1"/>
  <c r="AQ230" i="1"/>
  <c r="AB250" i="1"/>
  <c r="Y260" i="3"/>
  <c r="X250" i="1"/>
  <c r="AB257" i="1"/>
  <c r="X257" i="1"/>
  <c r="Y267" i="3"/>
  <c r="AB270" i="1"/>
  <c r="Y280" i="3"/>
  <c r="X270" i="1"/>
  <c r="AC142" i="1"/>
  <c r="AB152" i="3" s="1"/>
  <c r="Z152" i="3"/>
  <c r="AQ142" i="1"/>
  <c r="Y142" i="1"/>
  <c r="AC273" i="1"/>
  <c r="AB283" i="3" s="1"/>
  <c r="Z283" i="3"/>
  <c r="Y273" i="1"/>
  <c r="AQ273" i="1"/>
  <c r="AB222" i="1"/>
  <c r="Y232" i="3"/>
  <c r="X222" i="1"/>
  <c r="AB256" i="1"/>
  <c r="Y266" i="3"/>
  <c r="X256" i="1"/>
  <c r="AB286" i="1"/>
  <c r="Y296" i="3"/>
  <c r="X286" i="1"/>
  <c r="AB170" i="1"/>
  <c r="Y180" i="3"/>
  <c r="X170" i="1"/>
  <c r="AC103" i="1"/>
  <c r="AB113" i="3" s="1"/>
  <c r="Z113" i="3"/>
  <c r="AQ103" i="1"/>
  <c r="Y103" i="1"/>
  <c r="Y64" i="3"/>
  <c r="AB54" i="1"/>
  <c r="AB232" i="1"/>
  <c r="Y242" i="3"/>
  <c r="X232" i="1"/>
  <c r="AB275" i="1"/>
  <c r="Y285" i="3"/>
  <c r="X275" i="1"/>
  <c r="AB109" i="1"/>
  <c r="Y119" i="3"/>
  <c r="X109" i="1"/>
  <c r="AB210" i="1"/>
  <c r="Y220" i="3"/>
  <c r="X210" i="1"/>
  <c r="AB227" i="1"/>
  <c r="Y237" i="3"/>
  <c r="X227" i="1"/>
  <c r="AC113" i="1"/>
  <c r="AB123" i="3" s="1"/>
  <c r="Z123" i="3"/>
  <c r="AQ113" i="1"/>
  <c r="Y113" i="1"/>
  <c r="AC122" i="1"/>
  <c r="AB132" i="3" s="1"/>
  <c r="Z132" i="3"/>
  <c r="AQ122" i="1"/>
  <c r="Y122" i="1"/>
  <c r="Y100" i="3"/>
  <c r="AB90" i="1"/>
  <c r="AB187" i="1"/>
  <c r="Y197" i="3"/>
  <c r="X187" i="1"/>
  <c r="AB108" i="1"/>
  <c r="Y118" i="3"/>
  <c r="X108" i="1"/>
  <c r="AB123" i="1"/>
  <c r="Y133" i="3"/>
  <c r="X123" i="1"/>
  <c r="AB228" i="1"/>
  <c r="Y238" i="3"/>
  <c r="X228" i="1"/>
  <c r="AB126" i="1"/>
  <c r="Y136" i="3"/>
  <c r="X126" i="1"/>
  <c r="AC300" i="1"/>
  <c r="AB310" i="3" s="1"/>
  <c r="Z310" i="3"/>
  <c r="Y300" i="1"/>
  <c r="AQ300" i="1"/>
  <c r="Y78" i="3"/>
  <c r="AB68" i="1"/>
  <c r="AB145" i="1"/>
  <c r="Y155" i="3"/>
  <c r="X145" i="1"/>
  <c r="AB204" i="1"/>
  <c r="Y214" i="3"/>
  <c r="X204" i="1"/>
  <c r="AB153" i="1"/>
  <c r="Y163" i="3"/>
  <c r="X153" i="1"/>
  <c r="AC294" i="1"/>
  <c r="AB304" i="3" s="1"/>
  <c r="Z304" i="3"/>
  <c r="Y294" i="1"/>
  <c r="AQ294" i="1"/>
  <c r="AB272" i="1"/>
  <c r="Y282" i="3"/>
  <c r="X272" i="1"/>
  <c r="AB112" i="1"/>
  <c r="Y122" i="3"/>
  <c r="X112" i="1"/>
  <c r="AB261" i="1"/>
  <c r="Y271" i="3"/>
  <c r="X261" i="1"/>
  <c r="AC168" i="1"/>
  <c r="AB178" i="3" s="1"/>
  <c r="Z178" i="3"/>
  <c r="Y168" i="1"/>
  <c r="AQ168" i="1"/>
  <c r="AC236" i="1"/>
  <c r="AB246" i="3" s="1"/>
  <c r="Z246" i="3"/>
  <c r="AQ236" i="1"/>
  <c r="Y236" i="1"/>
  <c r="AC262" i="1"/>
  <c r="AB272" i="3" s="1"/>
  <c r="Z272" i="3"/>
  <c r="Y262" i="1"/>
  <c r="AQ262" i="1"/>
  <c r="Y83" i="3"/>
  <c r="AB73" i="1"/>
  <c r="AC240" i="1"/>
  <c r="AB250" i="3" s="1"/>
  <c r="Z250" i="3"/>
  <c r="AQ240" i="1"/>
  <c r="AB151" i="1"/>
  <c r="Y161" i="3"/>
  <c r="X151" i="1"/>
  <c r="AB203" i="1"/>
  <c r="Y213" i="3"/>
  <c r="X203" i="1"/>
  <c r="AB193" i="1"/>
  <c r="Y203" i="3"/>
  <c r="X193" i="1"/>
  <c r="AB239" i="1"/>
  <c r="Y249" i="3"/>
  <c r="X239" i="1"/>
  <c r="AC223" i="1"/>
  <c r="AB233" i="3" s="1"/>
  <c r="Z233" i="3"/>
  <c r="AQ223" i="1"/>
  <c r="Y223" i="1"/>
  <c r="AC213" i="1"/>
  <c r="AB223" i="3" s="1"/>
  <c r="Z223" i="3"/>
  <c r="AQ213" i="1"/>
  <c r="Y88" i="3"/>
  <c r="AB78" i="1"/>
  <c r="AB139" i="1"/>
  <c r="X139" i="1"/>
  <c r="Y149" i="3"/>
  <c r="AB221" i="1"/>
  <c r="Y231" i="3"/>
  <c r="X221" i="1"/>
  <c r="AB295" i="1"/>
  <c r="Y305" i="3"/>
  <c r="X295" i="1"/>
  <c r="AB162" i="1"/>
  <c r="Y172" i="3"/>
  <c r="X162" i="1"/>
  <c r="AB233" i="1"/>
  <c r="Y243" i="3"/>
  <c r="X233" i="1"/>
  <c r="Y63" i="3"/>
  <c r="AB53" i="1"/>
  <c r="AB161" i="1"/>
  <c r="X161" i="1"/>
  <c r="Y171" i="3"/>
  <c r="AB237" i="1"/>
  <c r="Y247" i="3"/>
  <c r="X237" i="1"/>
  <c r="AB183" i="1"/>
  <c r="Y193" i="3"/>
  <c r="X183" i="1"/>
  <c r="AB141" i="1"/>
  <c r="Y151" i="3"/>
  <c r="X141" i="1"/>
  <c r="AB199" i="1"/>
  <c r="Y209" i="3"/>
  <c r="X199" i="1"/>
  <c r="AB174" i="1"/>
  <c r="Y184" i="3"/>
  <c r="X174" i="1"/>
  <c r="AB253" i="1"/>
  <c r="Y263" i="3"/>
  <c r="X253" i="1"/>
  <c r="AC101" i="1"/>
  <c r="AB111" i="3" s="1"/>
  <c r="Z111" i="3"/>
  <c r="AQ101" i="1"/>
  <c r="AC296" i="1"/>
  <c r="AB306" i="3" s="1"/>
  <c r="Z306" i="3"/>
  <c r="AQ296" i="1"/>
  <c r="Y296" i="1"/>
  <c r="AC181" i="1"/>
  <c r="AB191" i="3" s="1"/>
  <c r="Z191" i="3"/>
  <c r="AQ181" i="1"/>
  <c r="AC242" i="1"/>
  <c r="AB252" i="3" s="1"/>
  <c r="Z252" i="3"/>
  <c r="AQ242" i="1"/>
  <c r="AC283" i="1"/>
  <c r="AB293" i="3" s="1"/>
  <c r="Z293" i="3"/>
  <c r="AQ283" i="1"/>
  <c r="Y283" i="1"/>
  <c r="Y65" i="3"/>
  <c r="AB55" i="1"/>
  <c r="AB118" i="1"/>
  <c r="Y128" i="3"/>
  <c r="X118" i="1"/>
  <c r="AB93" i="1"/>
  <c r="Y103" i="3"/>
  <c r="X93" i="1"/>
  <c r="AB194" i="1"/>
  <c r="Y204" i="3"/>
  <c r="X194" i="1"/>
  <c r="AB265" i="1"/>
  <c r="Y275" i="3"/>
  <c r="X265" i="1"/>
  <c r="Y269" i="1"/>
  <c r="AB258" i="1"/>
  <c r="Y268" i="3"/>
  <c r="X258" i="1"/>
  <c r="AC249" i="1"/>
  <c r="AB259" i="3" s="1"/>
  <c r="Z259" i="3"/>
  <c r="AQ249" i="1"/>
  <c r="Y249" i="1"/>
  <c r="AB229" i="1"/>
  <c r="Y239" i="3"/>
  <c r="X229" i="1"/>
  <c r="AC254" i="1"/>
  <c r="AB264" i="3" s="1"/>
  <c r="Z264" i="3"/>
  <c r="AQ254" i="1"/>
  <c r="Y254" i="1"/>
  <c r="Y71" i="3"/>
  <c r="AB61" i="1"/>
  <c r="AB120" i="1"/>
  <c r="Y130" i="3"/>
  <c r="X120" i="1"/>
  <c r="AB271" i="1"/>
  <c r="X271" i="1"/>
  <c r="Y281" i="3"/>
  <c r="AB195" i="1"/>
  <c r="Y205" i="3"/>
  <c r="X195" i="1"/>
  <c r="AB212" i="1"/>
  <c r="Y222" i="3"/>
  <c r="X212" i="1"/>
  <c r="AB116" i="1"/>
  <c r="Y126" i="3"/>
  <c r="X116" i="1"/>
  <c r="AB226" i="1"/>
  <c r="Y236" i="3"/>
  <c r="X226" i="1"/>
  <c r="AC159" i="1"/>
  <c r="AB169" i="3" s="1"/>
  <c r="Z169" i="3"/>
  <c r="AQ159" i="1"/>
  <c r="Y159" i="1"/>
  <c r="AB147" i="1"/>
  <c r="Y157" i="3"/>
  <c r="X147" i="1"/>
  <c r="AC92" i="1"/>
  <c r="AB102" i="3" s="1"/>
  <c r="Z102" i="3"/>
  <c r="AQ92" i="1"/>
  <c r="Y92" i="1"/>
  <c r="AC160" i="1"/>
  <c r="AB170" i="3" s="1"/>
  <c r="Z170" i="3"/>
  <c r="AQ160" i="1"/>
  <c r="Y160" i="1"/>
  <c r="AB177" i="1"/>
  <c r="Y187" i="3"/>
  <c r="X177" i="1"/>
  <c r="Y66" i="3"/>
  <c r="AB56" i="1"/>
  <c r="AB99" i="1"/>
  <c r="Y109" i="3"/>
  <c r="X99" i="1"/>
  <c r="AB135" i="1"/>
  <c r="Y145" i="3"/>
  <c r="X135" i="1"/>
  <c r="AB105" i="1"/>
  <c r="Y115" i="3"/>
  <c r="X105" i="1"/>
  <c r="AC198" i="1"/>
  <c r="AB208" i="3" s="1"/>
  <c r="Z208" i="3"/>
  <c r="AQ198" i="1"/>
  <c r="Y198" i="1"/>
  <c r="AB158" i="1"/>
  <c r="Y168" i="3"/>
  <c r="X158" i="1"/>
  <c r="AB302" i="1"/>
  <c r="Y312" i="3"/>
  <c r="X302" i="1"/>
  <c r="AC297" i="1"/>
  <c r="AB307" i="3" s="1"/>
  <c r="Z307" i="3"/>
  <c r="AQ297" i="1"/>
  <c r="Y297" i="1"/>
  <c r="AC196" i="1"/>
  <c r="AB206" i="3" s="1"/>
  <c r="Z206" i="3"/>
  <c r="AQ196" i="1"/>
  <c r="Y196" i="1"/>
  <c r="Y67" i="3"/>
  <c r="AB57" i="1"/>
  <c r="AB214" i="1"/>
  <c r="Y224" i="3"/>
  <c r="X214" i="1"/>
  <c r="AB169" i="1"/>
  <c r="Y179" i="3"/>
  <c r="X169" i="1"/>
  <c r="AB104" i="1"/>
  <c r="Y114" i="3"/>
  <c r="X104" i="1"/>
  <c r="AB243" i="1"/>
  <c r="Y253" i="3"/>
  <c r="X243" i="1"/>
  <c r="AC264" i="1"/>
  <c r="AB274" i="3" s="1"/>
  <c r="Z274" i="3"/>
  <c r="Y264" i="1"/>
  <c r="AQ264" i="1"/>
  <c r="AB134" i="1"/>
  <c r="Y144" i="3"/>
  <c r="X134" i="1"/>
  <c r="AB96" i="1"/>
  <c r="Y106" i="3"/>
  <c r="X96" i="1"/>
  <c r="AB282" i="1"/>
  <c r="Y292" i="3"/>
  <c r="X282" i="1"/>
  <c r="AB121" i="1"/>
  <c r="Y131" i="3"/>
  <c r="X121" i="1"/>
  <c r="AC95" i="1"/>
  <c r="AB105" i="3" s="1"/>
  <c r="Z105" i="3"/>
  <c r="Y95" i="1"/>
  <c r="AQ95" i="1"/>
  <c r="AB280" i="1"/>
  <c r="Y290" i="3"/>
  <c r="X280" i="1"/>
  <c r="AB98" i="1"/>
  <c r="Y108" i="3"/>
  <c r="X98" i="1"/>
  <c r="AB285" i="1"/>
  <c r="Y295" i="3"/>
  <c r="X285" i="1"/>
  <c r="AB155" i="1"/>
  <c r="Y165" i="3"/>
  <c r="X155" i="1"/>
  <c r="AB150" i="1"/>
  <c r="Y160" i="3"/>
  <c r="X150" i="1"/>
  <c r="AC281" i="1"/>
  <c r="AB291" i="3" s="1"/>
  <c r="Z291" i="3"/>
  <c r="AQ281" i="1"/>
  <c r="Y281" i="1"/>
  <c r="AC284" i="1"/>
  <c r="AB294" i="3" s="1"/>
  <c r="Z294" i="3"/>
  <c r="AQ284" i="1"/>
  <c r="Y284" i="1"/>
  <c r="AB188" i="1"/>
  <c r="Y198" i="3"/>
  <c r="X188" i="1"/>
  <c r="AB172" i="1"/>
  <c r="Y182" i="3"/>
  <c r="X172" i="1"/>
  <c r="AC110" i="1"/>
  <c r="AB120" i="3" s="1"/>
  <c r="Z120" i="3"/>
  <c r="Y110" i="1"/>
  <c r="AQ110" i="1"/>
  <c r="Y96" i="3"/>
  <c r="AB86" i="1"/>
  <c r="AC278" i="1"/>
  <c r="AB288" i="3" s="1"/>
  <c r="Z288" i="3"/>
  <c r="Y278" i="1"/>
  <c r="AQ278" i="1"/>
  <c r="AB179" i="1"/>
  <c r="X179" i="1"/>
  <c r="Y189" i="3"/>
  <c r="AB245" i="1"/>
  <c r="Y255" i="3"/>
  <c r="X245" i="1"/>
  <c r="Y86" i="3"/>
  <c r="AB76" i="1"/>
  <c r="AB171" i="1"/>
  <c r="Y181" i="3"/>
  <c r="X171" i="1"/>
  <c r="AB288" i="1"/>
  <c r="Y298" i="3"/>
  <c r="X288" i="1"/>
  <c r="AB178" i="1"/>
  <c r="Y188" i="3"/>
  <c r="X178" i="1"/>
  <c r="AC131" i="1"/>
  <c r="AB141" i="3" s="1"/>
  <c r="Z141" i="3"/>
  <c r="Y131" i="1"/>
  <c r="AQ131" i="1"/>
  <c r="AB164" i="1"/>
  <c r="Y174" i="3"/>
  <c r="X164" i="1"/>
  <c r="AB115" i="1"/>
  <c r="Y125" i="3"/>
  <c r="X115" i="1"/>
  <c r="AB241" i="1"/>
  <c r="Y251" i="3"/>
  <c r="X241" i="1"/>
  <c r="AB290" i="1"/>
  <c r="Y300" i="3"/>
  <c r="X290" i="1"/>
  <c r="AB102" i="1"/>
  <c r="Y112" i="3"/>
  <c r="X102" i="1"/>
  <c r="AC225" i="1"/>
  <c r="AB235" i="3" s="1"/>
  <c r="Z235" i="3"/>
  <c r="Y225" i="1"/>
  <c r="AQ225" i="1"/>
  <c r="Y80" i="3"/>
  <c r="AB70" i="1"/>
  <c r="AB298" i="1"/>
  <c r="Y308" i="3"/>
  <c r="X298" i="1"/>
  <c r="AB130" i="1"/>
  <c r="Y140" i="3"/>
  <c r="X130" i="1"/>
  <c r="AB260" i="1"/>
  <c r="Y270" i="3"/>
  <c r="X260" i="1"/>
  <c r="AB146" i="1"/>
  <c r="Y156" i="3"/>
  <c r="X146" i="1"/>
  <c r="Y68" i="3"/>
  <c r="AB58" i="1"/>
  <c r="AB267" i="1"/>
  <c r="Y277" i="3"/>
  <c r="X267" i="1"/>
  <c r="AB277" i="1"/>
  <c r="Y287" i="3"/>
  <c r="X277" i="1"/>
  <c r="AB144" i="1"/>
  <c r="Y154" i="3"/>
  <c r="X144" i="1"/>
  <c r="AB185" i="1"/>
  <c r="Y195" i="3"/>
  <c r="X185" i="1"/>
  <c r="AB234" i="1"/>
  <c r="Y244" i="3"/>
  <c r="X234" i="1"/>
  <c r="AB238" i="1"/>
  <c r="Y248" i="3"/>
  <c r="X238" i="1"/>
  <c r="AB197" i="1"/>
  <c r="Y207" i="3"/>
  <c r="X197" i="1"/>
  <c r="AC263" i="1"/>
  <c r="AB273" i="3" s="1"/>
  <c r="Z273" i="3"/>
  <c r="AQ263" i="1"/>
  <c r="Y263" i="1"/>
  <c r="AC192" i="1"/>
  <c r="AB202" i="3" s="1"/>
  <c r="Z202" i="3"/>
  <c r="AQ192" i="1"/>
  <c r="Y192" i="1"/>
  <c r="AC201" i="1"/>
  <c r="AB211" i="3" s="1"/>
  <c r="Z211" i="3"/>
  <c r="AQ201" i="1"/>
  <c r="Y201" i="1"/>
  <c r="AC218" i="1"/>
  <c r="AB228" i="3" s="1"/>
  <c r="Z228" i="3"/>
  <c r="Y218" i="1"/>
  <c r="AQ218" i="1"/>
  <c r="AB119" i="1"/>
  <c r="Y129" i="3"/>
  <c r="X119" i="1"/>
  <c r="AB251" i="1"/>
  <c r="X251" i="1"/>
  <c r="Y261" i="3"/>
  <c r="AB100" i="1"/>
  <c r="Y110" i="3"/>
  <c r="X100" i="1"/>
  <c r="AB189" i="1"/>
  <c r="Y199" i="3"/>
  <c r="X189" i="1"/>
  <c r="AB114" i="1"/>
  <c r="Y124" i="3"/>
  <c r="X114" i="1"/>
  <c r="AB231" i="1"/>
  <c r="Y241" i="3"/>
  <c r="X231" i="1"/>
  <c r="AC247" i="1"/>
  <c r="AB257" i="3" s="1"/>
  <c r="Z257" i="3"/>
  <c r="AQ247" i="1"/>
  <c r="Y247" i="1"/>
  <c r="AB246" i="1"/>
  <c r="Y256" i="3"/>
  <c r="X246" i="1"/>
  <c r="AC186" i="1"/>
  <c r="AB196" i="3" s="1"/>
  <c r="Z196" i="3"/>
  <c r="AQ186" i="1"/>
  <c r="Y186" i="1"/>
  <c r="AB167" i="1"/>
  <c r="Y177" i="3"/>
  <c r="X167" i="1"/>
  <c r="AC301" i="1"/>
  <c r="AB311" i="3" s="1"/>
  <c r="Z311" i="3"/>
  <c r="Y301" i="1"/>
  <c r="AQ301" i="1"/>
  <c r="AB209" i="1"/>
  <c r="X209" i="1"/>
  <c r="Y219" i="3"/>
  <c r="AB219" i="1"/>
  <c r="Y229" i="3"/>
  <c r="X219" i="1"/>
  <c r="AB299" i="1"/>
  <c r="Y309" i="3"/>
  <c r="X299" i="1"/>
  <c r="AC287" i="1"/>
  <c r="AB297" i="3" s="1"/>
  <c r="Z297" i="3"/>
  <c r="AQ287" i="1"/>
  <c r="Y287" i="1"/>
  <c r="Y94" i="3"/>
  <c r="AB84" i="1"/>
  <c r="AB148" i="1"/>
  <c r="Y158" i="3"/>
  <c r="X148" i="1"/>
  <c r="AB206" i="1"/>
  <c r="Y216" i="3"/>
  <c r="X206" i="1"/>
  <c r="AB191" i="1"/>
  <c r="Y201" i="3"/>
  <c r="X191" i="1"/>
  <c r="AB157" i="1"/>
  <c r="Y167" i="3"/>
  <c r="X157" i="1"/>
  <c r="AC176" i="1"/>
  <c r="AB186" i="3" s="1"/>
  <c r="Z186" i="3"/>
  <c r="AQ176" i="1"/>
  <c r="AB291" i="1"/>
  <c r="Y301" i="3"/>
  <c r="X291" i="1"/>
  <c r="AB259" i="1"/>
  <c r="Y269" i="3"/>
  <c r="X259" i="1"/>
  <c r="AB224" i="1"/>
  <c r="Y234" i="3"/>
  <c r="X224" i="1"/>
  <c r="AB217" i="1"/>
  <c r="Y227" i="3"/>
  <c r="X217" i="1"/>
  <c r="AB235" i="1"/>
  <c r="Y245" i="3"/>
  <c r="X235" i="1"/>
  <c r="AB163" i="1"/>
  <c r="Y173" i="3"/>
  <c r="X163" i="1"/>
  <c r="AB137" i="1"/>
  <c r="Y147" i="3"/>
  <c r="X137" i="1"/>
  <c r="AB274" i="1"/>
  <c r="Y284" i="3"/>
  <c r="X274" i="1"/>
  <c r="AB166" i="1"/>
  <c r="Y176" i="3"/>
  <c r="X166" i="1"/>
  <c r="AB94" i="1"/>
  <c r="Y104" i="3"/>
  <c r="X94" i="1"/>
  <c r="AB128" i="1"/>
  <c r="Y138" i="3"/>
  <c r="X128" i="1"/>
  <c r="AB208" i="1"/>
  <c r="Y218" i="3"/>
  <c r="X208" i="1"/>
  <c r="AC289" i="1"/>
  <c r="AB299" i="3" s="1"/>
  <c r="Z299" i="3"/>
  <c r="Y289" i="1"/>
  <c r="AQ289" i="1"/>
  <c r="AB149" i="1"/>
  <c r="Y159" i="3"/>
  <c r="X149" i="1"/>
  <c r="AC216" i="1"/>
  <c r="AB226" i="3" s="1"/>
  <c r="Z226" i="3"/>
  <c r="AQ216" i="1"/>
  <c r="AC266" i="1"/>
  <c r="AB276" i="3" s="1"/>
  <c r="Z276" i="3"/>
  <c r="AQ266" i="1"/>
  <c r="Y266" i="1"/>
  <c r="AC97" i="1"/>
  <c r="AB107" i="3" s="1"/>
  <c r="Z107" i="3"/>
  <c r="AQ97" i="1"/>
  <c r="Y97" i="1"/>
  <c r="Y59" i="3"/>
  <c r="AB49" i="1"/>
  <c r="Y58" i="3"/>
  <c r="AB48" i="1"/>
  <c r="Y54" i="3"/>
  <c r="AB44" i="1"/>
  <c r="Y50" i="3"/>
  <c r="AB40" i="1"/>
  <c r="Y53" i="3"/>
  <c r="AB43" i="1"/>
  <c r="Y62" i="3"/>
  <c r="AB52" i="1"/>
  <c r="Y55" i="3"/>
  <c r="AB45" i="1"/>
  <c r="Y61" i="3"/>
  <c r="AB51" i="1"/>
  <c r="R30" i="1"/>
  <c r="V30" i="1" s="1"/>
  <c r="R34" i="1"/>
  <c r="V34" i="1" s="1"/>
  <c r="R35" i="1"/>
  <c r="V35" i="1" s="1"/>
  <c r="AB35" i="1" s="1"/>
  <c r="R36" i="1"/>
  <c r="V36" i="1" s="1"/>
  <c r="AB36" i="1" s="1"/>
  <c r="R37" i="1"/>
  <c r="V37" i="1" s="1"/>
  <c r="R38" i="1"/>
  <c r="V38" i="1" s="1"/>
  <c r="AB38" i="1" s="1"/>
  <c r="R39" i="1"/>
  <c r="V39" i="1" s="1"/>
  <c r="AB39" i="1" s="1"/>
  <c r="R4" i="1"/>
  <c r="U26" i="1"/>
  <c r="U17" i="1"/>
  <c r="U19" i="1"/>
  <c r="U12" i="1"/>
  <c r="Q48" i="1"/>
  <c r="X48" i="1" s="1"/>
  <c r="AC48" i="1" s="1"/>
  <c r="Q74" i="1"/>
  <c r="X74" i="1" s="1"/>
  <c r="AC74" i="1" s="1"/>
  <c r="Q57" i="1"/>
  <c r="X57" i="1" s="1"/>
  <c r="AC57" i="1" s="1"/>
  <c r="Q86" i="1"/>
  <c r="X86" i="1" s="1"/>
  <c r="AC86" i="1" s="1"/>
  <c r="Q83" i="1"/>
  <c r="X83" i="1" s="1"/>
  <c r="AC83" i="1" s="1"/>
  <c r="Q77" i="1"/>
  <c r="X77" i="1" s="1"/>
  <c r="AC77" i="1" s="1"/>
  <c r="Q60" i="1"/>
  <c r="X60" i="1" s="1"/>
  <c r="AC60" i="1" s="1"/>
  <c r="Q43" i="1"/>
  <c r="X43" i="1" s="1"/>
  <c r="Q89" i="1"/>
  <c r="X89" i="1" s="1"/>
  <c r="AC89" i="1" s="1"/>
  <c r="Q80" i="1"/>
  <c r="X80" i="1" s="1"/>
  <c r="AC80" i="1" s="1"/>
  <c r="Q69" i="1"/>
  <c r="X69" i="1" s="1"/>
  <c r="AC69" i="1" s="1"/>
  <c r="Q66" i="1"/>
  <c r="Q63" i="1"/>
  <c r="Q52" i="1"/>
  <c r="Q46" i="1"/>
  <c r="Q75" i="1"/>
  <c r="X75" i="1" s="1"/>
  <c r="AC75" i="1" s="1"/>
  <c r="Q58" i="1"/>
  <c r="X58" i="1" s="1"/>
  <c r="Q41" i="1"/>
  <c r="X41" i="1" s="1"/>
  <c r="Q87" i="1"/>
  <c r="X87" i="1" s="1"/>
  <c r="AC87" i="1" s="1"/>
  <c r="Q81" i="1"/>
  <c r="X81" i="1" s="1"/>
  <c r="AC81" i="1" s="1"/>
  <c r="Q78" i="1"/>
  <c r="Q64" i="1"/>
  <c r="X64" i="1" s="1"/>
  <c r="AC64" i="1" s="1"/>
  <c r="Q84" i="1"/>
  <c r="Q61" i="1"/>
  <c r="Q70" i="1"/>
  <c r="Q67" i="1"/>
  <c r="X67" i="1" s="1"/>
  <c r="AC67" i="1" s="1"/>
  <c r="Q44" i="1"/>
  <c r="Q53" i="1"/>
  <c r="X53" i="1" s="1"/>
  <c r="Q50" i="1"/>
  <c r="X50" i="1" s="1"/>
  <c r="AC50" i="1" s="1"/>
  <c r="Q90" i="1"/>
  <c r="X90" i="1" s="1"/>
  <c r="Q73" i="1"/>
  <c r="Q85" i="1"/>
  <c r="X85" i="1" s="1"/>
  <c r="AC85" i="1" s="1"/>
  <c r="Q68" i="1"/>
  <c r="X68" i="1" s="1"/>
  <c r="Q88" i="1"/>
  <c r="Q71" i="1"/>
  <c r="X71" i="1" s="1"/>
  <c r="AC71" i="1" s="1"/>
  <c r="Q54" i="1"/>
  <c r="X54" i="1" s="1"/>
  <c r="Q45" i="1"/>
  <c r="X45" i="1" s="1"/>
  <c r="Q40" i="1"/>
  <c r="X40" i="1" s="1"/>
  <c r="AC40" i="1" s="1"/>
  <c r="Q47" i="1"/>
  <c r="X47" i="1" s="1"/>
  <c r="AC47" i="1" s="1"/>
  <c r="Q56" i="1"/>
  <c r="Q62" i="1"/>
  <c r="X62" i="1" s="1"/>
  <c r="AC62" i="1" s="1"/>
  <c r="Q65" i="1"/>
  <c r="X65" i="1" s="1"/>
  <c r="AC65" i="1" s="1"/>
  <c r="Q51" i="1"/>
  <c r="Q37" i="1"/>
  <c r="X37" i="1" s="1"/>
  <c r="AC37" i="1" s="1"/>
  <c r="Q76" i="1"/>
  <c r="Q59" i="1"/>
  <c r="X59" i="1" s="1"/>
  <c r="AC59" i="1" s="1"/>
  <c r="Q42" i="1"/>
  <c r="X42" i="1" s="1"/>
  <c r="AC42" i="1" s="1"/>
  <c r="Q82" i="1"/>
  <c r="X82" i="1" s="1"/>
  <c r="AC82" i="1" s="1"/>
  <c r="Q79" i="1"/>
  <c r="X79" i="1" s="1"/>
  <c r="AC79" i="1" s="1"/>
  <c r="Q55" i="1"/>
  <c r="Q72" i="1"/>
  <c r="X72" i="1" s="1"/>
  <c r="AC72" i="1" s="1"/>
  <c r="Q49" i="1"/>
  <c r="X49" i="1" s="1"/>
  <c r="AC49" i="1" s="1"/>
  <c r="R27" i="1"/>
  <c r="V27" i="1" s="1"/>
  <c r="R20" i="1"/>
  <c r="V20" i="1" s="1"/>
  <c r="R21" i="1"/>
  <c r="V21" i="1" s="1"/>
  <c r="R28" i="1"/>
  <c r="V28" i="1" s="1"/>
  <c r="R22" i="1"/>
  <c r="V22" i="1" s="1"/>
  <c r="R33" i="1"/>
  <c r="V33" i="1" s="1"/>
  <c r="R25" i="1"/>
  <c r="V25" i="1" s="1"/>
  <c r="R23" i="1"/>
  <c r="V23" i="1" s="1"/>
  <c r="R32" i="1"/>
  <c r="V32" i="1" s="1"/>
  <c r="R26" i="1"/>
  <c r="R31" i="1"/>
  <c r="V31" i="1" s="1"/>
  <c r="R29" i="1"/>
  <c r="V29" i="1" s="1"/>
  <c r="R24" i="1"/>
  <c r="V24" i="1" s="1"/>
  <c r="Y95" i="3"/>
  <c r="Y97" i="3"/>
  <c r="Y73" i="3"/>
  <c r="Y75" i="3"/>
  <c r="Y92" i="3"/>
  <c r="Y81" i="3"/>
  <c r="Y77" i="3"/>
  <c r="Y99" i="3"/>
  <c r="Y72" i="3"/>
  <c r="Y79" i="3"/>
  <c r="Y85" i="3"/>
  <c r="Y84" i="3"/>
  <c r="Y93" i="3"/>
  <c r="Y82" i="3"/>
  <c r="Y98" i="3"/>
  <c r="X88" i="1"/>
  <c r="AC88" i="1" s="1"/>
  <c r="Y74" i="3"/>
  <c r="Y90" i="3"/>
  <c r="Y91" i="3"/>
  <c r="Y76" i="3"/>
  <c r="Y89" i="3"/>
  <c r="Y87" i="3"/>
  <c r="R17" i="1"/>
  <c r="R16" i="1"/>
  <c r="U16" i="1"/>
  <c r="R19" i="1"/>
  <c r="U18" i="1"/>
  <c r="R18" i="1"/>
  <c r="Q30" i="1"/>
  <c r="Y51" i="3"/>
  <c r="Y52" i="3"/>
  <c r="Y60" i="3"/>
  <c r="Y69" i="3"/>
  <c r="Y57" i="3"/>
  <c r="Y70" i="3"/>
  <c r="Y56" i="3"/>
  <c r="Q13" i="1"/>
  <c r="Q14" i="1"/>
  <c r="Q15" i="1"/>
  <c r="Y40" i="3" l="1"/>
  <c r="AB30" i="1"/>
  <c r="AC155" i="1"/>
  <c r="AB165" i="3" s="1"/>
  <c r="Z165" i="3"/>
  <c r="AQ155" i="1"/>
  <c r="Y155" i="1"/>
  <c r="AC108" i="1"/>
  <c r="AB118" i="3" s="1"/>
  <c r="Z118" i="3"/>
  <c r="AQ108" i="1"/>
  <c r="Y108" i="1"/>
  <c r="AC102" i="1"/>
  <c r="AB112" i="3" s="1"/>
  <c r="Z112" i="3"/>
  <c r="AQ102" i="1"/>
  <c r="Y102" i="1"/>
  <c r="AC277" i="1"/>
  <c r="AB287" i="3" s="1"/>
  <c r="Z287" i="3"/>
  <c r="AQ277" i="1"/>
  <c r="Y277" i="1"/>
  <c r="AC197" i="1"/>
  <c r="AB207" i="3" s="1"/>
  <c r="Z207" i="3"/>
  <c r="Y197" i="1"/>
  <c r="AQ197" i="1"/>
  <c r="AC153" i="1"/>
  <c r="AB163" i="3" s="1"/>
  <c r="Z163" i="3"/>
  <c r="Y153" i="1"/>
  <c r="AQ153" i="1"/>
  <c r="AC286" i="1"/>
  <c r="AB296" i="3" s="1"/>
  <c r="Z296" i="3"/>
  <c r="Y286" i="1"/>
  <c r="AQ286" i="1"/>
  <c r="AC157" i="1"/>
  <c r="AB167" i="3" s="1"/>
  <c r="Z167" i="3"/>
  <c r="AQ157" i="1"/>
  <c r="Y157" i="1"/>
  <c r="AC114" i="1"/>
  <c r="AB124" i="3" s="1"/>
  <c r="Z124" i="3"/>
  <c r="Y114" i="1"/>
  <c r="AQ114" i="1"/>
  <c r="AC280" i="1"/>
  <c r="AB290" i="3" s="1"/>
  <c r="Z290" i="3"/>
  <c r="AQ280" i="1"/>
  <c r="Y280" i="1"/>
  <c r="AC134" i="1"/>
  <c r="AB144" i="3" s="1"/>
  <c r="Z144" i="3"/>
  <c r="Y134" i="1"/>
  <c r="AQ134" i="1"/>
  <c r="AC214" i="1"/>
  <c r="AB224" i="3" s="1"/>
  <c r="Z224" i="3"/>
  <c r="AQ214" i="1"/>
  <c r="Y214" i="1"/>
  <c r="AC158" i="1"/>
  <c r="AB168" i="3" s="1"/>
  <c r="Z168" i="3"/>
  <c r="AQ158" i="1"/>
  <c r="Y158" i="1"/>
  <c r="AC118" i="1"/>
  <c r="AB128" i="3" s="1"/>
  <c r="Z128" i="3"/>
  <c r="AQ118" i="1"/>
  <c r="Y118" i="1"/>
  <c r="AC162" i="1"/>
  <c r="AB172" i="3" s="1"/>
  <c r="Z172" i="3"/>
  <c r="Y162" i="1"/>
  <c r="AQ162" i="1"/>
  <c r="AC275" i="1"/>
  <c r="AB285" i="3" s="1"/>
  <c r="Z285" i="3"/>
  <c r="Y275" i="1"/>
  <c r="AQ275" i="1"/>
  <c r="AC270" i="1"/>
  <c r="AB280" i="3" s="1"/>
  <c r="Z280" i="3"/>
  <c r="AQ270" i="1"/>
  <c r="Y270" i="1"/>
  <c r="AC243" i="1"/>
  <c r="AB253" i="3" s="1"/>
  <c r="Z253" i="3"/>
  <c r="Y243" i="1"/>
  <c r="AQ243" i="1"/>
  <c r="AC193" i="1"/>
  <c r="AB203" i="3" s="1"/>
  <c r="Z203" i="3"/>
  <c r="Y193" i="1"/>
  <c r="AQ193" i="1"/>
  <c r="AC148" i="1"/>
  <c r="AB158" i="3" s="1"/>
  <c r="Z158" i="3"/>
  <c r="AQ148" i="1"/>
  <c r="Y148" i="1"/>
  <c r="AC135" i="1"/>
  <c r="AB145" i="3" s="1"/>
  <c r="Z145" i="3"/>
  <c r="AQ135" i="1"/>
  <c r="Y135" i="1"/>
  <c r="AC128" i="1"/>
  <c r="AB138" i="3" s="1"/>
  <c r="Z138" i="3"/>
  <c r="Y128" i="1"/>
  <c r="AQ128" i="1"/>
  <c r="AC130" i="1"/>
  <c r="AB140" i="3" s="1"/>
  <c r="Z140" i="3"/>
  <c r="AQ130" i="1"/>
  <c r="Y130" i="1"/>
  <c r="AC169" i="1"/>
  <c r="AB179" i="3" s="1"/>
  <c r="Z179" i="3"/>
  <c r="Y169" i="1"/>
  <c r="AQ169" i="1"/>
  <c r="AC94" i="1"/>
  <c r="AB104" i="3" s="1"/>
  <c r="Z104" i="3"/>
  <c r="Y94" i="1"/>
  <c r="AQ94" i="1"/>
  <c r="AC141" i="1"/>
  <c r="AB151" i="3" s="1"/>
  <c r="Z151" i="3"/>
  <c r="Y141" i="1"/>
  <c r="AQ141" i="1"/>
  <c r="AC228" i="1"/>
  <c r="AB238" i="3" s="1"/>
  <c r="Z238" i="3"/>
  <c r="AQ228" i="1"/>
  <c r="Y228" i="1"/>
  <c r="AC124" i="1"/>
  <c r="AB134" i="3" s="1"/>
  <c r="Z134" i="3"/>
  <c r="AQ124" i="1"/>
  <c r="Y124" i="1"/>
  <c r="AC272" i="1"/>
  <c r="AB282" i="3" s="1"/>
  <c r="Z282" i="3"/>
  <c r="AQ272" i="1"/>
  <c r="Y272" i="1"/>
  <c r="AC291" i="1"/>
  <c r="AB301" i="3" s="1"/>
  <c r="Z301" i="3"/>
  <c r="AQ291" i="1"/>
  <c r="Y291" i="1"/>
  <c r="AC179" i="1"/>
  <c r="AB189" i="3" s="1"/>
  <c r="Z189" i="3"/>
  <c r="AQ179" i="1"/>
  <c r="Y179" i="1"/>
  <c r="AC104" i="1"/>
  <c r="AB114" i="3" s="1"/>
  <c r="Z114" i="3"/>
  <c r="AQ104" i="1"/>
  <c r="Y104" i="1"/>
  <c r="AC194" i="1"/>
  <c r="AB204" i="3" s="1"/>
  <c r="Z204" i="3"/>
  <c r="AQ194" i="1"/>
  <c r="Y194" i="1"/>
  <c r="AC210" i="1"/>
  <c r="AB220" i="3" s="1"/>
  <c r="Z220" i="3"/>
  <c r="AQ210" i="1"/>
  <c r="Y210" i="1"/>
  <c r="AC203" i="1"/>
  <c r="AB213" i="3" s="1"/>
  <c r="Z213" i="3"/>
  <c r="AQ203" i="1"/>
  <c r="Y203" i="1"/>
  <c r="AC165" i="1"/>
  <c r="AB175" i="3" s="1"/>
  <c r="Z175" i="3"/>
  <c r="AQ165" i="1"/>
  <c r="Y165" i="1"/>
  <c r="AC119" i="1"/>
  <c r="AB129" i="3" s="1"/>
  <c r="Z129" i="3"/>
  <c r="AQ119" i="1"/>
  <c r="Y119" i="1"/>
  <c r="AC99" i="1"/>
  <c r="AB109" i="3" s="1"/>
  <c r="Z109" i="3"/>
  <c r="AQ99" i="1"/>
  <c r="Y99" i="1"/>
  <c r="AC267" i="1"/>
  <c r="AB277" i="3" s="1"/>
  <c r="Z277" i="3"/>
  <c r="AQ267" i="1"/>
  <c r="Y267" i="1"/>
  <c r="AC171" i="1"/>
  <c r="AB181" i="3" s="1"/>
  <c r="Z181" i="3"/>
  <c r="Y171" i="1"/>
  <c r="AQ171" i="1"/>
  <c r="AC271" i="1"/>
  <c r="AB281" i="3" s="1"/>
  <c r="Z281" i="3"/>
  <c r="AQ271" i="1"/>
  <c r="Y271" i="1"/>
  <c r="AC149" i="1"/>
  <c r="AB159" i="3" s="1"/>
  <c r="Z159" i="3"/>
  <c r="AQ149" i="1"/>
  <c r="Y149" i="1"/>
  <c r="AC166" i="1"/>
  <c r="AB176" i="3" s="1"/>
  <c r="Z176" i="3"/>
  <c r="AQ166" i="1"/>
  <c r="Y166" i="1"/>
  <c r="AC238" i="1"/>
  <c r="AB248" i="3" s="1"/>
  <c r="Z248" i="3"/>
  <c r="Y238" i="1"/>
  <c r="AQ238" i="1"/>
  <c r="AC177" i="1"/>
  <c r="AB187" i="3" s="1"/>
  <c r="Z187" i="3"/>
  <c r="AQ177" i="1"/>
  <c r="Y177" i="1"/>
  <c r="AC183" i="1"/>
  <c r="AB193" i="3" s="1"/>
  <c r="Z193" i="3"/>
  <c r="AQ183" i="1"/>
  <c r="Y183" i="1"/>
  <c r="AC261" i="1"/>
  <c r="AB271" i="3" s="1"/>
  <c r="Z271" i="3"/>
  <c r="AQ261" i="1"/>
  <c r="Y261" i="1"/>
  <c r="AC204" i="1"/>
  <c r="AB214" i="3" s="1"/>
  <c r="Z214" i="3"/>
  <c r="AQ204" i="1"/>
  <c r="Y204" i="1"/>
  <c r="AC256" i="1"/>
  <c r="AB266" i="3" s="1"/>
  <c r="Z266" i="3"/>
  <c r="AQ256" i="1"/>
  <c r="Y256" i="1"/>
  <c r="AC121" i="1"/>
  <c r="AB131" i="3" s="1"/>
  <c r="Z131" i="3"/>
  <c r="AQ121" i="1"/>
  <c r="Y121" i="1"/>
  <c r="AC105" i="1"/>
  <c r="AB115" i="3" s="1"/>
  <c r="Z115" i="3"/>
  <c r="Y105" i="1"/>
  <c r="AQ105" i="1"/>
  <c r="AC116" i="1"/>
  <c r="AB126" i="3" s="1"/>
  <c r="Z126" i="3"/>
  <c r="AQ116" i="1"/>
  <c r="Y116" i="1"/>
  <c r="AC154" i="1"/>
  <c r="AB164" i="3" s="1"/>
  <c r="Z164" i="3"/>
  <c r="Y154" i="1"/>
  <c r="AQ154" i="1"/>
  <c r="AC260" i="1"/>
  <c r="AB270" i="3" s="1"/>
  <c r="Z270" i="3"/>
  <c r="AQ260" i="1"/>
  <c r="Y260" i="1"/>
  <c r="AC188" i="1"/>
  <c r="AB198" i="3" s="1"/>
  <c r="Z198" i="3"/>
  <c r="Y188" i="1"/>
  <c r="AQ188" i="1"/>
  <c r="AC161" i="1"/>
  <c r="AB171" i="3" s="1"/>
  <c r="Z171" i="3"/>
  <c r="Y161" i="1"/>
  <c r="AQ161" i="1"/>
  <c r="AC282" i="1"/>
  <c r="AB292" i="3" s="1"/>
  <c r="Z292" i="3"/>
  <c r="Y282" i="1"/>
  <c r="AQ282" i="1"/>
  <c r="AC212" i="1"/>
  <c r="AB222" i="3" s="1"/>
  <c r="Z222" i="3"/>
  <c r="AQ212" i="1"/>
  <c r="Y212" i="1"/>
  <c r="AC139" i="1"/>
  <c r="AB149" i="3" s="1"/>
  <c r="Z149" i="3"/>
  <c r="Y139" i="1"/>
  <c r="AQ139" i="1"/>
  <c r="AC163" i="1"/>
  <c r="AB173" i="3" s="1"/>
  <c r="Z173" i="3"/>
  <c r="AQ163" i="1"/>
  <c r="Y163" i="1"/>
  <c r="AC178" i="1"/>
  <c r="AB188" i="3" s="1"/>
  <c r="Z188" i="3"/>
  <c r="AQ178" i="1"/>
  <c r="Y178" i="1"/>
  <c r="AC229" i="1"/>
  <c r="AB239" i="3" s="1"/>
  <c r="Z239" i="3"/>
  <c r="Y229" i="1"/>
  <c r="AQ229" i="1"/>
  <c r="AC199" i="1"/>
  <c r="AB209" i="3" s="1"/>
  <c r="Z209" i="3"/>
  <c r="Y199" i="1"/>
  <c r="AQ199" i="1"/>
  <c r="AC96" i="1"/>
  <c r="AB106" i="3" s="1"/>
  <c r="Z106" i="3"/>
  <c r="Y96" i="1"/>
  <c r="AQ96" i="1"/>
  <c r="AC147" i="1"/>
  <c r="AB157" i="3" s="1"/>
  <c r="Z157" i="3"/>
  <c r="AQ147" i="1"/>
  <c r="Y147" i="1"/>
  <c r="AC93" i="1"/>
  <c r="AB103" i="3" s="1"/>
  <c r="Z103" i="3"/>
  <c r="Y93" i="1"/>
  <c r="AQ93" i="1"/>
  <c r="AC233" i="1"/>
  <c r="AB243" i="3" s="1"/>
  <c r="Z243" i="3"/>
  <c r="AQ233" i="1"/>
  <c r="Y233" i="1"/>
  <c r="AC109" i="1"/>
  <c r="AB119" i="3" s="1"/>
  <c r="Z119" i="3"/>
  <c r="AQ109" i="1"/>
  <c r="Y109" i="1"/>
  <c r="AC288" i="1"/>
  <c r="AB298" i="3" s="1"/>
  <c r="Z298" i="3"/>
  <c r="AQ288" i="1"/>
  <c r="Y288" i="1"/>
  <c r="AC151" i="1"/>
  <c r="AB161" i="3" s="1"/>
  <c r="Z161" i="3"/>
  <c r="AQ151" i="1"/>
  <c r="Y151" i="1"/>
  <c r="AC126" i="1"/>
  <c r="AB136" i="3" s="1"/>
  <c r="Z136" i="3"/>
  <c r="AQ126" i="1"/>
  <c r="Y126" i="1"/>
  <c r="AC205" i="1"/>
  <c r="AB215" i="3" s="1"/>
  <c r="Z215" i="3"/>
  <c r="AQ205" i="1"/>
  <c r="Y205" i="1"/>
  <c r="AC217" i="1"/>
  <c r="AB227" i="3" s="1"/>
  <c r="Z227" i="3"/>
  <c r="AQ217" i="1"/>
  <c r="Y217" i="1"/>
  <c r="AC115" i="1"/>
  <c r="AB125" i="3" s="1"/>
  <c r="Z125" i="3"/>
  <c r="AQ115" i="1"/>
  <c r="Y115" i="1"/>
  <c r="AC191" i="1"/>
  <c r="AB201" i="3" s="1"/>
  <c r="Z201" i="3"/>
  <c r="AQ191" i="1"/>
  <c r="Y191" i="1"/>
  <c r="AC189" i="1"/>
  <c r="AB199" i="3" s="1"/>
  <c r="Z199" i="3"/>
  <c r="Y189" i="1"/>
  <c r="AQ189" i="1"/>
  <c r="AC120" i="1"/>
  <c r="AB130" i="3" s="1"/>
  <c r="Z130" i="3"/>
  <c r="AQ120" i="1"/>
  <c r="Y120" i="1"/>
  <c r="AC258" i="1"/>
  <c r="AB268" i="3" s="1"/>
  <c r="Z268" i="3"/>
  <c r="AQ258" i="1"/>
  <c r="Y258" i="1"/>
  <c r="AC295" i="1"/>
  <c r="AB305" i="3" s="1"/>
  <c r="Z305" i="3"/>
  <c r="AQ295" i="1"/>
  <c r="Y295" i="1"/>
  <c r="AC232" i="1"/>
  <c r="AB242" i="3" s="1"/>
  <c r="Z242" i="3"/>
  <c r="AQ232" i="1"/>
  <c r="Y232" i="1"/>
  <c r="AC137" i="1"/>
  <c r="AB147" i="3" s="1"/>
  <c r="Z147" i="3"/>
  <c r="AQ137" i="1"/>
  <c r="Y137" i="1"/>
  <c r="AC185" i="1"/>
  <c r="AB195" i="3" s="1"/>
  <c r="Z195" i="3"/>
  <c r="Y185" i="1"/>
  <c r="AQ185" i="1"/>
  <c r="AC208" i="1"/>
  <c r="AB218" i="3" s="1"/>
  <c r="Z218" i="3"/>
  <c r="Y208" i="1"/>
  <c r="AQ208" i="1"/>
  <c r="AC144" i="1"/>
  <c r="AB154" i="3" s="1"/>
  <c r="Z154" i="3"/>
  <c r="Y144" i="1"/>
  <c r="AQ144" i="1"/>
  <c r="AC170" i="1"/>
  <c r="AB180" i="3" s="1"/>
  <c r="Z180" i="3"/>
  <c r="AQ170" i="1"/>
  <c r="Y170" i="1"/>
  <c r="AC302" i="1"/>
  <c r="AB312" i="3" s="1"/>
  <c r="Z312" i="3"/>
  <c r="Y302" i="1"/>
  <c r="AQ302" i="1"/>
  <c r="AC235" i="1"/>
  <c r="AB245" i="3" s="1"/>
  <c r="Z245" i="3"/>
  <c r="Y235" i="1"/>
  <c r="AQ235" i="1"/>
  <c r="AC298" i="1"/>
  <c r="AB308" i="3" s="1"/>
  <c r="Z308" i="3"/>
  <c r="AQ298" i="1"/>
  <c r="Y298" i="1"/>
  <c r="AC224" i="1"/>
  <c r="AB234" i="3" s="1"/>
  <c r="Z234" i="3"/>
  <c r="AQ224" i="1"/>
  <c r="Y224" i="1"/>
  <c r="AC164" i="1"/>
  <c r="AB174" i="3" s="1"/>
  <c r="Z174" i="3"/>
  <c r="AQ164" i="1"/>
  <c r="Y164" i="1"/>
  <c r="AC150" i="1"/>
  <c r="AB160" i="3" s="1"/>
  <c r="Z160" i="3"/>
  <c r="AQ150" i="1"/>
  <c r="Y150" i="1"/>
  <c r="AC226" i="1"/>
  <c r="AB236" i="3" s="1"/>
  <c r="Z236" i="3"/>
  <c r="AQ226" i="1"/>
  <c r="Y226" i="1"/>
  <c r="AC123" i="1"/>
  <c r="AB133" i="3" s="1"/>
  <c r="Z133" i="3"/>
  <c r="Y123" i="1"/>
  <c r="AQ123" i="1"/>
  <c r="AC257" i="1"/>
  <c r="AB267" i="3" s="1"/>
  <c r="Z267" i="3"/>
  <c r="AQ257" i="1"/>
  <c r="Y257" i="1"/>
  <c r="AC132" i="1"/>
  <c r="AB142" i="3" s="1"/>
  <c r="Z142" i="3"/>
  <c r="AQ132" i="1"/>
  <c r="Y132" i="1"/>
  <c r="AC207" i="1"/>
  <c r="AB217" i="3" s="1"/>
  <c r="Z217" i="3"/>
  <c r="Y207" i="1"/>
  <c r="AQ207" i="1"/>
  <c r="AC211" i="1"/>
  <c r="AB221" i="3" s="1"/>
  <c r="Z221" i="3"/>
  <c r="Y211" i="1"/>
  <c r="AQ211" i="1"/>
  <c r="AC227" i="1"/>
  <c r="AB237" i="3" s="1"/>
  <c r="Z237" i="3"/>
  <c r="AQ227" i="1"/>
  <c r="Y227" i="1"/>
  <c r="AC209" i="1"/>
  <c r="AB219" i="3" s="1"/>
  <c r="Z219" i="3"/>
  <c r="AQ209" i="1"/>
  <c r="Y209" i="1"/>
  <c r="AC251" i="1"/>
  <c r="AB261" i="3" s="1"/>
  <c r="Z261" i="3"/>
  <c r="AQ251" i="1"/>
  <c r="Y251" i="1"/>
  <c r="AC98" i="1"/>
  <c r="AB108" i="3" s="1"/>
  <c r="Z108" i="3"/>
  <c r="AQ98" i="1"/>
  <c r="Y98" i="1"/>
  <c r="AC241" i="1"/>
  <c r="AB251" i="3" s="1"/>
  <c r="Z251" i="3"/>
  <c r="Y241" i="1"/>
  <c r="AQ241" i="1"/>
  <c r="AC167" i="1"/>
  <c r="AB177" i="3" s="1"/>
  <c r="Z177" i="3"/>
  <c r="AQ167" i="1"/>
  <c r="Y167" i="1"/>
  <c r="AC299" i="1"/>
  <c r="AB309" i="3" s="1"/>
  <c r="Z309" i="3"/>
  <c r="Y299" i="1"/>
  <c r="AQ299" i="1"/>
  <c r="AC274" i="1"/>
  <c r="AB284" i="3" s="1"/>
  <c r="Z284" i="3"/>
  <c r="AQ274" i="1"/>
  <c r="Y274" i="1"/>
  <c r="AC219" i="1"/>
  <c r="AB229" i="3" s="1"/>
  <c r="Z229" i="3"/>
  <c r="Y219" i="1"/>
  <c r="AQ219" i="1"/>
  <c r="AC234" i="1"/>
  <c r="AB244" i="3" s="1"/>
  <c r="Z244" i="3"/>
  <c r="Y234" i="1"/>
  <c r="AQ234" i="1"/>
  <c r="AC237" i="1"/>
  <c r="AB247" i="3" s="1"/>
  <c r="Z247" i="3"/>
  <c r="AQ237" i="1"/>
  <c r="Y237" i="1"/>
  <c r="AC239" i="1"/>
  <c r="AB249" i="3" s="1"/>
  <c r="Z249" i="3"/>
  <c r="AQ239" i="1"/>
  <c r="Y239" i="1"/>
  <c r="AC112" i="1"/>
  <c r="AB122" i="3" s="1"/>
  <c r="Z122" i="3"/>
  <c r="Y112" i="1"/>
  <c r="AQ112" i="1"/>
  <c r="AC145" i="1"/>
  <c r="AB155" i="3" s="1"/>
  <c r="Z155" i="3"/>
  <c r="AQ145" i="1"/>
  <c r="Y145" i="1"/>
  <c r="AC222" i="1"/>
  <c r="AB232" i="3" s="1"/>
  <c r="Z232" i="3"/>
  <c r="Y222" i="1"/>
  <c r="AQ222" i="1"/>
  <c r="AC259" i="1"/>
  <c r="AB269" i="3" s="1"/>
  <c r="Z269" i="3"/>
  <c r="Y259" i="1"/>
  <c r="AQ259" i="1"/>
  <c r="AC265" i="1"/>
  <c r="AB275" i="3" s="1"/>
  <c r="Z275" i="3"/>
  <c r="AQ265" i="1"/>
  <c r="Y265" i="1"/>
  <c r="AC174" i="1"/>
  <c r="AB184" i="3" s="1"/>
  <c r="Z184" i="3"/>
  <c r="Y174" i="1"/>
  <c r="AQ174" i="1"/>
  <c r="AC285" i="1"/>
  <c r="AB295" i="3" s="1"/>
  <c r="Z295" i="3"/>
  <c r="AQ285" i="1"/>
  <c r="Y285" i="1"/>
  <c r="AC187" i="1"/>
  <c r="AB197" i="3" s="1"/>
  <c r="Z197" i="3"/>
  <c r="AQ187" i="1"/>
  <c r="Y187" i="1"/>
  <c r="AC290" i="1"/>
  <c r="AB300" i="3" s="1"/>
  <c r="Z300" i="3"/>
  <c r="AQ290" i="1"/>
  <c r="Y290" i="1"/>
  <c r="AC231" i="1"/>
  <c r="AB241" i="3" s="1"/>
  <c r="Z241" i="3"/>
  <c r="AQ231" i="1"/>
  <c r="Y231" i="1"/>
  <c r="AC195" i="1"/>
  <c r="AB205" i="3" s="1"/>
  <c r="Z205" i="3"/>
  <c r="AQ195" i="1"/>
  <c r="Y195" i="1"/>
  <c r="AC107" i="1"/>
  <c r="AB117" i="3" s="1"/>
  <c r="Z117" i="3"/>
  <c r="AQ107" i="1"/>
  <c r="Y107" i="1"/>
  <c r="AC206" i="1"/>
  <c r="AB216" i="3" s="1"/>
  <c r="Z216" i="3"/>
  <c r="Y206" i="1"/>
  <c r="AQ206" i="1"/>
  <c r="AC246" i="1"/>
  <c r="AB256" i="3" s="1"/>
  <c r="Z256" i="3"/>
  <c r="Y246" i="1"/>
  <c r="AQ246" i="1"/>
  <c r="AC100" i="1"/>
  <c r="AB110" i="3" s="1"/>
  <c r="Z110" i="3"/>
  <c r="Y100" i="1"/>
  <c r="AQ100" i="1"/>
  <c r="AC146" i="1"/>
  <c r="AB156" i="3" s="1"/>
  <c r="Z156" i="3"/>
  <c r="AQ146" i="1"/>
  <c r="Y146" i="1"/>
  <c r="AC245" i="1"/>
  <c r="AB255" i="3" s="1"/>
  <c r="Z255" i="3"/>
  <c r="AQ245" i="1"/>
  <c r="Y245" i="1"/>
  <c r="AC172" i="1"/>
  <c r="AB182" i="3" s="1"/>
  <c r="Z182" i="3"/>
  <c r="AQ172" i="1"/>
  <c r="Y172" i="1"/>
  <c r="AC253" i="1"/>
  <c r="AB263" i="3" s="1"/>
  <c r="Z263" i="3"/>
  <c r="Y253" i="1"/>
  <c r="AQ253" i="1"/>
  <c r="AC221" i="1"/>
  <c r="AB231" i="3" s="1"/>
  <c r="Z231" i="3"/>
  <c r="Y221" i="1"/>
  <c r="AQ221" i="1"/>
  <c r="AC250" i="1"/>
  <c r="AB260" i="3" s="1"/>
  <c r="Z260" i="3"/>
  <c r="AQ250" i="1"/>
  <c r="Y250" i="1"/>
  <c r="Q34" i="1"/>
  <c r="X34" i="1" s="1"/>
  <c r="AQ34" i="1" s="1"/>
  <c r="X30" i="1"/>
  <c r="AC30" i="1" s="1"/>
  <c r="AB40" i="3" s="1"/>
  <c r="Q35" i="1"/>
  <c r="X35" i="1" s="1"/>
  <c r="AC35" i="1" s="1"/>
  <c r="AB45" i="3" s="1"/>
  <c r="Y45" i="3"/>
  <c r="Q39" i="1"/>
  <c r="X39" i="1" s="1"/>
  <c r="AC39" i="1" s="1"/>
  <c r="AB49" i="3" s="1"/>
  <c r="Q38" i="1"/>
  <c r="W38" i="1" s="1"/>
  <c r="AA38" i="1" s="1"/>
  <c r="Q36" i="1"/>
  <c r="W36" i="1" s="1"/>
  <c r="Y46" i="3"/>
  <c r="Y48" i="3"/>
  <c r="Y47" i="3"/>
  <c r="AB37" i="1"/>
  <c r="Y49" i="3"/>
  <c r="Y44" i="3"/>
  <c r="AB34" i="1"/>
  <c r="Y43" i="3"/>
  <c r="AB33" i="1"/>
  <c r="Y38" i="3"/>
  <c r="AB28" i="1"/>
  <c r="Y41" i="3"/>
  <c r="AB31" i="1"/>
  <c r="Y39" i="3"/>
  <c r="AB29" i="1"/>
  <c r="Y42" i="3"/>
  <c r="AB32" i="1"/>
  <c r="Y33" i="3"/>
  <c r="AB23" i="1"/>
  <c r="Y32" i="3"/>
  <c r="AB22" i="1"/>
  <c r="Y31" i="3"/>
  <c r="AB21" i="1"/>
  <c r="Y30" i="3"/>
  <c r="AB20" i="1"/>
  <c r="Y37" i="3"/>
  <c r="AB27" i="1"/>
  <c r="Y35" i="3"/>
  <c r="AB25" i="1"/>
  <c r="Y34" i="3"/>
  <c r="AB24" i="1"/>
  <c r="V26" i="1"/>
  <c r="AC45" i="1"/>
  <c r="AB55" i="3" s="1"/>
  <c r="AC53" i="1"/>
  <c r="AB63" i="3" s="1"/>
  <c r="AC43" i="1"/>
  <c r="AB53" i="3" s="1"/>
  <c r="AC90" i="1"/>
  <c r="AB100" i="3" s="1"/>
  <c r="AC54" i="1"/>
  <c r="AB64" i="3" s="1"/>
  <c r="AC58" i="1"/>
  <c r="AB68" i="3" s="1"/>
  <c r="AC68" i="1"/>
  <c r="AB78" i="3" s="1"/>
  <c r="AC41" i="1"/>
  <c r="AB51" i="3" s="1"/>
  <c r="Q4" i="1"/>
  <c r="X14" i="3" s="1"/>
  <c r="AQ42" i="1"/>
  <c r="AB52" i="3"/>
  <c r="AQ86" i="1"/>
  <c r="AB96" i="3"/>
  <c r="AQ75" i="1"/>
  <c r="AB85" i="3"/>
  <c r="AQ65" i="1"/>
  <c r="AB75" i="3"/>
  <c r="AQ62" i="1"/>
  <c r="AB72" i="3"/>
  <c r="AQ47" i="1"/>
  <c r="AB57" i="3"/>
  <c r="AQ67" i="1"/>
  <c r="AB77" i="3"/>
  <c r="AQ50" i="1"/>
  <c r="AB60" i="3"/>
  <c r="AQ69" i="1"/>
  <c r="AB79" i="3"/>
  <c r="AQ49" i="1"/>
  <c r="AB59" i="3"/>
  <c r="AQ80" i="1"/>
  <c r="AB90" i="3"/>
  <c r="AQ87" i="1"/>
  <c r="AB97" i="3"/>
  <c r="AQ59" i="1"/>
  <c r="AB69" i="3"/>
  <c r="AQ72" i="1"/>
  <c r="AB82" i="3"/>
  <c r="AQ89" i="1"/>
  <c r="AB99" i="3"/>
  <c r="AQ83" i="1"/>
  <c r="AB93" i="3"/>
  <c r="AQ71" i="1"/>
  <c r="AB81" i="3"/>
  <c r="AQ64" i="1"/>
  <c r="AB74" i="3"/>
  <c r="AQ85" i="1"/>
  <c r="AB95" i="3"/>
  <c r="AQ48" i="1"/>
  <c r="AB58" i="3"/>
  <c r="AQ88" i="1"/>
  <c r="AB98" i="3"/>
  <c r="AQ79" i="1"/>
  <c r="AB89" i="3"/>
  <c r="AQ60" i="1"/>
  <c r="AB70" i="3"/>
  <c r="AQ57" i="1"/>
  <c r="AB67" i="3"/>
  <c r="AQ74" i="1"/>
  <c r="AB84" i="3"/>
  <c r="AQ37" i="1"/>
  <c r="AB47" i="3"/>
  <c r="AQ40" i="1"/>
  <c r="AB50" i="3"/>
  <c r="AQ82" i="1"/>
  <c r="AB92" i="3"/>
  <c r="AQ81" i="1"/>
  <c r="AB91" i="3"/>
  <c r="AQ77" i="1"/>
  <c r="AB87" i="3"/>
  <c r="Z100" i="3"/>
  <c r="AQ90" i="1"/>
  <c r="Z40" i="3"/>
  <c r="Z55" i="3"/>
  <c r="AQ45" i="1"/>
  <c r="Z51" i="3"/>
  <c r="AQ41" i="1"/>
  <c r="Z68" i="3"/>
  <c r="AQ58" i="1"/>
  <c r="Z63" i="3"/>
  <c r="AQ53" i="1"/>
  <c r="Z64" i="3"/>
  <c r="AQ54" i="1"/>
  <c r="Z53" i="3"/>
  <c r="AQ43" i="1"/>
  <c r="Z78" i="3"/>
  <c r="AQ68" i="1"/>
  <c r="Q12" i="1"/>
  <c r="X22" i="3" s="1"/>
  <c r="W51" i="1"/>
  <c r="AA51" i="1" s="1"/>
  <c r="X61" i="3"/>
  <c r="W65" i="1"/>
  <c r="X75" i="3"/>
  <c r="W46" i="1"/>
  <c r="AA46" i="1" s="1"/>
  <c r="X56" i="3"/>
  <c r="W56" i="1"/>
  <c r="AA56" i="1" s="1"/>
  <c r="X66" i="3"/>
  <c r="W63" i="1"/>
  <c r="AA63" i="1" s="1"/>
  <c r="X73" i="3"/>
  <c r="W47" i="1"/>
  <c r="X57" i="3"/>
  <c r="W66" i="1"/>
  <c r="AA66" i="1" s="1"/>
  <c r="X76" i="3"/>
  <c r="W40" i="1"/>
  <c r="X50" i="3"/>
  <c r="X79" i="3"/>
  <c r="W69" i="1"/>
  <c r="W49" i="1"/>
  <c r="X59" i="3"/>
  <c r="W80" i="1"/>
  <c r="X90" i="3"/>
  <c r="X94" i="3"/>
  <c r="X84" i="1"/>
  <c r="W84" i="1"/>
  <c r="AA84" i="1" s="1"/>
  <c r="X65" i="3"/>
  <c r="W55" i="1"/>
  <c r="AA55" i="1" s="1"/>
  <c r="W64" i="1"/>
  <c r="X74" i="3"/>
  <c r="X53" i="3"/>
  <c r="W43" i="1"/>
  <c r="W53" i="1"/>
  <c r="X63" i="3"/>
  <c r="W62" i="1"/>
  <c r="X72" i="3"/>
  <c r="W52" i="1"/>
  <c r="AA52" i="1" s="1"/>
  <c r="X62" i="3"/>
  <c r="X54" i="3"/>
  <c r="W44" i="1"/>
  <c r="AA44" i="1" s="1"/>
  <c r="X77" i="3"/>
  <c r="W67" i="1"/>
  <c r="X66" i="1"/>
  <c r="Q33" i="1"/>
  <c r="X33" i="1" s="1"/>
  <c r="W70" i="1"/>
  <c r="AA70" i="1" s="1"/>
  <c r="X70" i="1"/>
  <c r="X80" i="3"/>
  <c r="X55" i="3"/>
  <c r="W45" i="1"/>
  <c r="W61" i="1"/>
  <c r="AA61" i="1" s="1"/>
  <c r="X71" i="3"/>
  <c r="X52" i="1"/>
  <c r="W72" i="1"/>
  <c r="X82" i="3"/>
  <c r="W54" i="1"/>
  <c r="X64" i="3"/>
  <c r="W89" i="1"/>
  <c r="X99" i="3"/>
  <c r="X61" i="1"/>
  <c r="W71" i="1"/>
  <c r="X81" i="3"/>
  <c r="X55" i="1"/>
  <c r="W79" i="1"/>
  <c r="X89" i="3"/>
  <c r="W88" i="1"/>
  <c r="X98" i="3"/>
  <c r="W78" i="1"/>
  <c r="AA78" i="1" s="1"/>
  <c r="X88" i="3"/>
  <c r="X78" i="1"/>
  <c r="W60" i="1"/>
  <c r="X70" i="3"/>
  <c r="W81" i="1"/>
  <c r="X91" i="3"/>
  <c r="W85" i="1"/>
  <c r="X95" i="3"/>
  <c r="X63" i="1"/>
  <c r="X69" i="3"/>
  <c r="W59" i="1"/>
  <c r="W73" i="1"/>
  <c r="AA73" i="1" s="1"/>
  <c r="X83" i="3"/>
  <c r="X73" i="1"/>
  <c r="W41" i="1"/>
  <c r="X51" i="3"/>
  <c r="W86" i="1"/>
  <c r="X96" i="3"/>
  <c r="X67" i="3"/>
  <c r="W57" i="1"/>
  <c r="X92" i="3"/>
  <c r="W82" i="1"/>
  <c r="X87" i="3"/>
  <c r="W77" i="1"/>
  <c r="W42" i="1"/>
  <c r="X52" i="3"/>
  <c r="X93" i="3"/>
  <c r="W83" i="1"/>
  <c r="X51" i="1"/>
  <c r="W90" i="1"/>
  <c r="X100" i="3"/>
  <c r="X44" i="1"/>
  <c r="AC44" i="1" s="1"/>
  <c r="X44" i="3"/>
  <c r="W75" i="1"/>
  <c r="X85" i="3"/>
  <c r="W74" i="1"/>
  <c r="X84" i="3"/>
  <c r="X78" i="3"/>
  <c r="W68" i="1"/>
  <c r="W87" i="1"/>
  <c r="X97" i="3"/>
  <c r="X56" i="1"/>
  <c r="AC56" i="1" s="1"/>
  <c r="W76" i="1"/>
  <c r="AA76" i="1" s="1"/>
  <c r="X86" i="3"/>
  <c r="X68" i="3"/>
  <c r="W58" i="1"/>
  <c r="X46" i="1"/>
  <c r="X76" i="1"/>
  <c r="AC76" i="1" s="1"/>
  <c r="X47" i="3"/>
  <c r="W37" i="1"/>
  <c r="W50" i="1"/>
  <c r="X60" i="3"/>
  <c r="W48" i="1"/>
  <c r="X58" i="3"/>
  <c r="Q23" i="1"/>
  <c r="X23" i="1" s="1"/>
  <c r="Q27" i="1"/>
  <c r="X37" i="3" s="1"/>
  <c r="Q32" i="1"/>
  <c r="W32" i="1" s="1"/>
  <c r="AA32" i="1" s="1"/>
  <c r="Q31" i="1"/>
  <c r="W31" i="1" s="1"/>
  <c r="AA31" i="1" s="1"/>
  <c r="Q25" i="1"/>
  <c r="X25" i="1" s="1"/>
  <c r="Z59" i="3"/>
  <c r="Q26" i="1"/>
  <c r="W26" i="1" s="1"/>
  <c r="AA26" i="1" s="1"/>
  <c r="Q22" i="1"/>
  <c r="X32" i="3" s="1"/>
  <c r="Q21" i="1"/>
  <c r="X21" i="1" s="1"/>
  <c r="Z96" i="3"/>
  <c r="Q29" i="1"/>
  <c r="X29" i="1" s="1"/>
  <c r="Q20" i="1"/>
  <c r="X20" i="1" s="1"/>
  <c r="Q24" i="1"/>
  <c r="X34" i="3" s="1"/>
  <c r="Q28" i="1"/>
  <c r="X38" i="3" s="1"/>
  <c r="Z95" i="3"/>
  <c r="Z84" i="3"/>
  <c r="Z77" i="3"/>
  <c r="Z85" i="3"/>
  <c r="Z92" i="3"/>
  <c r="Z72" i="3"/>
  <c r="Z93" i="3"/>
  <c r="Z99" i="3"/>
  <c r="Z91" i="3"/>
  <c r="Z81" i="3"/>
  <c r="Z90" i="3"/>
  <c r="Z58" i="3"/>
  <c r="Z74" i="3"/>
  <c r="Z75" i="3"/>
  <c r="Z87" i="3"/>
  <c r="Z98" i="3"/>
  <c r="Z79" i="3"/>
  <c r="Z97" i="3"/>
  <c r="Z50" i="3"/>
  <c r="Z89" i="3"/>
  <c r="Z82" i="3"/>
  <c r="V18" i="1"/>
  <c r="V19" i="1"/>
  <c r="Q17" i="1"/>
  <c r="W17" i="1" s="1"/>
  <c r="AA17" i="1" s="1"/>
  <c r="V16" i="1"/>
  <c r="V17" i="1"/>
  <c r="Q19" i="1"/>
  <c r="W19" i="1" s="1"/>
  <c r="AA19" i="1" s="1"/>
  <c r="Q16" i="1"/>
  <c r="Q18" i="1"/>
  <c r="X28" i="3" s="1"/>
  <c r="X40" i="3"/>
  <c r="W30" i="1"/>
  <c r="Z47" i="3"/>
  <c r="Z67" i="3"/>
  <c r="Z69" i="3"/>
  <c r="Z52" i="3"/>
  <c r="Z60" i="3"/>
  <c r="Z57" i="3"/>
  <c r="Z70" i="3"/>
  <c r="X25" i="3"/>
  <c r="W15" i="1"/>
  <c r="AA15" i="1" s="1"/>
  <c r="X24" i="3"/>
  <c r="W14" i="1"/>
  <c r="AA14" i="1" s="1"/>
  <c r="W13" i="1"/>
  <c r="AA13" i="1" s="1"/>
  <c r="X23" i="3"/>
  <c r="Y75" i="1" l="1"/>
  <c r="AA75" i="1"/>
  <c r="Y72" i="1"/>
  <c r="AA72" i="1"/>
  <c r="W34" i="1"/>
  <c r="Y34" i="1" s="1"/>
  <c r="Y86" i="1"/>
  <c r="AA86" i="1"/>
  <c r="Y65" i="1"/>
  <c r="AA65" i="1"/>
  <c r="Y62" i="1"/>
  <c r="AA62" i="1"/>
  <c r="Y69" i="1"/>
  <c r="AA69" i="1"/>
  <c r="Y58" i="1"/>
  <c r="AA58" i="1"/>
  <c r="Y83" i="1"/>
  <c r="AA83" i="1"/>
  <c r="Y59" i="1"/>
  <c r="AA59" i="1"/>
  <c r="Y60" i="1"/>
  <c r="AA60" i="1"/>
  <c r="Y64" i="1"/>
  <c r="AA64" i="1"/>
  <c r="Y87" i="1"/>
  <c r="AA87" i="1"/>
  <c r="Y71" i="1"/>
  <c r="AA71" i="1"/>
  <c r="Z44" i="3"/>
  <c r="Y90" i="1"/>
  <c r="AA90" i="1"/>
  <c r="Y53" i="1"/>
  <c r="AA53" i="1"/>
  <c r="Z45" i="3"/>
  <c r="Y79" i="1"/>
  <c r="AA79" i="1"/>
  <c r="AC34" i="1"/>
  <c r="AB44" i="3" s="1"/>
  <c r="Y68" i="1"/>
  <c r="AA68" i="1"/>
  <c r="Y77" i="1"/>
  <c r="AA77" i="1"/>
  <c r="Y57" i="1"/>
  <c r="AA57" i="1"/>
  <c r="Y88" i="1"/>
  <c r="AA88" i="1"/>
  <c r="Y85" i="1"/>
  <c r="AA85" i="1"/>
  <c r="Y67" i="1"/>
  <c r="AA67" i="1"/>
  <c r="Y54" i="1"/>
  <c r="AA54" i="1"/>
  <c r="X45" i="3"/>
  <c r="W35" i="1"/>
  <c r="Y35" i="1" s="1"/>
  <c r="Y82" i="1"/>
  <c r="AA82" i="1"/>
  <c r="Y89" i="1"/>
  <c r="AA89" i="1"/>
  <c r="Y80" i="1"/>
  <c r="AA80" i="1"/>
  <c r="Y74" i="1"/>
  <c r="AA74" i="1"/>
  <c r="Y81" i="1"/>
  <c r="AA81" i="1"/>
  <c r="AQ30" i="1"/>
  <c r="W39" i="1"/>
  <c r="Y39" i="1" s="1"/>
  <c r="X49" i="3"/>
  <c r="Y41" i="1"/>
  <c r="AA41" i="1"/>
  <c r="Y42" i="1"/>
  <c r="AA42" i="1"/>
  <c r="Y43" i="1"/>
  <c r="AA43" i="1"/>
  <c r="Y49" i="1"/>
  <c r="AA49" i="1"/>
  <c r="Y50" i="1"/>
  <c r="AA50" i="1"/>
  <c r="Y48" i="1"/>
  <c r="AA48" i="1"/>
  <c r="Y40" i="1"/>
  <c r="AA40" i="1"/>
  <c r="Y45" i="1"/>
  <c r="AA45" i="1"/>
  <c r="Y47" i="1"/>
  <c r="AA47" i="1"/>
  <c r="AQ35" i="1"/>
  <c r="Z49" i="3"/>
  <c r="AQ39" i="1"/>
  <c r="X36" i="1"/>
  <c r="AC36" i="1" s="1"/>
  <c r="AB46" i="3" s="1"/>
  <c r="X38" i="1"/>
  <c r="AQ38" i="1" s="1"/>
  <c r="X48" i="3"/>
  <c r="X46" i="3"/>
  <c r="AA35" i="1"/>
  <c r="AA36" i="1"/>
  <c r="Y37" i="1"/>
  <c r="AA37" i="1"/>
  <c r="Y30" i="1"/>
  <c r="AA30" i="1"/>
  <c r="Y36" i="3"/>
  <c r="AB26" i="1"/>
  <c r="Y26" i="3"/>
  <c r="AB16" i="1"/>
  <c r="Y29" i="3"/>
  <c r="AB19" i="1"/>
  <c r="Y28" i="3"/>
  <c r="AB18" i="1"/>
  <c r="Y27" i="3"/>
  <c r="AB17" i="1"/>
  <c r="AC84" i="1"/>
  <c r="AB94" i="3" s="1"/>
  <c r="AC23" i="1"/>
  <c r="AB33" i="3" s="1"/>
  <c r="AC46" i="1"/>
  <c r="AB56" i="3" s="1"/>
  <c r="AC78" i="1"/>
  <c r="AB88" i="3" s="1"/>
  <c r="AC20" i="1"/>
  <c r="AB30" i="3" s="1"/>
  <c r="AC29" i="1"/>
  <c r="AB39" i="3" s="1"/>
  <c r="AC21" i="1"/>
  <c r="AB31" i="3" s="1"/>
  <c r="AC52" i="1"/>
  <c r="AB62" i="3" s="1"/>
  <c r="AC55" i="1"/>
  <c r="AB65" i="3" s="1"/>
  <c r="AC63" i="1"/>
  <c r="AB73" i="3" s="1"/>
  <c r="AC25" i="1"/>
  <c r="AB35" i="3" s="1"/>
  <c r="AC33" i="1"/>
  <c r="AB43" i="3" s="1"/>
  <c r="AC66" i="1"/>
  <c r="AB76" i="3" s="1"/>
  <c r="AC73" i="1"/>
  <c r="AB83" i="3" s="1"/>
  <c r="AC70" i="1"/>
  <c r="AB80" i="3" s="1"/>
  <c r="AC61" i="1"/>
  <c r="AB71" i="3" s="1"/>
  <c r="AC51" i="1"/>
  <c r="AB61" i="3" s="1"/>
  <c r="Y52" i="1"/>
  <c r="AQ44" i="1"/>
  <c r="AB54" i="3"/>
  <c r="AQ56" i="1"/>
  <c r="AB66" i="3"/>
  <c r="AQ76" i="1"/>
  <c r="AB86" i="3"/>
  <c r="Z88" i="3"/>
  <c r="AQ78" i="1"/>
  <c r="Z80" i="3"/>
  <c r="AQ70" i="1"/>
  <c r="Z39" i="3"/>
  <c r="AQ29" i="1"/>
  <c r="Z61" i="3"/>
  <c r="AQ51" i="1"/>
  <c r="Z33" i="3"/>
  <c r="AQ23" i="1"/>
  <c r="Z73" i="3"/>
  <c r="AQ63" i="1"/>
  <c r="Z94" i="3"/>
  <c r="AQ84" i="1"/>
  <c r="Z56" i="3"/>
  <c r="AQ46" i="1"/>
  <c r="Z62" i="3"/>
  <c r="AQ52" i="1"/>
  <c r="Z83" i="3"/>
  <c r="AQ73" i="1"/>
  <c r="Z30" i="3"/>
  <c r="AQ20" i="1"/>
  <c r="Z76" i="3"/>
  <c r="AQ66" i="1"/>
  <c r="Z31" i="3"/>
  <c r="AQ21" i="1"/>
  <c r="Z35" i="3"/>
  <c r="AQ25" i="1"/>
  <c r="Z65" i="3"/>
  <c r="AQ55" i="1"/>
  <c r="Z43" i="3"/>
  <c r="AQ33" i="1"/>
  <c r="Z71" i="3"/>
  <c r="AQ61" i="1"/>
  <c r="W12" i="1"/>
  <c r="AA12" i="1" s="1"/>
  <c r="Y51" i="1"/>
  <c r="Y63" i="1"/>
  <c r="W27" i="1"/>
  <c r="AA27" i="1" s="1"/>
  <c r="Y66" i="1"/>
  <c r="W23" i="1"/>
  <c r="X33" i="3"/>
  <c r="X27" i="1"/>
  <c r="AC27" i="1" s="1"/>
  <c r="X43" i="3"/>
  <c r="Y61" i="1"/>
  <c r="W33" i="1"/>
  <c r="Y44" i="1"/>
  <c r="X26" i="1"/>
  <c r="Y70" i="1"/>
  <c r="X36" i="3"/>
  <c r="Y55" i="1"/>
  <c r="Y78" i="1"/>
  <c r="W25" i="1"/>
  <c r="X31" i="1"/>
  <c r="Y46" i="1"/>
  <c r="Y73" i="1"/>
  <c r="Y56" i="1"/>
  <c r="Z66" i="3"/>
  <c r="Y76" i="1"/>
  <c r="Z86" i="3"/>
  <c r="X35" i="3"/>
  <c r="Y84" i="1"/>
  <c r="Z54" i="3"/>
  <c r="X42" i="3"/>
  <c r="X32" i="1"/>
  <c r="X41" i="3"/>
  <c r="W21" i="1"/>
  <c r="X31" i="3"/>
  <c r="X30" i="3"/>
  <c r="W20" i="1"/>
  <c r="W29" i="1"/>
  <c r="X39" i="3"/>
  <c r="X24" i="1"/>
  <c r="X28" i="1"/>
  <c r="W24" i="1"/>
  <c r="AA24" i="1" s="1"/>
  <c r="W28" i="1"/>
  <c r="AA28" i="1" s="1"/>
  <c r="X22" i="1"/>
  <c r="W22" i="1"/>
  <c r="AA22" i="1" s="1"/>
  <c r="X27" i="3"/>
  <c r="X18" i="1"/>
  <c r="X19" i="1"/>
  <c r="X29" i="3"/>
  <c r="X16" i="1"/>
  <c r="X17" i="1"/>
  <c r="AC17" i="1" s="1"/>
  <c r="W16" i="1"/>
  <c r="AA16" i="1" s="1"/>
  <c r="W18" i="1"/>
  <c r="AA18" i="1" s="1"/>
  <c r="X26" i="3"/>
  <c r="S4" i="1"/>
  <c r="C7" i="2"/>
  <c r="C6" i="2"/>
  <c r="C5" i="2"/>
  <c r="C4" i="2"/>
  <c r="AA39" i="1" l="1"/>
  <c r="AA34" i="1"/>
  <c r="AC38" i="1"/>
  <c r="AB48" i="3" s="1"/>
  <c r="Y36" i="1"/>
  <c r="Z48" i="3"/>
  <c r="Y38" i="1"/>
  <c r="Z46" i="3"/>
  <c r="AQ36" i="1"/>
  <c r="Y29" i="1"/>
  <c r="AA29" i="1"/>
  <c r="Y33" i="1"/>
  <c r="AA33" i="1"/>
  <c r="Y21" i="1"/>
  <c r="AA21" i="1"/>
  <c r="Y20" i="1"/>
  <c r="AA20" i="1"/>
  <c r="Y25" i="1"/>
  <c r="AA25" i="1"/>
  <c r="Y23" i="1"/>
  <c r="AA23" i="1"/>
  <c r="AC24" i="1"/>
  <c r="AB34" i="3" s="1"/>
  <c r="AC18" i="1"/>
  <c r="AB28" i="3" s="1"/>
  <c r="AC26" i="1"/>
  <c r="AB36" i="3" s="1"/>
  <c r="AC22" i="1"/>
  <c r="AB32" i="3" s="1"/>
  <c r="AC32" i="1"/>
  <c r="AB42" i="3" s="1"/>
  <c r="AC28" i="1"/>
  <c r="AB38" i="3" s="1"/>
  <c r="AC19" i="1"/>
  <c r="AB29" i="3" s="1"/>
  <c r="AC31" i="1"/>
  <c r="AB41" i="3" s="1"/>
  <c r="AC16" i="1"/>
  <c r="AB26" i="3" s="1"/>
  <c r="AQ17" i="1"/>
  <c r="AB27" i="3"/>
  <c r="AQ27" i="1"/>
  <c r="AB37" i="3"/>
  <c r="Z38" i="3"/>
  <c r="AQ28" i="1"/>
  <c r="Z32" i="3"/>
  <c r="AQ22" i="1"/>
  <c r="Z34" i="3"/>
  <c r="AQ24" i="1"/>
  <c r="Y31" i="1"/>
  <c r="AQ31" i="1"/>
  <c r="Z36" i="3"/>
  <c r="AQ26" i="1"/>
  <c r="Z26" i="3"/>
  <c r="AQ16" i="1"/>
  <c r="Z29" i="3"/>
  <c r="AQ19" i="1"/>
  <c r="Z42" i="3"/>
  <c r="AQ32" i="1"/>
  <c r="Z28" i="3"/>
  <c r="AQ18" i="1"/>
  <c r="Y27" i="1"/>
  <c r="Z37" i="3"/>
  <c r="Z41" i="3"/>
  <c r="Y26" i="1"/>
  <c r="Y22" i="1"/>
  <c r="Y32" i="1"/>
  <c r="Y24" i="1"/>
  <c r="Y28" i="1"/>
  <c r="Y18" i="1"/>
  <c r="Y19" i="1"/>
  <c r="Y16" i="1"/>
  <c r="Z27" i="3"/>
  <c r="Y17" i="1"/>
  <c r="R14" i="1"/>
  <c r="V14" i="1" s="1"/>
  <c r="AB14" i="1" s="1"/>
  <c r="R12" i="1"/>
  <c r="V12" i="1" s="1"/>
  <c r="AB12" i="1" s="1"/>
  <c r="R15" i="1"/>
  <c r="V15" i="1" s="1"/>
  <c r="AB15" i="1" s="1"/>
  <c r="R13" i="1"/>
  <c r="V13" i="1" s="1"/>
  <c r="AB13" i="1" s="1"/>
  <c r="Y25" i="3" l="1"/>
  <c r="X15" i="1"/>
  <c r="AC15" i="1" s="1"/>
  <c r="Y23" i="3"/>
  <c r="X13" i="1"/>
  <c r="AC13" i="1" s="1"/>
  <c r="Y22" i="3"/>
  <c r="X12" i="1"/>
  <c r="AC12" i="1" s="1"/>
  <c r="Y24" i="3"/>
  <c r="X14" i="1"/>
  <c r="AC14" i="1" s="1"/>
  <c r="R9" i="1"/>
  <c r="R8" i="1"/>
  <c r="R7" i="1"/>
  <c r="R6" i="1"/>
  <c r="R5" i="1"/>
  <c r="R11" i="1"/>
  <c r="R10" i="1"/>
  <c r="U4" i="1"/>
  <c r="AQ14" i="1" l="1"/>
  <c r="AB24" i="3"/>
  <c r="AQ15" i="1"/>
  <c r="AB25" i="3"/>
  <c r="AQ12" i="1"/>
  <c r="AB22" i="3"/>
  <c r="AQ13" i="1"/>
  <c r="AB23" i="3"/>
  <c r="Q6" i="1"/>
  <c r="X16" i="3" s="1"/>
  <c r="U6" i="1"/>
  <c r="V6" i="1" s="1"/>
  <c r="AB6" i="1" s="1"/>
  <c r="Q9" i="1"/>
  <c r="X19" i="3" s="1"/>
  <c r="U9" i="1"/>
  <c r="V9" i="1" s="1"/>
  <c r="Q7" i="1"/>
  <c r="X17" i="3" s="1"/>
  <c r="U7" i="1"/>
  <c r="V7" i="1" s="1"/>
  <c r="Q11" i="1"/>
  <c r="X21" i="3" s="1"/>
  <c r="U11" i="1"/>
  <c r="V11" i="1" s="1"/>
  <c r="Q5" i="1"/>
  <c r="X15" i="3" s="1"/>
  <c r="U5" i="1"/>
  <c r="V5" i="1" s="1"/>
  <c r="Q8" i="1"/>
  <c r="X18" i="3" s="1"/>
  <c r="U8" i="1"/>
  <c r="V8" i="1" s="1"/>
  <c r="Q10" i="1"/>
  <c r="X20" i="3" s="1"/>
  <c r="U10" i="1"/>
  <c r="V10" i="1" s="1"/>
  <c r="Z24" i="3"/>
  <c r="Y14" i="1"/>
  <c r="Z23" i="3"/>
  <c r="Y13" i="1"/>
  <c r="Z25" i="3"/>
  <c r="Y15" i="1"/>
  <c r="Z22" i="3"/>
  <c r="Y12" i="1"/>
  <c r="V4" i="1"/>
  <c r="Y14" i="3" s="1"/>
  <c r="Y21" i="3" l="1"/>
  <c r="AB11" i="1"/>
  <c r="Y20" i="3"/>
  <c r="AB10" i="1"/>
  <c r="Y17" i="3"/>
  <c r="AB7" i="1"/>
  <c r="Y19" i="3"/>
  <c r="AB9" i="1"/>
  <c r="Y18" i="3"/>
  <c r="AB8" i="1"/>
  <c r="AB4" i="1"/>
  <c r="Y15" i="3"/>
  <c r="AB5" i="1"/>
  <c r="W6" i="1"/>
  <c r="AA6" i="1" s="1"/>
  <c r="W9" i="1"/>
  <c r="AA9" i="1" s="1"/>
  <c r="W10" i="1"/>
  <c r="AA10" i="1" s="1"/>
  <c r="X10" i="1"/>
  <c r="X9" i="1"/>
  <c r="W7" i="1"/>
  <c r="AA7" i="1" s="1"/>
  <c r="Y16" i="3"/>
  <c r="X6" i="1"/>
  <c r="X8" i="1"/>
  <c r="W5" i="1"/>
  <c r="AA5" i="1" s="1"/>
  <c r="X7" i="1"/>
  <c r="X5" i="1"/>
  <c r="W11" i="1"/>
  <c r="AA11" i="1" s="1"/>
  <c r="X11" i="1"/>
  <c r="W8" i="1"/>
  <c r="AA8" i="1" s="1"/>
  <c r="W4" i="1"/>
  <c r="AA4" i="1" s="1"/>
  <c r="X4" i="1"/>
  <c r="AC4" i="1" s="1"/>
  <c r="AC7" i="1" l="1"/>
  <c r="AB17" i="3" s="1"/>
  <c r="AC10" i="1"/>
  <c r="AB20" i="3" s="1"/>
  <c r="AC6" i="1"/>
  <c r="AB16" i="3" s="1"/>
  <c r="AC11" i="1"/>
  <c r="AB21" i="3" s="1"/>
  <c r="AC5" i="1"/>
  <c r="AB15" i="3" s="1"/>
  <c r="AC8" i="1"/>
  <c r="AB18" i="3" s="1"/>
  <c r="AC9" i="1"/>
  <c r="AB19" i="3" s="1"/>
  <c r="AB14" i="3"/>
  <c r="D20" i="4"/>
  <c r="Z21" i="3"/>
  <c r="AQ11" i="1"/>
  <c r="Z15" i="3"/>
  <c r="AQ5" i="1"/>
  <c r="Z17" i="3"/>
  <c r="AQ7" i="1"/>
  <c r="Z18" i="3"/>
  <c r="AQ8" i="1"/>
  <c r="Z16" i="3"/>
  <c r="AQ6" i="1"/>
  <c r="Z19" i="3"/>
  <c r="AQ9" i="1"/>
  <c r="Z20" i="3"/>
  <c r="AQ10" i="1"/>
  <c r="Z14" i="3"/>
  <c r="AQ4" i="1"/>
  <c r="Y8" i="1"/>
  <c r="Y10" i="1"/>
  <c r="Y7" i="1"/>
  <c r="Y9" i="1"/>
  <c r="Y11" i="1"/>
  <c r="Y6" i="1"/>
  <c r="Y5" i="1"/>
  <c r="Y4" i="1"/>
  <c r="D18" i="4" l="1"/>
  <c r="D21" i="4" s="1"/>
  <c r="F2" i="3" s="1"/>
  <c r="DI4" i="2" l="1"/>
  <c r="DI5" i="2"/>
  <c r="D22" i="4"/>
  <c r="F3" i="3" s="1"/>
  <c r="D31" i="4" l="1"/>
  <c r="D23" i="4"/>
  <c r="DL4" i="2" s="1"/>
  <c r="D15" i="4" l="1"/>
  <c r="D26" i="4" s="1"/>
  <c r="DL3" i="2"/>
  <c r="DM4" i="2" s="1"/>
  <c r="D25" i="4" s="1"/>
  <c r="D30" i="4"/>
  <c r="F4" i="3" l="1"/>
  <c r="D27" i="4"/>
  <c r="F5" i="3" l="1"/>
  <c r="F6"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<sst xmlns="http://schemas.openxmlformats.org/spreadsheetml/2006/main" count="845" uniqueCount="382">
  <si>
    <t>Name</t>
  </si>
  <si>
    <t>Size</t>
  </si>
  <si>
    <t>Name
Orientation</t>
  </si>
  <si>
    <t>Font</t>
  </si>
  <si>
    <t>Front Logo</t>
  </si>
  <si>
    <t>Large</t>
  </si>
  <si>
    <t>Short</t>
  </si>
  <si>
    <t>Diagonal</t>
  </si>
  <si>
    <t>Youth</t>
  </si>
  <si>
    <t>Medium</t>
  </si>
  <si>
    <t>Small</t>
  </si>
  <si>
    <t>X-Large</t>
  </si>
  <si>
    <t>Collar</t>
  </si>
  <si>
    <t>Crew</t>
  </si>
  <si>
    <t>V-Neck</t>
  </si>
  <si>
    <t>Polo</t>
  </si>
  <si>
    <t>Code</t>
  </si>
  <si>
    <t>Cost</t>
  </si>
  <si>
    <t>Cut</t>
  </si>
  <si>
    <t>Men's</t>
  </si>
  <si>
    <t>Women's</t>
  </si>
  <si>
    <t>M</t>
  </si>
  <si>
    <t>W</t>
  </si>
  <si>
    <t>Y</t>
  </si>
  <si>
    <t>2X-Large</t>
  </si>
  <si>
    <t>X-Small</t>
  </si>
  <si>
    <t>S</t>
  </si>
  <si>
    <t>L</t>
  </si>
  <si>
    <t>X</t>
  </si>
  <si>
    <t>R</t>
  </si>
  <si>
    <t>Length</t>
  </si>
  <si>
    <t>+2</t>
  </si>
  <si>
    <t>+4</t>
  </si>
  <si>
    <t>+6</t>
  </si>
  <si>
    <t>Base Price</t>
  </si>
  <si>
    <t>Discount</t>
  </si>
  <si>
    <t>Logos</t>
  </si>
  <si>
    <t>Storm</t>
  </si>
  <si>
    <t>Brunswick</t>
  </si>
  <si>
    <t>900 Global</t>
  </si>
  <si>
    <t>Columbia</t>
  </si>
  <si>
    <t>DV8</t>
  </si>
  <si>
    <t>Ebonite</t>
  </si>
  <si>
    <t>Motiv</t>
  </si>
  <si>
    <t>Hammer</t>
  </si>
  <si>
    <t>Lane Masters</t>
  </si>
  <si>
    <t>SWAG</t>
  </si>
  <si>
    <t>Legends</t>
  </si>
  <si>
    <t>Lord Field</t>
  </si>
  <si>
    <t>Master</t>
  </si>
  <si>
    <t>Radical</t>
  </si>
  <si>
    <t xml:space="preserve">Robby's </t>
  </si>
  <si>
    <t>Roto-Grip</t>
  </si>
  <si>
    <t>Powerhouse</t>
  </si>
  <si>
    <t>Track</t>
  </si>
  <si>
    <t>900G</t>
  </si>
  <si>
    <t>LaneMasters</t>
  </si>
  <si>
    <t>LordField</t>
  </si>
  <si>
    <t>Robbys</t>
  </si>
  <si>
    <t>Roto</t>
  </si>
  <si>
    <t>Cena</t>
  </si>
  <si>
    <t>Passing Notes</t>
  </si>
  <si>
    <t>Bruss</t>
  </si>
  <si>
    <t>Freestyle</t>
  </si>
  <si>
    <t>Obelix</t>
  </si>
  <si>
    <t>Collegiate</t>
  </si>
  <si>
    <t>Style 1</t>
  </si>
  <si>
    <t>Style 2</t>
  </si>
  <si>
    <t>Style 3</t>
  </si>
  <si>
    <t>Style 5</t>
  </si>
  <si>
    <t>Style 6</t>
  </si>
  <si>
    <t>Style 4</t>
  </si>
  <si>
    <t>Sleeve</t>
  </si>
  <si>
    <t>Long</t>
  </si>
  <si>
    <t>N</t>
  </si>
  <si>
    <t>Name Direction</t>
  </si>
  <si>
    <t>Straight</t>
  </si>
  <si>
    <t>Additional Length</t>
  </si>
  <si>
    <t>Collection</t>
  </si>
  <si>
    <t>Tour-Line</t>
  </si>
  <si>
    <t>Performance-Line</t>
  </si>
  <si>
    <t>G</t>
  </si>
  <si>
    <t>A</t>
  </si>
  <si>
    <t>Custom</t>
  </si>
  <si>
    <t>3X-Large</t>
  </si>
  <si>
    <t>4X-Large</t>
  </si>
  <si>
    <t>5X-Large</t>
  </si>
  <si>
    <t>6X-Large</t>
  </si>
  <si>
    <t>7X-Large</t>
  </si>
  <si>
    <t>Quantity</t>
  </si>
  <si>
    <t>Free Name</t>
  </si>
  <si>
    <t>Free Collar</t>
  </si>
  <si>
    <t>Free Logo</t>
  </si>
  <si>
    <t>Yes</t>
  </si>
  <si>
    <t>Free Coaches Jersey</t>
  </si>
  <si>
    <t>No</t>
  </si>
  <si>
    <t>Shipping</t>
  </si>
  <si>
    <t>Grand Total</t>
  </si>
  <si>
    <t>Production</t>
  </si>
  <si>
    <t>Standard (approx 3 weeks)</t>
  </si>
  <si>
    <t>Express (approx 2 weeks)</t>
  </si>
  <si>
    <t>Priority (approx 1 week)</t>
  </si>
  <si>
    <t>Sleeveless</t>
  </si>
  <si>
    <t>Retail Jersey Price</t>
  </si>
  <si>
    <t>Final Jersey Price</t>
  </si>
  <si>
    <t>Display</t>
  </si>
  <si>
    <t>Order</t>
  </si>
  <si>
    <t>Custom On File</t>
  </si>
  <si>
    <t>FREE Collar</t>
  </si>
  <si>
    <t>Discounts</t>
  </si>
  <si>
    <t>FREE Name</t>
  </si>
  <si>
    <t>FREE Logo</t>
  </si>
  <si>
    <t>Total</t>
  </si>
  <si>
    <t>Volume Discount</t>
  </si>
  <si>
    <t>Add Ons</t>
  </si>
  <si>
    <t>Total Add Ons</t>
  </si>
  <si>
    <t>Retail Price</t>
  </si>
  <si>
    <t>Actual Price</t>
  </si>
  <si>
    <t>Base Jersey Price</t>
  </si>
  <si>
    <t>Left Chest</t>
  </si>
  <si>
    <t>Right Chest</t>
  </si>
  <si>
    <t>Left Sleeve</t>
  </si>
  <si>
    <t>Right Sleeve</t>
  </si>
  <si>
    <t>Priority Production</t>
  </si>
  <si>
    <t>1/4 Zip Sash</t>
  </si>
  <si>
    <t>Express (approx 2 weeks) +25%</t>
  </si>
  <si>
    <t>PBA</t>
  </si>
  <si>
    <t>PBA50</t>
  </si>
  <si>
    <t>PWBA</t>
  </si>
  <si>
    <t>B4L</t>
  </si>
  <si>
    <t>Turbo</t>
  </si>
  <si>
    <t>VISE</t>
  </si>
  <si>
    <t>Pct Savings</t>
  </si>
  <si>
    <t>Production Priority</t>
  </si>
  <si>
    <t>Total Jersey Count</t>
  </si>
  <si>
    <t>Jersey Number</t>
  </si>
  <si>
    <t>First Name</t>
  </si>
  <si>
    <t>Last Name</t>
  </si>
  <si>
    <t>SHIPPING</t>
  </si>
  <si>
    <t>PRODUCTION PRIORITY *</t>
  </si>
  <si>
    <t>Size *</t>
  </si>
  <si>
    <t>Sleeve Type *</t>
  </si>
  <si>
    <t>Neck Collar
Type *</t>
  </si>
  <si>
    <t>Front Logo
(Optional)</t>
  </si>
  <si>
    <t>Left Chest Logo
(Optional)</t>
  </si>
  <si>
    <t>Right Chest Logo
(Optional)</t>
  </si>
  <si>
    <t>Left Sleeve Logo
(Optional)</t>
  </si>
  <si>
    <t>Right Sleeve Logo
(Optional)</t>
  </si>
  <si>
    <t>Customer Groups</t>
  </si>
  <si>
    <t>Order Discount</t>
  </si>
  <si>
    <t>Base Price Discount</t>
  </si>
  <si>
    <t>Cut *</t>
  </si>
  <si>
    <t>Special Instructions
(Optional  -  Additional Costs May Apply)</t>
  </si>
  <si>
    <t>Production Priority Fee</t>
  </si>
  <si>
    <t>Total From Order Details</t>
  </si>
  <si>
    <t>Free Express Production</t>
  </si>
  <si>
    <t>Priority (approx 1 week) +35%</t>
  </si>
  <si>
    <t>Set Price</t>
  </si>
  <si>
    <t>Average Cost per Jersey</t>
  </si>
  <si>
    <t>Reorder *</t>
  </si>
  <si>
    <t>Shipping Cost *</t>
  </si>
  <si>
    <t>Customer Discount *</t>
  </si>
  <si>
    <t>Price</t>
  </si>
  <si>
    <t>#</t>
  </si>
  <si>
    <t>Subtotal Before Order Discount</t>
  </si>
  <si>
    <t>Subtotal Before Production Fee &amp; Shipping</t>
  </si>
  <si>
    <t xml:space="preserve">Free Coaches Jersey </t>
  </si>
  <si>
    <t>Total Discounts</t>
  </si>
  <si>
    <t>Discounted Price</t>
  </si>
  <si>
    <t>STYLE</t>
  </si>
  <si>
    <t>SIZE</t>
  </si>
  <si>
    <t>Custom Logo Charges</t>
  </si>
  <si>
    <t>Custom Logos *</t>
  </si>
  <si>
    <t>Free Shipping</t>
  </si>
  <si>
    <t>Style</t>
  </si>
  <si>
    <t>SKU</t>
  </si>
  <si>
    <t>Logo</t>
  </si>
  <si>
    <t>Full SKU</t>
  </si>
  <si>
    <t>Size2</t>
  </si>
  <si>
    <t>Front Logo3</t>
  </si>
  <si>
    <t>Left Chest4</t>
  </si>
  <si>
    <t>Right Chest5</t>
  </si>
  <si>
    <t>Left Sleeve6</t>
  </si>
  <si>
    <t>Right Sleeve7</t>
  </si>
  <si>
    <t>Name8</t>
  </si>
  <si>
    <t>Actual Price9</t>
  </si>
  <si>
    <t>Name on Back</t>
  </si>
  <si>
    <t>Total Discount</t>
  </si>
  <si>
    <t>Units</t>
  </si>
  <si>
    <t>Extended Price</t>
  </si>
  <si>
    <t>Retail</t>
  </si>
  <si>
    <t>Per Jersey Discount</t>
  </si>
  <si>
    <t>Weekday</t>
  </si>
  <si>
    <t>Day of Week</t>
  </si>
  <si>
    <t>Monday</t>
  </si>
  <si>
    <t>Tuesday</t>
  </si>
  <si>
    <t>Wednesday</t>
  </si>
  <si>
    <t>Thursday</t>
  </si>
  <si>
    <t>Friday</t>
  </si>
  <si>
    <t>Saturday</t>
  </si>
  <si>
    <t>Sunday</t>
  </si>
  <si>
    <t>Order Approval</t>
  </si>
  <si>
    <t>Overnight</t>
  </si>
  <si>
    <t>Two Day</t>
  </si>
  <si>
    <t>3-Day Select</t>
  </si>
  <si>
    <t>Ship Days</t>
  </si>
  <si>
    <t>Shipping Service</t>
  </si>
  <si>
    <t>Days</t>
  </si>
  <si>
    <t>Estimated Delivery Date</t>
  </si>
  <si>
    <t>Holiday</t>
  </si>
  <si>
    <t>Thanksgiving</t>
  </si>
  <si>
    <t>Christmas</t>
  </si>
  <si>
    <t>New Years Day</t>
  </si>
  <si>
    <t>Memorial Day</t>
  </si>
  <si>
    <t>Independence Day</t>
  </si>
  <si>
    <t>Labor Day</t>
  </si>
  <si>
    <t>1st Monday</t>
  </si>
  <si>
    <t>4th Monday</t>
  </si>
  <si>
    <t>4th Thursday</t>
  </si>
  <si>
    <t>Details</t>
  </si>
  <si>
    <t>Ground</t>
  </si>
  <si>
    <t>Lines for Name</t>
  </si>
  <si>
    <t>1-Line</t>
  </si>
  <si>
    <t>2-Lines</t>
  </si>
  <si>
    <t>Website</t>
  </si>
  <si>
    <t>Amount Collected</t>
  </si>
  <si>
    <t>1. All required field are denoted with an *</t>
  </si>
  <si>
    <t>3. You may leave rows blank to help with the organization of your order.</t>
  </si>
  <si>
    <t>Minimum</t>
  </si>
  <si>
    <t xml:space="preserve">4. Express and Priority production is available at an extra cost. </t>
  </si>
  <si>
    <t>5. Please delete the example jersey entry before entering your order details.</t>
  </si>
  <si>
    <t>FOR YOUR INFORMATION:</t>
  </si>
  <si>
    <t>SKU *
(Design from Bowlifi.com)</t>
  </si>
  <si>
    <t>2. The SKU is found in each product at the top near the product name.</t>
  </si>
  <si>
    <t>Quantity *</t>
  </si>
  <si>
    <t>In Transit Date (Ship from factory)</t>
  </si>
  <si>
    <t>Estimated Ship Date (Ship to you)</t>
  </si>
  <si>
    <t>Shipping Service Suggestion</t>
  </si>
  <si>
    <t>Order Placed</t>
  </si>
  <si>
    <t>Date</t>
  </si>
  <si>
    <t>Bulk Order Entry Discount</t>
  </si>
  <si>
    <t>Bulk Entry Discount</t>
  </si>
  <si>
    <t>CRITITICAL DATES</t>
  </si>
  <si>
    <t>Order Date</t>
  </si>
  <si>
    <t>Approval Date</t>
  </si>
  <si>
    <t>Delivery Date</t>
  </si>
  <si>
    <t>Description</t>
  </si>
  <si>
    <t>In Transit</t>
  </si>
  <si>
    <t>PRIORITY</t>
  </si>
  <si>
    <t>EXPRESS</t>
  </si>
  <si>
    <t>STANDARD</t>
  </si>
  <si>
    <t>It does not appear that we are able to meet your In Hand Date</t>
  </si>
  <si>
    <t>In Hand Date (the date you need your jerseys in your hands)</t>
  </si>
  <si>
    <t>ESTIMATED PRODUCTION AND SHIPPING DATES</t>
  </si>
  <si>
    <t>TEAM ASSURANCE</t>
  </si>
  <si>
    <t>BOWLIFI TEAM ASSURANCE APPLIED</t>
  </si>
  <si>
    <t>Upgrade</t>
  </si>
  <si>
    <t>Actual</t>
  </si>
  <si>
    <t>Fee</t>
  </si>
  <si>
    <t>6. The CRITICAL DATES (to the right) are estimates of delivery and other key dates based upon the In Hand Date entered (to the left).  Bowlifi will use their best efforts to meet the In Hand Date, but In Hand Dates are not guaranteed.</t>
  </si>
  <si>
    <t>Est Order Date</t>
  </si>
  <si>
    <t>Est Ship Date</t>
  </si>
  <si>
    <t>Standard Website Price of Jerseys, which includes Volume Discounts.  Other discounts, including coupon codes, if available, will be applied at checkout.</t>
  </si>
  <si>
    <t>7. Orders with a requested In Hand Date may require Express or Priority production, UPS Overnight or Select shipping services.</t>
  </si>
  <si>
    <t>Bronze</t>
  </si>
  <si>
    <t>Choice</t>
  </si>
  <si>
    <t>Copper</t>
  </si>
  <si>
    <t>Elite</t>
  </si>
  <si>
    <t>FREEFREEFREE</t>
  </si>
  <si>
    <t>Gold</t>
  </si>
  <si>
    <t>HS-College</t>
  </si>
  <si>
    <t>Nationals</t>
  </si>
  <si>
    <t>Platinum</t>
  </si>
  <si>
    <t>Premier</t>
  </si>
  <si>
    <t>Silver</t>
  </si>
  <si>
    <t>Special30</t>
  </si>
  <si>
    <t>USBC-Collegiate</t>
  </si>
  <si>
    <t>VIP</t>
  </si>
  <si>
    <t>VIP30</t>
  </si>
  <si>
    <t>VIP40</t>
  </si>
  <si>
    <t>VIP50</t>
  </si>
  <si>
    <t>1/4 Zip Blade</t>
  </si>
  <si>
    <t>3 Button Blade</t>
  </si>
  <si>
    <t>1/4 Zip Polo</t>
  </si>
  <si>
    <t>Mock Turtleneck</t>
  </si>
  <si>
    <t>BowlRetro</t>
  </si>
  <si>
    <t>ABS</t>
  </si>
  <si>
    <t>A3S</t>
  </si>
  <si>
    <t>ATSV</t>
  </si>
  <si>
    <t>ATS</t>
  </si>
  <si>
    <t>AZSB</t>
  </si>
  <si>
    <t>A3SB</t>
  </si>
  <si>
    <t>AZS</t>
  </si>
  <si>
    <t>AMS</t>
  </si>
  <si>
    <t>SIS</t>
  </si>
  <si>
    <t>APSH</t>
  </si>
  <si>
    <t>ABL</t>
  </si>
  <si>
    <t>A3L</t>
  </si>
  <si>
    <t>ATL</t>
  </si>
  <si>
    <t>ATLV</t>
  </si>
  <si>
    <t>AZL</t>
  </si>
  <si>
    <t>APL</t>
  </si>
  <si>
    <t>APLH</t>
  </si>
  <si>
    <t>APLH4</t>
  </si>
  <si>
    <t>ABN</t>
  </si>
  <si>
    <t>A3N</t>
  </si>
  <si>
    <t>ATN</t>
  </si>
  <si>
    <t>APNH</t>
  </si>
  <si>
    <t>1/4 Zip Pullover</t>
  </si>
  <si>
    <t>AVN</t>
  </si>
  <si>
    <t>Line</t>
  </si>
  <si>
    <t>C&amp;S</t>
  </si>
  <si>
    <t>Performance</t>
  </si>
  <si>
    <t>Tour</t>
  </si>
  <si>
    <t>PerformanceShort</t>
  </si>
  <si>
    <t>PerformanceSleeveless</t>
  </si>
  <si>
    <t>PerformanceLong</t>
  </si>
  <si>
    <t>TourShort</t>
  </si>
  <si>
    <t>TourLong</t>
  </si>
  <si>
    <t>Toddler</t>
  </si>
  <si>
    <t>T</t>
  </si>
  <si>
    <t>2T</t>
  </si>
  <si>
    <t>3T</t>
  </si>
  <si>
    <t>4T</t>
  </si>
  <si>
    <t>5T</t>
  </si>
  <si>
    <t>Mens</t>
  </si>
  <si>
    <t>Womens</t>
  </si>
  <si>
    <t>Lightweight Hoodie</t>
  </si>
  <si>
    <t>Lightweight 1/4 Zip Hoodie</t>
  </si>
  <si>
    <t>GBS</t>
  </si>
  <si>
    <t>G3S</t>
  </si>
  <si>
    <t>GVS</t>
  </si>
  <si>
    <t>GTS</t>
  </si>
  <si>
    <t>GZSB</t>
  </si>
  <si>
    <t>G3SB</t>
  </si>
  <si>
    <t>GZS</t>
  </si>
  <si>
    <t>GMS</t>
  </si>
  <si>
    <t>GBL</t>
  </si>
  <si>
    <t>G3L</t>
  </si>
  <si>
    <t>GVL</t>
  </si>
  <si>
    <t>GTL</t>
  </si>
  <si>
    <t>GZL</t>
  </si>
  <si>
    <t>CUT</t>
  </si>
  <si>
    <t>MensCut</t>
  </si>
  <si>
    <t>WomensCut</t>
  </si>
  <si>
    <t>YouthCut</t>
  </si>
  <si>
    <t>ToddlerCut</t>
  </si>
  <si>
    <t>Pct</t>
  </si>
  <si>
    <t>Flat</t>
  </si>
  <si>
    <t>Use</t>
  </si>
  <si>
    <t>9-Tap</t>
  </si>
  <si>
    <t>PBA Jr</t>
  </si>
  <si>
    <t>Bowl4Life</t>
  </si>
  <si>
    <t>PBAJR</t>
  </si>
  <si>
    <t>9TAP</t>
  </si>
  <si>
    <t>Should you have an question, please contact customer service at support@bowlifi.com 
or 312-281-7797 or use the online chat at Bowlifi.com.</t>
  </si>
  <si>
    <t>Creating The Difference</t>
  </si>
  <si>
    <t>Genesis</t>
  </si>
  <si>
    <t>Mongoose</t>
  </si>
  <si>
    <t>Real Bowlers Tape</t>
  </si>
  <si>
    <t>Robbie's</t>
  </si>
  <si>
    <t>Ultimate</t>
  </si>
  <si>
    <t>CTD</t>
  </si>
  <si>
    <t>Robbies</t>
  </si>
  <si>
    <t>SLEEVE</t>
  </si>
  <si>
    <t>COLLECTION</t>
  </si>
  <si>
    <t>FRONT LOGO</t>
  </si>
  <si>
    <t>CHEST LOGO</t>
  </si>
  <si>
    <t>LEFT SLEEVE LOGO</t>
  </si>
  <si>
    <t>RIGHT SLEEVE LOGO</t>
  </si>
  <si>
    <t>NAME</t>
  </si>
  <si>
    <t>PRODUCTION PRIORITY</t>
  </si>
  <si>
    <t>IN HAND DATE</t>
  </si>
  <si>
    <t>DISCOUNT PROGRAMS</t>
  </si>
  <si>
    <t>Reorder</t>
  </si>
  <si>
    <t>SUMMARY</t>
  </si>
  <si>
    <t>US Flag</t>
  </si>
  <si>
    <t>Canada Flag</t>
  </si>
  <si>
    <t>Mexico Flag</t>
  </si>
  <si>
    <t>USAFlag</t>
  </si>
  <si>
    <t>CanadaFlag</t>
  </si>
  <si>
    <t>MexicoFlag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</si>
</sst>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4" x14ac:knownFonts="1">
    <font>
      <sz val="11"/>
      <color indexed="8"/>
      <name val="Calibri"/>
    </font>
    <font>
      <sz val="11"/>
      <color theme="1"/>
      <name val="Helvetica Neue"/>
      <family val="2"/>
      <scheme val="minor"/>
    </font>
    <font>
      <b/>
      <sz val="11"/>
      <color indexed="8"/>
      <name val="Calibri"/>
      <family val="2"/>
    </font>
    <font>
      <sz val="11"/>
      <color indexed="8"/>
      <name val="Calibri"/>
      <family val="2"/>
    </font>
    <font>
      <b/>
      <sz val="11"/>
      <color theme="0"/>
      <name val="Calibri"/>
      <family val="2"/>
    </font>
    <font>
      <b/>
      <sz val="18"/>
      <color indexed="8"/>
      <name val="Calibri"/>
      <family val="2"/>
    </font>
    <font>
      <sz val="11"/>
      <color theme="1"/>
      <name val="Calibri"/>
      <family val="2"/>
    </font>
    <font>
      <sz val="16"/>
      <color indexed="8"/>
      <name val="Calibri"/>
      <family val="2"/>
    </font>
    <font>
      <b/>
      <sz val="16"/>
      <color indexed="8"/>
      <name val="Calibri"/>
      <family val="2"/>
    </font>
    <font>
      <sz val="11"/>
      <color theme="1" tint="0.34998626667073579"/>
      <name val="Calibri"/>
      <family val="2"/>
    </font>
    <font>
      <sz val="11"/>
      <color indexed="8"/>
      <name val="Calibri"/>
      <family val="2"/>
    </font>
    <font>
      <sz val="8"/>
      <name val="Calibri"/>
      <family val="2"/>
    </font>
    <font>
      <b/>
      <sz val="14"/>
      <color rgb="FFFF0000"/>
      <name val="Calibri"/>
      <family val="2"/>
    </font>
    <font>
      <b/>
      <sz val="14"/>
      <color indexed="8"/>
      <name val="Calibri"/>
      <family val="2"/>
    </font>
    <font>
      <sz val="11"/>
      <color theme="0"/>
      <name val="Calibri"/>
      <family val="2"/>
    </font>
    <font>
      <b/>
      <sz val="11"/>
      <name val="Calibri"/>
      <family val="2"/>
    </font>
    <font>
      <b/>
      <sz val="11"/>
      <color theme="9" tint="-0.499984740745262"/>
      <name val="Calibri"/>
      <family val="2"/>
    </font>
    <font>
      <b/>
      <sz val="12"/>
      <color theme="0"/>
      <name val="Calibri"/>
      <family val="2"/>
    </font>
    <font>
      <b/>
      <sz val="18"/>
      <color theme="0"/>
      <name val="Calibri"/>
      <family val="2"/>
    </font>
    <font>
      <b/>
      <sz val="14"/>
      <color rgb="FFC00000"/>
      <name val="Calibri"/>
      <family val="2"/>
    </font>
    <font>
      <b/>
      <sz val="24"/>
      <color rgb="FFC00000"/>
      <name val="Calibri"/>
      <family val="2"/>
    </font>
    <font>
      <b/>
      <sz val="16"/>
      <color rgb="FFC00000"/>
      <name val="Calibri"/>
      <family val="2"/>
    </font>
    <font>
      <sz val="11"/>
      <color rgb="FF000000"/>
      <name val="Calibri"/>
      <family val="2"/>
    </font>
    <font>
      <b/>
      <sz val="11"/>
      <color theme="1" tint="0.34998626667073579"/>
      <name val="Calibri"/>
      <family val="2"/>
    </font>
  </fonts>
  <fills count="18">
    <fill>
      <patternFill patternType="none"/>
    </fill>
    <fill>
      <patternFill patternType="gray125"/>
    </fill>
    <fill>
      <patternFill patternType="solid">
        <fgColor indexed="9"/>
        <bgColor auto="1"/>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bgColor theme="4"/>
      </patternFill>
    </fill>
    <fill>
      <patternFill patternType="solid">
        <fgColor theme="2" tint="0.59999389629810485"/>
        <bgColor indexed="64"/>
      </patternFill>
    </fill>
    <fill>
      <patternFill patternType="solid">
        <fgColor theme="2" tint="0.79998168889431442"/>
        <bgColor indexed="64"/>
      </patternFill>
    </fill>
    <fill>
      <patternFill patternType="solid">
        <fgColor rgb="FFC00000"/>
        <bgColor indexed="64"/>
      </patternFill>
    </fill>
    <fill>
      <patternFill patternType="solid">
        <fgColor theme="0" tint="-0.14999847407452621"/>
        <bgColor theme="0" tint="-0.14999847407452621"/>
      </patternFill>
    </fill>
  </fills>
  <borders count="4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64"/>
      </bottom>
      <diagonal/>
    </border>
    <border>
      <left/>
      <right/>
      <top/>
      <bottom style="thin">
        <color indexed="10"/>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10"/>
      </left>
      <right style="thin">
        <color indexed="10"/>
      </right>
      <top/>
      <bottom style="thin">
        <color indexed="64"/>
      </bottom>
      <diagonal/>
    </border>
    <border>
      <left/>
      <right/>
      <top style="thin">
        <color indexed="10"/>
      </top>
      <bottom style="thin">
        <color indexed="64"/>
      </bottom>
      <diagonal/>
    </border>
    <border>
      <left/>
      <right style="thin">
        <color indexed="10"/>
      </right>
      <top style="thin">
        <color indexed="10"/>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medium">
        <color theme="1"/>
      </top>
      <bottom style="medium">
        <color theme="1"/>
      </bottom>
      <diagonal/>
    </border>
    <border>
      <left/>
      <right/>
      <top/>
      <bottom style="medium">
        <color theme="1"/>
      </bottom>
      <diagonal/>
    </border>
    <border>
      <left style="thin">
        <color rgb="FFD0D7E5"/>
      </left>
      <right style="thin">
        <color rgb="FFD0D7E5"/>
      </right>
      <top style="thin">
        <color rgb="FFD0D7E5"/>
      </top>
      <bottom style="thin">
        <color rgb="FFD0D7E5"/>
      </bottom>
      <diagonal/>
    </border>
  </borders>
  <cellStyleXfs count="4">
    <xf numFmtId="0" fontId="0" fillId="0" borderId="0" applyNumberFormat="0" applyFill="0" applyBorder="0" applyProtection="0"/>
    <xf numFmtId="9" fontId="3" fillId="0" borderId="0" applyFont="0" applyFill="0" applyBorder="0" applyAlignment="0" applyProtection="0"/>
    <xf numFmtId="43" fontId="10" fillId="0" borderId="0" applyFont="0" applyFill="0" applyBorder="0" applyAlignment="0" applyProtection="0"/>
    <xf numFmtId="0" fontId="1" fillId="0" borderId="0"/>
  </cellStyleXfs>
  <cellXfs count="328">
    <xf numFmtId="0" fontId="0" fillId="0" borderId="0" xfId="0"/>
    <xf numFmtId="0" fontId="0" fillId="0" borderId="0" xfId="0" applyNumberFormat="1"/>
    <xf numFmtId="0" fontId="3" fillId="0" borderId="0" xfId="0" applyFont="1"/>
    <xf numFmtId="49" fontId="3" fillId="0" borderId="0" xfId="0" applyNumberFormat="1" applyFont="1"/>
    <xf numFmtId="49" fontId="0" fillId="0" borderId="0" xfId="0" applyNumberFormat="1"/>
    <xf numFmtId="164" fontId="3" fillId="0" borderId="0" xfId="0" applyNumberFormat="1" applyFont="1"/>
    <xf numFmtId="164" fontId="0" fillId="0" borderId="0" xfId="0" applyNumberFormat="1"/>
    <xf numFmtId="9" fontId="0" fillId="0" borderId="0" xfId="0" applyNumberFormat="1"/>
    <xf numFmtId="0" fontId="0" fillId="0" borderId="0" xfId="0" applyNumberFormat="1" applyAlignment="1">
      <alignment horizontal="center"/>
    </xf>
    <xf numFmtId="49" fontId="3" fillId="0" borderId="0" xfId="0" applyNumberFormat="1" applyFont="1" applyAlignment="1">
      <alignment horizontal="center"/>
    </xf>
    <xf numFmtId="49" fontId="0" fillId="0" borderId="0" xfId="0" applyNumberFormat="1" applyAlignment="1">
      <alignment horizontal="center"/>
    </xf>
    <xf numFmtId="0" fontId="3" fillId="0" borderId="0" xfId="0" applyFont="1" applyAlignment="1">
      <alignment horizontal="center"/>
    </xf>
    <xf numFmtId="0" fontId="0" fillId="0" borderId="0" xfId="0" applyAlignment="1">
      <alignment horizontal="center"/>
    </xf>
    <xf numFmtId="9" fontId="3" fillId="0" borderId="0" xfId="1" applyFont="1"/>
    <xf numFmtId="9" fontId="0" fillId="0" borderId="0" xfId="1" applyFont="1"/>
    <xf numFmtId="0" fontId="0" fillId="0" borderId="3" xfId="0" applyNumberFormat="1" applyBorder="1" applyAlignment="1">
      <alignment wrapText="1"/>
    </xf>
    <xf numFmtId="164" fontId="0" fillId="0" borderId="1" xfId="0" applyNumberFormat="1" applyBorder="1" applyAlignment="1">
      <alignment horizontal="center"/>
    </xf>
    <xf numFmtId="164" fontId="0" fillId="0" borderId="0" xfId="0" applyNumberFormat="1" applyAlignment="1">
      <alignment horizontal="center"/>
    </xf>
    <xf numFmtId="164" fontId="0" fillId="0" borderId="1" xfId="1" applyNumberFormat="1" applyFont="1" applyBorder="1" applyAlignment="1">
      <alignment horizontal="center"/>
    </xf>
    <xf numFmtId="164" fontId="0" fillId="0" borderId="0" xfId="1" applyNumberFormat="1" applyFont="1" applyAlignment="1">
      <alignment horizontal="center"/>
    </xf>
    <xf numFmtId="0" fontId="3" fillId="0" borderId="0" xfId="0" applyNumberFormat="1" applyFont="1"/>
    <xf numFmtId="164" fontId="0" fillId="0" borderId="0" xfId="0" applyNumberFormat="1" applyAlignment="1">
      <alignment horizontal="right"/>
    </xf>
    <xf numFmtId="164" fontId="0" fillId="0" borderId="6" xfId="1" applyNumberFormat="1" applyFont="1" applyBorder="1" applyAlignment="1">
      <alignment horizontal="center"/>
    </xf>
    <xf numFmtId="164" fontId="0" fillId="0" borderId="7" xfId="1" applyNumberFormat="1" applyFont="1" applyBorder="1" applyAlignment="1">
      <alignment horizontal="center"/>
    </xf>
    <xf numFmtId="164" fontId="0" fillId="0" borderId="5" xfId="1" applyNumberFormat="1" applyFont="1" applyBorder="1" applyAlignment="1">
      <alignment horizontal="center"/>
    </xf>
    <xf numFmtId="164" fontId="2" fillId="3" borderId="1" xfId="1" applyNumberFormat="1" applyFont="1" applyFill="1" applyBorder="1" applyAlignment="1">
      <alignment horizontal="center"/>
    </xf>
    <xf numFmtId="164" fontId="2" fillId="3" borderId="0" xfId="1" applyNumberFormat="1" applyFont="1" applyFill="1" applyAlignment="1">
      <alignment horizontal="center"/>
    </xf>
    <xf numFmtId="164" fontId="2" fillId="5" borderId="6" xfId="1" applyNumberFormat="1" applyFont="1" applyFill="1" applyBorder="1" applyAlignment="1">
      <alignment horizontal="center"/>
    </xf>
    <xf numFmtId="164" fontId="2" fillId="5" borderId="0" xfId="1" applyNumberFormat="1" applyFont="1" applyFill="1" applyAlignment="1">
      <alignment horizontal="center"/>
    </xf>
    <xf numFmtId="164" fontId="2" fillId="4" borderId="1" xfId="0" applyNumberFormat="1" applyFont="1" applyFill="1" applyBorder="1" applyAlignment="1">
      <alignment horizontal="center"/>
    </xf>
    <xf numFmtId="164" fontId="2" fillId="4" borderId="0" xfId="0" applyNumberFormat="1" applyFont="1" applyFill="1" applyAlignment="1">
      <alignment horizontal="center"/>
    </xf>
    <xf numFmtId="164" fontId="3" fillId="0" borderId="1" xfId="0" applyNumberFormat="1" applyFont="1" applyFill="1" applyBorder="1" applyAlignment="1">
      <alignment horizontal="center"/>
    </xf>
    <xf numFmtId="164" fontId="3" fillId="0" borderId="0" xfId="0" applyNumberFormat="1" applyFont="1" applyFill="1" applyAlignment="1">
      <alignment horizontal="center"/>
    </xf>
    <xf numFmtId="0" fontId="2" fillId="0" borderId="0" xfId="0" applyNumberFormat="1" applyFont="1" applyAlignment="1">
      <alignment horizontal="center"/>
    </xf>
    <xf numFmtId="0" fontId="2" fillId="0" borderId="1" xfId="0" applyNumberFormat="1" applyFont="1" applyBorder="1" applyAlignment="1">
      <alignment horizontal="center"/>
    </xf>
    <xf numFmtId="164" fontId="2" fillId="0" borderId="0" xfId="1" applyNumberFormat="1" applyFont="1" applyFill="1" applyAlignment="1">
      <alignment horizontal="center"/>
    </xf>
    <xf numFmtId="164" fontId="3" fillId="0" borderId="1" xfId="1" applyNumberFormat="1" applyFont="1" applyFill="1" applyBorder="1" applyAlignment="1">
      <alignment horizontal="center"/>
    </xf>
    <xf numFmtId="164" fontId="2" fillId="6" borderId="1" xfId="0" applyNumberFormat="1" applyFont="1" applyFill="1" applyBorder="1" applyAlignment="1">
      <alignment horizontal="center"/>
    </xf>
    <xf numFmtId="164" fontId="2" fillId="6" borderId="0" xfId="0" applyNumberFormat="1" applyFont="1" applyFill="1" applyAlignment="1">
      <alignment horizontal="center"/>
    </xf>
    <xf numFmtId="9" fontId="3" fillId="0" borderId="0" xfId="0" applyNumberFormat="1" applyFont="1"/>
    <xf numFmtId="9" fontId="2" fillId="0" borderId="0" xfId="1" applyFont="1" applyFill="1" applyAlignment="1">
      <alignment horizontal="center"/>
    </xf>
    <xf numFmtId="0" fontId="0" fillId="0" borderId="0" xfId="0" applyNumberFormat="1" applyAlignment="1">
      <alignment vertical="center"/>
    </xf>
    <xf numFmtId="0" fontId="0" fillId="0" borderId="0" xfId="0" applyNumberFormat="1" applyAlignment="1">
      <alignment horizontal="center" vertical="center"/>
    </xf>
    <xf numFmtId="164" fontId="2" fillId="8" borderId="2" xfId="0" applyNumberFormat="1" applyFont="1" applyFill="1" applyBorder="1" applyAlignment="1">
      <alignment vertical="center"/>
    </xf>
    <xf numFmtId="164" fontId="2" fillId="0" borderId="0" xfId="0" applyNumberFormat="1" applyFont="1"/>
    <xf numFmtId="164" fontId="2" fillId="6" borderId="2" xfId="0" applyNumberFormat="1" applyFont="1" applyFill="1" applyBorder="1" applyAlignment="1">
      <alignment vertical="center"/>
    </xf>
    <xf numFmtId="164" fontId="2" fillId="0" borderId="0" xfId="0" applyNumberFormat="1" applyFont="1" applyFill="1" applyBorder="1" applyAlignment="1">
      <alignment horizontal="left" vertical="center" wrapText="1"/>
    </xf>
    <xf numFmtId="0" fontId="0" fillId="0" borderId="0" xfId="0" applyNumberFormat="1" applyFill="1" applyAlignment="1">
      <alignment horizontal="center" vertical="center"/>
    </xf>
    <xf numFmtId="0" fontId="0" fillId="0" borderId="0" xfId="0" applyNumberFormat="1" applyFill="1" applyAlignment="1">
      <alignment vertical="center"/>
    </xf>
    <xf numFmtId="164" fontId="5" fillId="9" borderId="19" xfId="0" applyNumberFormat="1" applyFont="1" applyFill="1" applyBorder="1" applyAlignment="1">
      <alignment vertical="center"/>
    </xf>
    <xf numFmtId="0" fontId="0" fillId="0" borderId="0" xfId="0" applyNumberFormat="1" applyAlignment="1">
      <alignment vertical="center" wrapText="1"/>
    </xf>
    <xf numFmtId="0" fontId="0" fillId="0" borderId="0" xfId="0" applyNumberFormat="1" applyAlignment="1">
      <alignment wrapText="1"/>
    </xf>
    <xf numFmtId="0" fontId="2" fillId="7" borderId="20" xfId="0" applyNumberFormat="1" applyFont="1" applyFill="1" applyBorder="1" applyAlignment="1">
      <alignment horizontal="center" wrapText="1"/>
    </xf>
    <xf numFmtId="49" fontId="2" fillId="7" borderId="20" xfId="0" applyNumberFormat="1" applyFont="1" applyFill="1" applyBorder="1" applyAlignment="1">
      <alignment horizontal="center"/>
    </xf>
    <xf numFmtId="49" fontId="2" fillId="7" borderId="20" xfId="0" applyNumberFormat="1" applyFont="1" applyFill="1" applyBorder="1" applyAlignment="1">
      <alignment horizontal="center" wrapText="1"/>
    </xf>
    <xf numFmtId="0" fontId="0" fillId="0" borderId="20" xfId="0" applyNumberFormat="1" applyBorder="1"/>
    <xf numFmtId="0" fontId="3" fillId="0" borderId="0" xfId="0" applyFont="1" applyAlignment="1">
      <alignment wrapText="1"/>
    </xf>
    <xf numFmtId="0" fontId="3" fillId="0" borderId="0" xfId="0" applyFont="1" applyAlignment="1">
      <alignment horizontal="center" wrapText="1"/>
    </xf>
    <xf numFmtId="164" fontId="2" fillId="8" borderId="20" xfId="0" applyNumberFormat="1" applyFont="1" applyFill="1" applyBorder="1" applyAlignment="1">
      <alignment horizontal="center" wrapText="1"/>
    </xf>
    <xf numFmtId="0" fontId="0" fillId="0" borderId="0" xfId="0" applyAlignment="1">
      <alignment horizontal="right"/>
    </xf>
    <xf numFmtId="0" fontId="3" fillId="0" borderId="0" xfId="0" applyFont="1" applyAlignment="1">
      <alignment horizontal="left"/>
    </xf>
    <xf numFmtId="0" fontId="0" fillId="0" borderId="0" xfId="0" applyAlignment="1">
      <alignment horizontal="left"/>
    </xf>
    <xf numFmtId="0" fontId="0" fillId="0" borderId="0" xfId="0" applyBorder="1"/>
    <xf numFmtId="0" fontId="3" fillId="0" borderId="0" xfId="0" applyFont="1" applyAlignment="1">
      <alignment vertical="center"/>
    </xf>
    <xf numFmtId="0" fontId="0" fillId="0" borderId="0" xfId="0" applyAlignment="1">
      <alignment vertical="center"/>
    </xf>
    <xf numFmtId="0" fontId="0" fillId="0" borderId="0" xfId="0" applyNumberFormat="1" applyBorder="1" applyAlignment="1">
      <alignment vertical="center" wrapText="1"/>
    </xf>
    <xf numFmtId="0" fontId="2" fillId="0" borderId="0" xfId="0" applyFont="1" applyAlignment="1">
      <alignment vertical="center"/>
    </xf>
    <xf numFmtId="0" fontId="2" fillId="5" borderId="5" xfId="0" applyFont="1" applyFill="1" applyBorder="1" applyAlignment="1">
      <alignment horizontal="right" vertical="center"/>
    </xf>
    <xf numFmtId="164" fontId="2" fillId="5" borderId="5" xfId="0" applyNumberFormat="1" applyFont="1" applyFill="1" applyBorder="1" applyAlignment="1">
      <alignment vertical="center"/>
    </xf>
    <xf numFmtId="0" fontId="2" fillId="7" borderId="2" xfId="0" applyNumberFormat="1" applyFont="1" applyFill="1" applyBorder="1" applyAlignment="1">
      <alignment horizontal="center" vertical="center"/>
    </xf>
    <xf numFmtId="0" fontId="2" fillId="7" borderId="1" xfId="0" applyNumberFormat="1" applyFont="1" applyFill="1" applyBorder="1" applyAlignment="1">
      <alignment horizontal="center" vertic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49" fontId="3" fillId="5" borderId="2" xfId="0" applyNumberFormat="1" applyFont="1" applyFill="1" applyBorder="1" applyAlignment="1">
      <alignment horizontal="center" vertical="center"/>
    </xf>
    <xf numFmtId="49" fontId="0" fillId="5" borderId="2" xfId="0" applyNumberFormat="1" applyFill="1" applyBorder="1" applyAlignment="1">
      <alignment horizontal="center" vertical="center"/>
    </xf>
    <xf numFmtId="0" fontId="0" fillId="10" borderId="0" xfId="0" applyNumberFormat="1" applyFill="1"/>
    <xf numFmtId="0" fontId="0" fillId="10" borderId="0" xfId="0" applyNumberFormat="1" applyFill="1" applyAlignment="1">
      <alignment horizontal="center"/>
    </xf>
    <xf numFmtId="0" fontId="0" fillId="10" borderId="0" xfId="0" applyNumberFormat="1" applyFill="1" applyAlignment="1">
      <alignment wrapText="1"/>
    </xf>
    <xf numFmtId="164" fontId="2" fillId="10" borderId="0" xfId="0" applyNumberFormat="1" applyFont="1" applyFill="1"/>
    <xf numFmtId="0" fontId="0" fillId="10" borderId="0" xfId="0" applyNumberFormat="1" applyFill="1" applyAlignment="1">
      <alignment vertical="center"/>
    </xf>
    <xf numFmtId="0" fontId="0" fillId="10" borderId="20" xfId="0" applyNumberFormat="1" applyFill="1" applyBorder="1"/>
    <xf numFmtId="0" fontId="0" fillId="10" borderId="0" xfId="0" applyNumberFormat="1" applyFill="1" applyAlignment="1">
      <alignment horizontal="center" vertical="center"/>
    </xf>
    <xf numFmtId="164" fontId="2" fillId="10" borderId="0" xfId="0" applyNumberFormat="1" applyFont="1" applyFill="1" applyAlignment="1">
      <alignment vertical="center"/>
    </xf>
    <xf numFmtId="164" fontId="2" fillId="6" borderId="15" xfId="0" applyNumberFormat="1" applyFont="1" applyFill="1" applyBorder="1" applyAlignment="1">
      <alignment vertical="center"/>
    </xf>
    <xf numFmtId="164" fontId="2" fillId="6" borderId="13" xfId="0" applyNumberFormat="1" applyFont="1" applyFill="1" applyBorder="1" applyAlignment="1">
      <alignment horizontal="right" vertical="center"/>
    </xf>
    <xf numFmtId="0" fontId="2" fillId="7" borderId="9" xfId="0" applyFont="1" applyFill="1" applyBorder="1" applyAlignment="1">
      <alignment vertical="center"/>
    </xf>
    <xf numFmtId="0" fontId="2" fillId="7" borderId="8" xfId="0" applyFont="1" applyFill="1" applyBorder="1" applyAlignment="1">
      <alignment vertical="center"/>
    </xf>
    <xf numFmtId="0" fontId="2" fillId="4" borderId="11" xfId="0" applyNumberFormat="1" applyFont="1" applyFill="1" applyBorder="1" applyAlignment="1">
      <alignment vertical="center"/>
    </xf>
    <xf numFmtId="0" fontId="2" fillId="4" borderId="12" xfId="0" applyNumberFormat="1" applyFont="1" applyFill="1" applyBorder="1" applyAlignment="1">
      <alignment vertical="center"/>
    </xf>
    <xf numFmtId="1" fontId="3" fillId="4" borderId="13" xfId="0" applyNumberFormat="1" applyFont="1" applyFill="1" applyBorder="1" applyAlignment="1">
      <alignment horizontal="right" vertical="center"/>
    </xf>
    <xf numFmtId="0" fontId="2" fillId="4" borderId="22" xfId="0" applyNumberFormat="1" applyFont="1" applyFill="1" applyBorder="1" applyAlignment="1">
      <alignment vertical="center"/>
    </xf>
    <xf numFmtId="0" fontId="2" fillId="4" borderId="0" xfId="0" applyNumberFormat="1" applyFont="1" applyFill="1" applyBorder="1" applyAlignment="1">
      <alignment vertical="center"/>
    </xf>
    <xf numFmtId="164" fontId="3" fillId="4" borderId="15" xfId="0" applyNumberFormat="1" applyFont="1" applyFill="1" applyBorder="1" applyAlignment="1">
      <alignment horizontal="right" vertical="center"/>
    </xf>
    <xf numFmtId="1" fontId="3" fillId="4" borderId="15" xfId="0" applyNumberFormat="1" applyFont="1" applyFill="1" applyBorder="1" applyAlignment="1">
      <alignment horizontal="right" vertical="center"/>
    </xf>
    <xf numFmtId="0" fontId="2" fillId="4" borderId="14" xfId="0" applyNumberFormat="1" applyFont="1" applyFill="1" applyBorder="1" applyAlignment="1">
      <alignment vertical="center"/>
    </xf>
    <xf numFmtId="0" fontId="2" fillId="4" borderId="3" xfId="0" applyNumberFormat="1" applyFont="1" applyFill="1" applyBorder="1" applyAlignment="1">
      <alignment vertical="center"/>
    </xf>
    <xf numFmtId="0" fontId="3" fillId="6" borderId="24" xfId="0" applyNumberFormat="1" applyFont="1" applyFill="1" applyBorder="1" applyAlignment="1">
      <alignment vertical="center"/>
    </xf>
    <xf numFmtId="164" fontId="2" fillId="8" borderId="25" xfId="0" applyNumberFormat="1" applyFont="1" applyFill="1" applyBorder="1" applyAlignment="1">
      <alignment horizontal="right" vertical="center"/>
    </xf>
    <xf numFmtId="0" fontId="3" fillId="6" borderId="0" xfId="0" applyNumberFormat="1" applyFont="1" applyFill="1" applyBorder="1" applyAlignment="1">
      <alignment vertical="center"/>
    </xf>
    <xf numFmtId="0" fontId="3" fillId="6" borderId="0" xfId="0" applyFont="1" applyFill="1" applyBorder="1" applyAlignment="1">
      <alignment vertical="center"/>
    </xf>
    <xf numFmtId="0" fontId="0" fillId="11" borderId="8" xfId="0" applyFill="1" applyBorder="1"/>
    <xf numFmtId="164" fontId="0" fillId="12" borderId="10" xfId="0" applyNumberFormat="1" applyFill="1" applyBorder="1" applyAlignment="1">
      <alignment horizontal="right"/>
    </xf>
    <xf numFmtId="0" fontId="0" fillId="10" borderId="0" xfId="0" applyFill="1" applyBorder="1"/>
    <xf numFmtId="0" fontId="0" fillId="10" borderId="0" xfId="0" applyFill="1"/>
    <xf numFmtId="0" fontId="0" fillId="10" borderId="0" xfId="0" applyFill="1" applyAlignment="1">
      <alignment horizontal="right"/>
    </xf>
    <xf numFmtId="0" fontId="2" fillId="10" borderId="0" xfId="0" applyFont="1" applyFill="1" applyAlignment="1">
      <alignment vertical="center"/>
    </xf>
    <xf numFmtId="0" fontId="0" fillId="10" borderId="0" xfId="0" applyFill="1" applyAlignment="1">
      <alignment vertical="center"/>
    </xf>
    <xf numFmtId="0" fontId="2" fillId="10" borderId="0" xfId="0" applyFont="1" applyFill="1" applyBorder="1" applyAlignment="1">
      <alignment vertical="center"/>
    </xf>
    <xf numFmtId="0" fontId="2" fillId="10" borderId="0" xfId="0" applyNumberFormat="1" applyFont="1" applyFill="1" applyBorder="1" applyAlignment="1">
      <alignment vertical="center" wrapText="1"/>
    </xf>
    <xf numFmtId="0" fontId="0" fillId="10" borderId="0" xfId="0" applyNumberFormat="1" applyFill="1" applyBorder="1" applyAlignment="1">
      <alignment vertical="center" wrapText="1"/>
    </xf>
    <xf numFmtId="0" fontId="0" fillId="10" borderId="0" xfId="0" applyNumberFormat="1" applyFill="1" applyBorder="1" applyAlignment="1">
      <alignment vertical="center"/>
    </xf>
    <xf numFmtId="0" fontId="0" fillId="10" borderId="0" xfId="0" applyFill="1" applyBorder="1" applyAlignment="1">
      <alignment vertical="center"/>
    </xf>
    <xf numFmtId="0" fontId="2" fillId="7" borderId="5" xfId="0" applyFont="1" applyFill="1" applyBorder="1" applyAlignment="1">
      <alignment horizontal="right" vertical="center"/>
    </xf>
    <xf numFmtId="0" fontId="2" fillId="10" borderId="0" xfId="0" applyNumberFormat="1" applyFont="1" applyFill="1" applyAlignment="1">
      <alignment horizontal="center"/>
    </xf>
    <xf numFmtId="164" fontId="3" fillId="10" borderId="0" xfId="0" applyNumberFormat="1" applyFont="1" applyFill="1" applyAlignment="1">
      <alignment horizontal="center"/>
    </xf>
    <xf numFmtId="164" fontId="2" fillId="10" borderId="0" xfId="0" applyNumberFormat="1" applyFont="1" applyFill="1" applyAlignment="1">
      <alignment horizontal="center"/>
    </xf>
    <xf numFmtId="164" fontId="0" fillId="10" borderId="0" xfId="0" applyNumberFormat="1" applyFill="1" applyAlignment="1">
      <alignment horizontal="center"/>
    </xf>
    <xf numFmtId="164" fontId="0" fillId="10" borderId="0" xfId="1" applyNumberFormat="1" applyFont="1" applyFill="1" applyAlignment="1">
      <alignment horizontal="center"/>
    </xf>
    <xf numFmtId="164" fontId="2" fillId="10" borderId="0" xfId="1" applyNumberFormat="1" applyFont="1" applyFill="1" applyAlignment="1">
      <alignment horizontal="center"/>
    </xf>
    <xf numFmtId="9" fontId="2" fillId="10" borderId="0" xfId="1" applyFont="1" applyFill="1" applyAlignment="1">
      <alignment horizontal="center"/>
    </xf>
    <xf numFmtId="0" fontId="0" fillId="10" borderId="3" xfId="0" applyNumberFormat="1" applyFill="1" applyBorder="1" applyAlignment="1">
      <alignment wrapText="1"/>
    </xf>
    <xf numFmtId="0" fontId="2" fillId="6" borderId="23" xfId="0" applyNumberFormat="1" applyFont="1" applyFill="1" applyBorder="1" applyAlignment="1">
      <alignment vertical="center"/>
    </xf>
    <xf numFmtId="0" fontId="2" fillId="6" borderId="22" xfId="0" applyNumberFormat="1" applyFont="1" applyFill="1" applyBorder="1" applyAlignment="1">
      <alignment vertical="center"/>
    </xf>
    <xf numFmtId="0" fontId="2" fillId="11" borderId="9" xfId="0" applyNumberFormat="1" applyFont="1" applyFill="1" applyBorder="1" applyAlignment="1">
      <alignment vertical="center"/>
    </xf>
    <xf numFmtId="0" fontId="0" fillId="10" borderId="0" xfId="0" applyNumberFormat="1" applyFill="1" applyBorder="1" applyAlignment="1">
      <alignment horizontal="left" vertical="center"/>
    </xf>
    <xf numFmtId="0" fontId="0" fillId="10" borderId="0" xfId="0" applyFill="1" applyAlignment="1">
      <alignment horizontal="left" vertical="center"/>
    </xf>
    <xf numFmtId="0" fontId="0" fillId="0" borderId="0" xfId="0" applyAlignment="1">
      <alignment horizontal="left" vertical="center"/>
    </xf>
    <xf numFmtId="164" fontId="3" fillId="6" borderId="15" xfId="0" applyNumberFormat="1" applyFont="1" applyFill="1" applyBorder="1" applyAlignment="1">
      <alignment horizontal="right" vertical="center"/>
    </xf>
    <xf numFmtId="164" fontId="0" fillId="6" borderId="15" xfId="0" applyNumberFormat="1" applyFill="1" applyBorder="1" applyAlignment="1">
      <alignment horizontal="right" vertical="center"/>
    </xf>
    <xf numFmtId="0" fontId="0" fillId="10" borderId="0" xfId="0" applyNumberFormat="1" applyFill="1" applyBorder="1" applyAlignment="1">
      <alignment vertical="top" wrapText="1"/>
    </xf>
    <xf numFmtId="0" fontId="2" fillId="4" borderId="22" xfId="0" applyNumberFormat="1" applyFont="1" applyFill="1" applyBorder="1" applyAlignment="1">
      <alignment vertical="top" wrapText="1"/>
    </xf>
    <xf numFmtId="164" fontId="3" fillId="4" borderId="15" xfId="0" applyNumberFormat="1" applyFont="1" applyFill="1" applyBorder="1" applyAlignment="1">
      <alignment horizontal="right" vertical="top"/>
    </xf>
    <xf numFmtId="0" fontId="0" fillId="10" borderId="0" xfId="0" applyFill="1" applyAlignment="1">
      <alignment vertical="top"/>
    </xf>
    <xf numFmtId="0" fontId="0" fillId="0" borderId="0" xfId="0" applyAlignment="1">
      <alignment vertical="top"/>
    </xf>
    <xf numFmtId="0" fontId="2" fillId="4" borderId="0" xfId="0" applyNumberFormat="1" applyFont="1" applyFill="1" applyBorder="1" applyAlignment="1">
      <alignment vertical="top" wrapText="1"/>
    </xf>
    <xf numFmtId="0" fontId="3" fillId="5" borderId="1" xfId="0" applyFont="1" applyFill="1" applyBorder="1" applyAlignment="1">
      <alignment horizontal="center" vertical="center"/>
    </xf>
    <xf numFmtId="1" fontId="2" fillId="5" borderId="5" xfId="0" applyNumberFormat="1" applyFont="1" applyFill="1" applyBorder="1" applyAlignment="1">
      <alignment vertical="center"/>
    </xf>
    <xf numFmtId="0" fontId="2" fillId="6" borderId="28" xfId="0" applyNumberFormat="1" applyFont="1" applyFill="1" applyBorder="1" applyAlignment="1">
      <alignment vertical="center"/>
    </xf>
    <xf numFmtId="0" fontId="2" fillId="6" borderId="29" xfId="0" applyNumberFormat="1" applyFont="1" applyFill="1" applyBorder="1" applyAlignment="1">
      <alignment vertical="center"/>
    </xf>
    <xf numFmtId="164" fontId="2" fillId="8" borderId="30" xfId="0" applyNumberFormat="1" applyFont="1" applyFill="1" applyBorder="1" applyAlignment="1">
      <alignment horizontal="right" vertical="center"/>
    </xf>
    <xf numFmtId="0" fontId="2" fillId="6" borderId="28" xfId="0" applyNumberFormat="1" applyFont="1" applyFill="1" applyBorder="1" applyAlignment="1">
      <alignment horizontal="left" vertical="center" wrapText="1"/>
    </xf>
    <xf numFmtId="0" fontId="2" fillId="6" borderId="29" xfId="0" applyFont="1" applyFill="1" applyBorder="1" applyAlignment="1">
      <alignment horizontal="left" vertical="center"/>
    </xf>
    <xf numFmtId="0" fontId="0" fillId="0" borderId="0" xfId="0" applyNumberFormat="1" applyFill="1" applyAlignment="1">
      <alignment horizontal="center" vertical="center" wrapText="1"/>
    </xf>
    <xf numFmtId="0" fontId="0" fillId="5" borderId="1" xfId="0" applyFill="1" applyBorder="1" applyAlignment="1">
      <alignment horizontal="center" vertical="center" wrapText="1"/>
    </xf>
    <xf numFmtId="0" fontId="3" fillId="5" borderId="1" xfId="0" applyFont="1" applyFill="1" applyBorder="1" applyAlignment="1">
      <alignment horizontal="center" vertical="center" wrapText="1"/>
    </xf>
    <xf numFmtId="0" fontId="0" fillId="10" borderId="0" xfId="0" applyNumberFormat="1" applyFill="1" applyAlignment="1">
      <alignment horizontal="center" vertical="center" wrapText="1"/>
    </xf>
    <xf numFmtId="0" fontId="0" fillId="0" borderId="0" xfId="0" applyNumberFormat="1" applyAlignment="1">
      <alignment horizontal="center" wrapText="1"/>
    </xf>
    <xf numFmtId="9" fontId="2" fillId="4" borderId="0" xfId="1" applyFont="1" applyFill="1" applyBorder="1" applyAlignment="1">
      <alignment vertical="center"/>
    </xf>
    <xf numFmtId="0" fontId="7" fillId="10" borderId="0" xfId="0" applyNumberFormat="1" applyFont="1" applyFill="1" applyBorder="1" applyAlignment="1">
      <alignment vertical="center"/>
    </xf>
    <xf numFmtId="0" fontId="8" fillId="9" borderId="26" xfId="0" applyNumberFormat="1" applyFont="1" applyFill="1" applyBorder="1" applyAlignment="1">
      <alignment vertical="center"/>
    </xf>
    <xf numFmtId="0" fontId="7" fillId="9" borderId="21" xfId="0" applyNumberFormat="1" applyFont="1" applyFill="1" applyBorder="1" applyAlignment="1">
      <alignment vertical="center"/>
    </xf>
    <xf numFmtId="164" fontId="8" fillId="9" borderId="27" xfId="0" applyNumberFormat="1" applyFont="1" applyFill="1" applyBorder="1" applyAlignment="1">
      <alignment horizontal="right" vertical="center"/>
    </xf>
    <xf numFmtId="0" fontId="7" fillId="10" borderId="0" xfId="0" applyFont="1" applyFill="1" applyAlignment="1">
      <alignment vertical="center"/>
    </xf>
    <xf numFmtId="0" fontId="7" fillId="0" borderId="0" xfId="0" applyFont="1" applyAlignment="1">
      <alignment vertical="center"/>
    </xf>
    <xf numFmtId="49" fontId="3" fillId="5" borderId="1" xfId="0" applyNumberFormat="1" applyFont="1" applyFill="1" applyBorder="1" applyAlignment="1">
      <alignment horizontal="center" vertical="center"/>
    </xf>
    <xf numFmtId="0" fontId="0" fillId="10" borderId="0" xfId="0" applyNumberFormat="1" applyFill="1" applyAlignment="1">
      <alignment horizontal="left"/>
    </xf>
    <xf numFmtId="0" fontId="0" fillId="0" borderId="0" xfId="0" applyNumberFormat="1" applyAlignment="1">
      <alignment horizontal="left"/>
    </xf>
    <xf numFmtId="0" fontId="2" fillId="2" borderId="31" xfId="0" applyNumberFormat="1" applyFont="1" applyFill="1" applyBorder="1" applyAlignment="1">
      <alignment horizontal="center" wrapText="1"/>
    </xf>
    <xf numFmtId="164" fontId="2" fillId="4" borderId="31" xfId="0" applyNumberFormat="1" applyFont="1" applyFill="1" applyBorder="1" applyAlignment="1">
      <alignment horizontal="center" wrapText="1"/>
    </xf>
    <xf numFmtId="164" fontId="2" fillId="5" borderId="31" xfId="0" applyNumberFormat="1" applyFont="1" applyFill="1" applyBorder="1" applyAlignment="1">
      <alignment horizontal="center" wrapText="1"/>
    </xf>
    <xf numFmtId="164" fontId="2" fillId="5" borderId="31"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6" borderId="31" xfId="1" applyNumberFormat="1" applyFont="1" applyFill="1" applyBorder="1" applyAlignment="1">
      <alignment horizontal="center" wrapText="1"/>
    </xf>
    <xf numFmtId="164" fontId="2" fillId="6" borderId="31" xfId="0" applyNumberFormat="1" applyFont="1" applyFill="1" applyBorder="1" applyAlignment="1">
      <alignment horizontal="center" wrapText="1"/>
    </xf>
    <xf numFmtId="9" fontId="2" fillId="6" borderId="31" xfId="1" applyFont="1" applyFill="1" applyBorder="1" applyAlignment="1">
      <alignment horizontal="center" wrapText="1"/>
    </xf>
    <xf numFmtId="0" fontId="2" fillId="6" borderId="32" xfId="1" applyNumberFormat="1" applyFont="1" applyFill="1" applyBorder="1" applyAlignment="1">
      <alignment horizontal="center" wrapText="1"/>
    </xf>
    <xf numFmtId="164" fontId="2" fillId="6" borderId="33" xfId="0" applyNumberFormat="1" applyFont="1" applyFill="1" applyBorder="1" applyAlignment="1">
      <alignment horizontal="center" wrapText="1"/>
    </xf>
    <xf numFmtId="0" fontId="9" fillId="10" borderId="3" xfId="0" applyNumberFormat="1" applyFont="1" applyFill="1" applyBorder="1" applyAlignment="1">
      <alignment wrapText="1"/>
    </xf>
    <xf numFmtId="9" fontId="3" fillId="0" borderId="6" xfId="1" applyFont="1" applyFill="1" applyBorder="1" applyAlignment="1">
      <alignment horizontal="center"/>
    </xf>
    <xf numFmtId="164" fontId="2" fillId="14" borderId="0" xfId="1" applyNumberFormat="1" applyFont="1" applyFill="1" applyBorder="1" applyAlignment="1">
      <alignment horizontal="center"/>
    </xf>
    <xf numFmtId="1" fontId="2" fillId="10" borderId="0" xfId="1" applyNumberFormat="1" applyFont="1" applyFill="1" applyAlignment="1">
      <alignment horizontal="center"/>
    </xf>
    <xf numFmtId="1" fontId="2" fillId="14" borderId="0" xfId="1" applyNumberFormat="1" applyFont="1" applyFill="1" applyBorder="1" applyAlignment="1">
      <alignment horizontal="center"/>
    </xf>
    <xf numFmtId="1" fontId="2" fillId="14" borderId="3" xfId="1" applyNumberFormat="1" applyFont="1" applyFill="1" applyBorder="1" applyAlignment="1">
      <alignment horizontal="center" wrapText="1"/>
    </xf>
    <xf numFmtId="1" fontId="3" fillId="0" borderId="5" xfId="1" applyNumberFormat="1" applyFont="1" applyFill="1" applyBorder="1" applyAlignment="1">
      <alignment horizontal="center"/>
    </xf>
    <xf numFmtId="1" fontId="2" fillId="0" borderId="0" xfId="1" applyNumberFormat="1" applyFont="1" applyFill="1" applyAlignment="1">
      <alignment horizontal="center"/>
    </xf>
    <xf numFmtId="164" fontId="2" fillId="14" borderId="3" xfId="1" applyNumberFormat="1" applyFont="1" applyFill="1" applyBorder="1" applyAlignment="1">
      <alignment horizontal="center" wrapText="1"/>
    </xf>
    <xf numFmtId="164" fontId="3" fillId="14" borderId="5" xfId="1" applyNumberFormat="1" applyFont="1" applyFill="1" applyBorder="1" applyAlignment="1">
      <alignment horizontal="center"/>
    </xf>
    <xf numFmtId="164" fontId="2" fillId="14" borderId="20" xfId="0" applyNumberFormat="1" applyFont="1" applyFill="1" applyBorder="1" applyAlignment="1">
      <alignment horizontal="center" wrapText="1"/>
    </xf>
    <xf numFmtId="164" fontId="2" fillId="14" borderId="0" xfId="0" applyNumberFormat="1" applyFont="1" applyFill="1" applyBorder="1" applyAlignment="1">
      <alignment vertical="center"/>
    </xf>
    <xf numFmtId="1" fontId="2" fillId="10" borderId="0" xfId="0" applyNumberFormat="1" applyFont="1" applyFill="1" applyAlignment="1">
      <alignment horizontal="center"/>
    </xf>
    <xf numFmtId="1" fontId="0" fillId="0" borderId="0" xfId="0" applyNumberFormat="1" applyAlignment="1">
      <alignment horizontal="center" vertical="center"/>
    </xf>
    <xf numFmtId="1" fontId="0" fillId="0" borderId="0" xfId="0" applyNumberFormat="1" applyFill="1" applyAlignment="1">
      <alignment horizontal="center" vertical="center"/>
    </xf>
    <xf numFmtId="1" fontId="2" fillId="14" borderId="20" xfId="0" applyNumberFormat="1" applyFont="1" applyFill="1" applyBorder="1" applyAlignment="1">
      <alignment horizontal="center" wrapText="1"/>
    </xf>
    <xf numFmtId="1" fontId="2" fillId="15" borderId="0" xfId="0" applyNumberFormat="1" applyFont="1" applyFill="1" applyBorder="1" applyAlignment="1">
      <alignment horizontal="center" vertical="center"/>
    </xf>
    <xf numFmtId="1" fontId="2" fillId="10" borderId="0" xfId="0" applyNumberFormat="1" applyFont="1" applyFill="1" applyAlignment="1">
      <alignment horizontal="center" vertical="center"/>
    </xf>
    <xf numFmtId="1" fontId="2" fillId="0" borderId="0" xfId="0" applyNumberFormat="1" applyFont="1" applyAlignment="1">
      <alignment horizontal="center"/>
    </xf>
    <xf numFmtId="1" fontId="0" fillId="5" borderId="2" xfId="2" applyNumberFormat="1" applyFont="1" applyFill="1" applyBorder="1" applyAlignment="1">
      <alignment horizontal="center" vertical="center"/>
    </xf>
    <xf numFmtId="1" fontId="0" fillId="10" borderId="0" xfId="2" applyNumberFormat="1" applyFont="1" applyFill="1" applyAlignment="1">
      <alignment horizontal="center"/>
    </xf>
    <xf numFmtId="1" fontId="0" fillId="0" borderId="0" xfId="2" applyNumberFormat="1" applyFont="1" applyAlignment="1">
      <alignment horizontal="center" vertical="center"/>
    </xf>
    <xf numFmtId="1" fontId="2" fillId="0" borderId="0" xfId="2" applyNumberFormat="1" applyFont="1" applyFill="1" applyBorder="1" applyAlignment="1">
      <alignment horizontal="left" vertical="center" wrapText="1"/>
    </xf>
    <xf numFmtId="1" fontId="2" fillId="7" borderId="20" xfId="2" applyNumberFormat="1" applyFont="1" applyFill="1" applyBorder="1" applyAlignment="1">
      <alignment horizontal="center"/>
    </xf>
    <xf numFmtId="1" fontId="0" fillId="5" borderId="1" xfId="2" applyNumberFormat="1" applyFont="1" applyFill="1" applyBorder="1" applyAlignment="1">
      <alignment horizontal="center" vertical="center"/>
    </xf>
    <xf numFmtId="1" fontId="0" fillId="10" borderId="0" xfId="2" applyNumberFormat="1" applyFont="1" applyFill="1" applyAlignment="1">
      <alignment horizontal="center" vertical="center"/>
    </xf>
    <xf numFmtId="1" fontId="0" fillId="0" borderId="0" xfId="2" applyNumberFormat="1" applyFont="1" applyAlignment="1">
      <alignment horizontal="center"/>
    </xf>
    <xf numFmtId="164" fontId="0" fillId="10" borderId="0" xfId="0" applyNumberFormat="1" applyFill="1" applyAlignment="1">
      <alignment vertical="center"/>
    </xf>
    <xf numFmtId="164" fontId="0" fillId="10" borderId="20" xfId="0" applyNumberFormat="1" applyFill="1" applyBorder="1"/>
    <xf numFmtId="164" fontId="3" fillId="0" borderId="5" xfId="1" applyNumberFormat="1" applyFont="1" applyFill="1" applyBorder="1" applyAlignment="1">
      <alignment horizontal="center"/>
    </xf>
    <xf numFmtId="0" fontId="2" fillId="7" borderId="5" xfId="0" applyFont="1" applyFill="1" applyBorder="1" applyAlignment="1">
      <alignment horizontal="center" vertical="center"/>
    </xf>
    <xf numFmtId="14" fontId="2" fillId="4" borderId="34" xfId="0" applyNumberFormat="1" applyFont="1" applyFill="1" applyBorder="1" applyAlignment="1">
      <alignment horizontal="center" vertical="center"/>
    </xf>
    <xf numFmtId="0" fontId="2" fillId="7" borderId="34" xfId="0" applyFont="1" applyFill="1" applyBorder="1" applyAlignment="1">
      <alignment horizontal="center" vertical="center"/>
    </xf>
    <xf numFmtId="0" fontId="2" fillId="7" borderId="35" xfId="0" applyFont="1" applyFill="1" applyBorder="1" applyAlignment="1">
      <alignment horizontal="center" vertical="center"/>
    </xf>
    <xf numFmtId="0" fontId="2" fillId="7" borderId="12" xfId="0" applyFont="1" applyFill="1" applyBorder="1" applyAlignment="1">
      <alignment vertical="center"/>
    </xf>
    <xf numFmtId="0" fontId="2" fillId="4" borderId="34" xfId="0" applyFont="1" applyFill="1" applyBorder="1" applyAlignment="1">
      <alignment horizontal="center" vertical="center"/>
    </xf>
    <xf numFmtId="0" fontId="2" fillId="7" borderId="10" xfId="0" applyFont="1" applyFill="1" applyBorder="1" applyAlignment="1">
      <alignment vertical="center"/>
    </xf>
    <xf numFmtId="14" fontId="0" fillId="0" borderId="0" xfId="0" applyNumberFormat="1" applyAlignment="1">
      <alignment horizontal="center"/>
    </xf>
    <xf numFmtId="14" fontId="3" fillId="0" borderId="0" xfId="0" applyNumberFormat="1" applyFont="1" applyAlignment="1">
      <alignment horizontal="center"/>
    </xf>
    <xf numFmtId="164" fontId="0" fillId="10" borderId="0" xfId="0" applyNumberFormat="1" applyFill="1" applyAlignment="1">
      <alignment horizontal="center" vertical="center"/>
    </xf>
    <xf numFmtId="164" fontId="2" fillId="6" borderId="23" xfId="0" applyNumberFormat="1" applyFont="1" applyFill="1" applyBorder="1" applyAlignment="1">
      <alignment horizontal="left" vertical="center"/>
    </xf>
    <xf numFmtId="164" fontId="2" fillId="6" borderId="24" xfId="0" applyNumberFormat="1" applyFont="1" applyFill="1" applyBorder="1" applyAlignment="1">
      <alignment horizontal="left" vertical="center"/>
    </xf>
    <xf numFmtId="0" fontId="2" fillId="7" borderId="11" xfId="0" applyFont="1" applyFill="1" applyBorder="1" applyAlignment="1">
      <alignment vertical="center"/>
    </xf>
    <xf numFmtId="0" fontId="2" fillId="7" borderId="14" xfId="0" applyFont="1" applyFill="1" applyBorder="1" applyAlignment="1">
      <alignment vertical="center"/>
    </xf>
    <xf numFmtId="0" fontId="2" fillId="7" borderId="3" xfId="0" applyFont="1" applyFill="1" applyBorder="1" applyAlignment="1">
      <alignment vertical="center"/>
    </xf>
    <xf numFmtId="164" fontId="2" fillId="7" borderId="13" xfId="0" applyNumberFormat="1" applyFont="1" applyFill="1" applyBorder="1" applyAlignment="1">
      <alignment vertical="center"/>
    </xf>
    <xf numFmtId="0" fontId="2" fillId="7" borderId="10" xfId="0" applyFont="1" applyFill="1" applyBorder="1" applyAlignment="1">
      <alignment horizontal="center" vertical="center"/>
    </xf>
    <xf numFmtId="49" fontId="3" fillId="5" borderId="2" xfId="0" applyNumberFormat="1" applyFont="1" applyFill="1" applyBorder="1" applyAlignment="1">
      <alignment horizontal="center" vertical="center" wrapText="1"/>
    </xf>
    <xf numFmtId="164" fontId="2" fillId="7" borderId="9" xfId="0" applyNumberFormat="1" applyFont="1" applyFill="1" applyBorder="1" applyAlignment="1">
      <alignment horizontal="left" vertical="center"/>
    </xf>
    <xf numFmtId="164" fontId="2" fillId="7" borderId="8" xfId="0" applyNumberFormat="1" applyFont="1" applyFill="1" applyBorder="1" applyAlignment="1">
      <alignment horizontal="left" vertical="center"/>
    </xf>
    <xf numFmtId="0" fontId="13" fillId="7" borderId="9" xfId="0" applyFont="1" applyFill="1" applyBorder="1" applyAlignment="1">
      <alignment vertical="center"/>
    </xf>
    <xf numFmtId="0" fontId="0" fillId="0" borderId="0" xfId="0" applyBorder="1" applyAlignment="1">
      <alignment vertical="center"/>
    </xf>
    <xf numFmtId="0" fontId="3" fillId="0" borderId="22" xfId="0" applyFont="1" applyBorder="1" applyAlignment="1">
      <alignment vertical="center"/>
    </xf>
    <xf numFmtId="0" fontId="3" fillId="0" borderId="0" xfId="0" applyFont="1" applyBorder="1" applyAlignment="1">
      <alignment vertical="center"/>
    </xf>
    <xf numFmtId="164" fontId="0" fillId="0" borderId="15" xfId="0" applyNumberFormat="1" applyBorder="1" applyAlignment="1">
      <alignment horizontal="right" vertical="center" wrapText="1"/>
    </xf>
    <xf numFmtId="0" fontId="0" fillId="0" borderId="22" xfId="0" applyNumberFormat="1" applyBorder="1" applyAlignment="1">
      <alignment vertical="center" wrapText="1"/>
    </xf>
    <xf numFmtId="164" fontId="3" fillId="0" borderId="15" xfId="0" applyNumberFormat="1" applyFont="1" applyBorder="1" applyAlignment="1">
      <alignment horizontal="right" vertical="center"/>
    </xf>
    <xf numFmtId="0" fontId="2" fillId="0" borderId="22" xfId="0" applyFont="1" applyBorder="1"/>
    <xf numFmtId="164" fontId="0" fillId="0" borderId="15" xfId="0" applyNumberFormat="1" applyBorder="1" applyAlignment="1">
      <alignment horizontal="right"/>
    </xf>
    <xf numFmtId="0" fontId="2" fillId="11" borderId="14" xfId="0" applyNumberFormat="1" applyFont="1" applyFill="1" applyBorder="1" applyAlignment="1">
      <alignment vertical="center"/>
    </xf>
    <xf numFmtId="0" fontId="0" fillId="11" borderId="3" xfId="0" applyFill="1" applyBorder="1"/>
    <xf numFmtId="164" fontId="0" fillId="12" borderId="37" xfId="0" applyNumberFormat="1" applyFill="1" applyBorder="1" applyAlignment="1">
      <alignment horizontal="right"/>
    </xf>
    <xf numFmtId="9" fontId="3" fillId="4" borderId="37" xfId="1" applyFont="1" applyFill="1" applyBorder="1" applyAlignment="1">
      <alignment horizontal="right" vertical="center"/>
    </xf>
    <xf numFmtId="164" fontId="2" fillId="6" borderId="25" xfId="0" applyNumberFormat="1" applyFont="1" applyFill="1" applyBorder="1" applyAlignment="1">
      <alignment vertical="center"/>
    </xf>
    <xf numFmtId="14" fontId="2" fillId="4" borderId="35" xfId="0" applyNumberFormat="1" applyFont="1" applyFill="1" applyBorder="1" applyAlignment="1">
      <alignment horizontal="center" vertical="center"/>
    </xf>
    <xf numFmtId="0" fontId="0" fillId="0" borderId="12" xfId="0" applyNumberFormat="1" applyBorder="1" applyAlignment="1">
      <alignment vertical="center"/>
    </xf>
    <xf numFmtId="0" fontId="0" fillId="0" borderId="0" xfId="0" applyNumberFormat="1" applyFill="1" applyBorder="1" applyAlignment="1">
      <alignment vertical="center"/>
    </xf>
    <xf numFmtId="0" fontId="2" fillId="0" borderId="0" xfId="0" applyFont="1" applyFill="1" applyBorder="1" applyAlignment="1">
      <alignment vertical="center"/>
    </xf>
    <xf numFmtId="0" fontId="0" fillId="0" borderId="0" xfId="0" applyFill="1" applyBorder="1"/>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164" fontId="2" fillId="0" borderId="0" xfId="0" applyNumberFormat="1" applyFont="1" applyFill="1" applyBorder="1" applyAlignment="1">
      <alignment vertical="center"/>
    </xf>
    <xf numFmtId="14" fontId="0" fillId="0" borderId="0" xfId="0" applyNumberFormat="1" applyFill="1" applyBorder="1"/>
    <xf numFmtId="0" fontId="0" fillId="0" borderId="0" xfId="0" applyFill="1" applyBorder="1" applyAlignment="1">
      <alignment horizontal="left"/>
    </xf>
    <xf numFmtId="0" fontId="2" fillId="0" borderId="0" xfId="0" applyFont="1" applyFill="1" applyBorder="1" applyAlignment="1">
      <alignment horizontal="left" vertical="center"/>
    </xf>
    <xf numFmtId="14" fontId="0" fillId="0" borderId="0" xfId="0" applyNumberFormat="1" applyFill="1" applyBorder="1" applyAlignment="1">
      <alignment horizontal="left"/>
    </xf>
    <xf numFmtId="0" fontId="14" fillId="0" borderId="0" xfId="0" applyNumberFormat="1" applyFont="1" applyAlignment="1">
      <alignment vertical="center"/>
    </xf>
    <xf numFmtId="0" fontId="15" fillId="7" borderId="22" xfId="0" applyFont="1" applyFill="1" applyBorder="1" applyAlignment="1">
      <alignment vertical="center"/>
    </xf>
    <xf numFmtId="0" fontId="15" fillId="7" borderId="0" xfId="0" applyFont="1" applyFill="1" applyBorder="1" applyAlignment="1">
      <alignment vertical="center"/>
    </xf>
    <xf numFmtId="0" fontId="15" fillId="7" borderId="34" xfId="0" applyFont="1" applyFill="1" applyBorder="1" applyAlignment="1">
      <alignment horizontal="center" vertical="center"/>
    </xf>
    <xf numFmtId="0" fontId="15" fillId="7" borderId="11" xfId="0" applyFont="1" applyFill="1" applyBorder="1" applyAlignment="1">
      <alignment vertical="center"/>
    </xf>
    <xf numFmtId="0" fontId="15" fillId="7" borderId="12" xfId="0" applyFont="1" applyFill="1" applyBorder="1" applyAlignment="1">
      <alignment vertical="center"/>
    </xf>
    <xf numFmtId="0" fontId="15" fillId="7" borderId="36" xfId="0" applyFont="1" applyFill="1" applyBorder="1" applyAlignment="1">
      <alignment horizontal="center" vertical="center"/>
    </xf>
    <xf numFmtId="14" fontId="15" fillId="4" borderId="34" xfId="0" applyNumberFormat="1" applyFont="1" applyFill="1" applyBorder="1" applyAlignment="1">
      <alignment horizontal="center" vertical="center"/>
    </xf>
    <xf numFmtId="0" fontId="14" fillId="0" borderId="0" xfId="0" applyNumberFormat="1" applyFont="1" applyAlignment="1">
      <alignment horizontal="center" vertical="center"/>
    </xf>
    <xf numFmtId="0" fontId="8" fillId="0" borderId="22" xfId="0" applyNumberFormat="1" applyFont="1" applyFill="1" applyBorder="1" applyAlignment="1">
      <alignment vertical="center"/>
    </xf>
    <xf numFmtId="0" fontId="7" fillId="0" borderId="0" xfId="0" applyNumberFormat="1" applyFont="1" applyFill="1" applyBorder="1" applyAlignment="1">
      <alignment vertical="center"/>
    </xf>
    <xf numFmtId="164" fontId="8" fillId="0" borderId="15" xfId="0" applyNumberFormat="1" applyFont="1" applyFill="1" applyBorder="1" applyAlignment="1">
      <alignment horizontal="right" vertical="center"/>
    </xf>
    <xf numFmtId="0" fontId="3" fillId="10" borderId="0" xfId="0" applyNumberFormat="1" applyFont="1" applyFill="1" applyBorder="1" applyAlignment="1">
      <alignment vertical="center"/>
    </xf>
    <xf numFmtId="164" fontId="15" fillId="5" borderId="10" xfId="0" applyNumberFormat="1" applyFont="1" applyFill="1" applyBorder="1" applyAlignment="1">
      <alignment vertical="center"/>
    </xf>
    <xf numFmtId="0" fontId="3" fillId="10" borderId="0" xfId="0" applyFont="1" applyFill="1" applyAlignment="1">
      <alignment vertical="center"/>
    </xf>
    <xf numFmtId="164" fontId="14" fillId="0" borderId="0" xfId="0" applyNumberFormat="1" applyFont="1" applyAlignment="1">
      <alignment vertical="center"/>
    </xf>
    <xf numFmtId="164" fontId="16" fillId="7" borderId="9" xfId="0" applyNumberFormat="1" applyFont="1" applyFill="1" applyBorder="1" applyAlignment="1">
      <alignment vertical="center" wrapText="1"/>
    </xf>
    <xf numFmtId="164" fontId="16" fillId="7" borderId="8" xfId="0" applyNumberFormat="1" applyFont="1" applyFill="1" applyBorder="1" applyAlignment="1">
      <alignment vertical="center" wrapText="1"/>
    </xf>
    <xf numFmtId="14" fontId="0" fillId="0" borderId="0" xfId="0" applyNumberFormat="1"/>
    <xf numFmtId="1" fontId="0" fillId="0" borderId="0" xfId="0" applyNumberFormat="1" applyFill="1" applyBorder="1"/>
    <xf numFmtId="1" fontId="2" fillId="0" borderId="0" xfId="0" applyNumberFormat="1" applyFont="1" applyFill="1" applyBorder="1" applyAlignment="1">
      <alignment horizontal="center" vertical="center"/>
    </xf>
    <xf numFmtId="1" fontId="0" fillId="0" borderId="0" xfId="0" applyNumberFormat="1"/>
    <xf numFmtId="164" fontId="18" fillId="16" borderId="10" xfId="0" applyNumberFormat="1" applyFont="1" applyFill="1" applyBorder="1" applyAlignment="1">
      <alignment vertical="center"/>
    </xf>
    <xf numFmtId="0" fontId="12" fillId="0" borderId="0" xfId="0" applyNumberFormat="1" applyFont="1" applyAlignment="1">
      <alignment vertical="center"/>
    </xf>
    <xf numFmtId="14" fontId="14" fillId="0" borderId="0" xfId="0" applyNumberFormat="1" applyFont="1" applyAlignment="1">
      <alignment vertical="center"/>
    </xf>
    <xf numFmtId="0" fontId="19" fillId="0" borderId="15" xfId="0" applyNumberFormat="1" applyFont="1" applyBorder="1" applyAlignment="1">
      <alignment vertical="top" wrapText="1"/>
    </xf>
    <xf numFmtId="0" fontId="21" fillId="0" borderId="0" xfId="0" applyNumberFormat="1" applyFont="1" applyBorder="1" applyAlignment="1">
      <alignment vertical="center" wrapText="1"/>
    </xf>
    <xf numFmtId="0" fontId="19" fillId="0" borderId="0" xfId="0" applyNumberFormat="1" applyFont="1" applyAlignment="1">
      <alignment vertical="center" wrapText="1"/>
    </xf>
    <xf numFmtId="14" fontId="13" fillId="5" borderId="5" xfId="0" applyNumberFormat="1" applyFont="1" applyFill="1" applyBorder="1" applyAlignment="1">
      <alignment horizontal="center" vertical="center"/>
    </xf>
    <xf numFmtId="164" fontId="2" fillId="7" borderId="36" xfId="0" applyNumberFormat="1" applyFont="1" applyFill="1" applyBorder="1" applyAlignment="1">
      <alignment horizontal="center" wrapText="1"/>
    </xf>
    <xf numFmtId="164" fontId="0" fillId="5" borderId="38" xfId="0" applyNumberFormat="1" applyFill="1" applyBorder="1" applyAlignment="1">
      <alignment horizontal="center" vertical="center"/>
    </xf>
    <xf numFmtId="164" fontId="0" fillId="5" borderId="39" xfId="0" applyNumberFormat="1" applyFill="1" applyBorder="1" applyAlignment="1">
      <alignment horizontal="center" vertical="center"/>
    </xf>
    <xf numFmtId="0" fontId="6" fillId="0" borderId="40" xfId="0" applyFont="1" applyBorder="1"/>
    <xf numFmtId="0" fontId="6" fillId="0" borderId="41" xfId="0" applyFont="1" applyBorder="1"/>
    <xf numFmtId="0" fontId="6" fillId="0" borderId="0" xfId="0" applyFont="1" applyBorder="1"/>
    <xf numFmtId="0" fontId="3" fillId="0" borderId="0" xfId="0" applyFont="1" applyBorder="1"/>
    <xf numFmtId="49" fontId="3" fillId="0" borderId="0" xfId="0" applyNumberFormat="1" applyFont="1" applyBorder="1" applyAlignment="1">
      <alignment horizontal="center"/>
    </xf>
    <xf numFmtId="0" fontId="6" fillId="17" borderId="0" xfId="0" applyFont="1" applyFill="1" applyBorder="1"/>
    <xf numFmtId="164" fontId="6" fillId="17" borderId="0" xfId="0" applyNumberFormat="1" applyFont="1" applyFill="1" applyBorder="1" applyAlignment="1">
      <alignment horizontal="center"/>
    </xf>
    <xf numFmtId="164" fontId="6" fillId="0" borderId="0" xfId="0" applyNumberFormat="1" applyFont="1" applyBorder="1" applyAlignment="1">
      <alignment horizontal="center"/>
    </xf>
    <xf numFmtId="0" fontId="3" fillId="17" borderId="0" xfId="0" applyFont="1" applyFill="1" applyBorder="1"/>
    <xf numFmtId="49" fontId="3" fillId="17" borderId="0" xfId="0" applyNumberFormat="1" applyFont="1" applyFill="1" applyBorder="1" applyAlignment="1">
      <alignment horizontal="center"/>
    </xf>
    <xf numFmtId="0" fontId="6" fillId="0" borderId="0" xfId="0" applyFont="1" applyFill="1" applyBorder="1"/>
    <xf numFmtId="0" fontId="3" fillId="0" borderId="0" xfId="0" applyNumberFormat="1" applyFont="1" applyAlignment="1">
      <alignment horizontal="center"/>
    </xf>
    <xf numFmtId="0" fontId="6" fillId="0" borderId="43" xfId="0" applyFont="1" applyBorder="1"/>
    <xf numFmtId="0" fontId="5" fillId="6" borderId="0" xfId="0" applyFont="1" applyFill="1"/>
    <xf numFmtId="164" fontId="3" fillId="0" borderId="0" xfId="1" applyNumberFormat="1" applyFont="1"/>
    <xf numFmtId="0" fontId="22" fillId="0" borderId="44" xfId="0" applyFont="1" applyFill="1" applyBorder="1" applyAlignment="1">
      <alignment vertical="center"/>
    </xf>
    <xf numFmtId="0" fontId="0" fillId="0" borderId="0" xfId="0" applyFill="1"/>
    <xf numFmtId="0" fontId="3" fillId="0" borderId="0" xfId="0" applyFont="1" applyFill="1" applyBorder="1"/>
    <xf numFmtId="1" fontId="3" fillId="0" borderId="0" xfId="0" applyNumberFormat="1" applyFont="1" applyFill="1" applyBorder="1"/>
    <xf numFmtId="14" fontId="3" fillId="0" borderId="0" xfId="0" applyNumberFormat="1" applyFont="1" applyFill="1" applyBorder="1"/>
    <xf numFmtId="14" fontId="2" fillId="0" borderId="0" xfId="0" applyNumberFormat="1"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alignment horizontal="left"/>
    </xf>
    <xf numFmtId="9" fontId="3" fillId="0" borderId="0" xfId="1" applyFont="1" applyAlignment="1"/>
    <xf numFmtId="0" fontId="4" fillId="13" borderId="42" xfId="0" applyFont="1" applyFill="1" applyBorder="1"/>
    <xf numFmtId="49" fontId="4" fillId="13" borderId="42" xfId="0" applyNumberFormat="1" applyFont="1" applyFill="1" applyBorder="1"/>
    <xf numFmtId="0" fontId="3" fillId="0" borderId="0" xfId="0" applyFont="1" applyFill="1"/>
    <xf numFmtId="0" fontId="2" fillId="0" borderId="0" xfId="0" applyFont="1" applyFill="1" applyBorder="1"/>
    <xf numFmtId="0" fontId="23" fillId="10" borderId="0" xfId="0" applyFont="1" applyFill="1" applyAlignment="1">
      <alignment vertical="center"/>
    </xf>
    <xf numFmtId="0" fontId="20" fillId="0" borderId="0" xfId="0" applyNumberFormat="1" applyFont="1" applyAlignment="1">
      <alignment horizontal="left" vertical="top"/>
    </xf>
    <xf numFmtId="164" fontId="2" fillId="9" borderId="16" xfId="0" applyNumberFormat="1" applyFont="1" applyFill="1" applyBorder="1" applyAlignment="1">
      <alignment horizontal="left" vertical="center" wrapText="1"/>
    </xf>
    <xf numFmtId="164" fontId="2" fillId="9" borderId="17" xfId="0" applyNumberFormat="1" applyFont="1" applyFill="1" applyBorder="1" applyAlignment="1">
      <alignment horizontal="left" vertical="center" wrapText="1"/>
    </xf>
    <xf numFmtId="164" fontId="2" fillId="9" borderId="18" xfId="0" applyNumberFormat="1" applyFont="1" applyFill="1" applyBorder="1" applyAlignment="1">
      <alignment horizontal="left" vertical="center" wrapText="1"/>
    </xf>
    <xf numFmtId="0" fontId="19" fillId="0" borderId="0" xfId="0" applyNumberFormat="1" applyFont="1" applyAlignment="1">
      <alignment horizontal="left" vertical="top" wrapText="1"/>
    </xf>
    <xf numFmtId="0" fontId="19" fillId="0" borderId="0" xfId="0" applyNumberFormat="1" applyFont="1" applyBorder="1" applyAlignment="1">
      <alignment horizontal="left" vertical="top" wrapText="1"/>
    </xf>
    <xf numFmtId="9" fontId="2" fillId="6" borderId="8" xfId="1" applyFont="1" applyFill="1" applyBorder="1" applyAlignment="1">
      <alignment horizontal="left" vertical="center" wrapText="1"/>
    </xf>
    <xf numFmtId="164" fontId="17" fillId="16" borderId="9" xfId="0" applyNumberFormat="1" applyFont="1" applyFill="1" applyBorder="1" applyAlignment="1">
      <alignment horizontal="left" vertical="center" wrapText="1"/>
    </xf>
    <xf numFmtId="164" fontId="17" fillId="16" borderId="8" xfId="0" applyNumberFormat="1" applyFont="1" applyFill="1" applyBorder="1" applyAlignment="1">
      <alignment horizontal="left" vertical="center" wrapText="1"/>
    </xf>
    <xf numFmtId="164" fontId="17" fillId="16" borderId="10" xfId="0" applyNumberFormat="1" applyFont="1" applyFill="1" applyBorder="1" applyAlignment="1">
      <alignment horizontal="left" vertical="center" wrapText="1"/>
    </xf>
    <xf numFmtId="0" fontId="12" fillId="0" borderId="0" xfId="0" applyNumberFormat="1" applyFont="1" applyAlignment="1">
      <alignment horizontal="left" vertical="center" wrapText="1"/>
    </xf>
    <xf numFmtId="164" fontId="13" fillId="5" borderId="9" xfId="0" applyNumberFormat="1" applyFont="1" applyFill="1" applyBorder="1" applyAlignment="1">
      <alignment horizontal="center" vertical="center"/>
    </xf>
    <xf numFmtId="164" fontId="13" fillId="5" borderId="10" xfId="0" applyNumberFormat="1" applyFont="1" applyFill="1" applyBorder="1" applyAlignment="1">
      <alignment horizontal="center" vertical="center"/>
    </xf>
    <xf numFmtId="0" fontId="12" fillId="0" borderId="0" xfId="0" applyNumberFormat="1" applyFont="1" applyBorder="1" applyAlignment="1">
      <alignment horizontal="left" vertical="center" wrapText="1"/>
    </xf>
    <xf numFmtId="0" fontId="19" fillId="0" borderId="0" xfId="0" applyNumberFormat="1" applyFont="1" applyBorder="1" applyAlignment="1">
      <alignment horizontal="center" vertical="center" wrapText="1"/>
    </xf>
    <xf numFmtId="1" fontId="15" fillId="0" borderId="12" xfId="2" applyNumberFormat="1" applyFont="1" applyFill="1" applyBorder="1" applyAlignment="1">
      <alignment horizontal="center" vertical="center" wrapText="1"/>
    </xf>
    <xf numFmtId="0" fontId="2" fillId="7" borderId="9" xfId="0" applyFont="1" applyFill="1" applyBorder="1" applyAlignment="1">
      <alignment horizontal="left" vertical="center" wrapText="1"/>
    </xf>
    <xf numFmtId="0" fontId="2" fillId="7" borderId="8" xfId="0" applyFont="1" applyFill="1" applyBorder="1" applyAlignment="1">
      <alignment horizontal="left" vertical="center" wrapText="1"/>
    </xf>
    <xf numFmtId="0" fontId="19" fillId="0" borderId="0" xfId="0" applyNumberFormat="1" applyFont="1" applyAlignment="1">
      <alignment horizontal="left" vertical="center" wrapText="1"/>
    </xf>
    <xf numFmtId="164" fontId="2" fillId="3" borderId="4" xfId="1" applyNumberFormat="1" applyFont="1" applyFill="1" applyBorder="1" applyAlignment="1">
      <alignment horizontal="center"/>
    </xf>
    <xf numFmtId="164" fontId="2" fillId="4" borderId="4" xfId="0" applyNumberFormat="1" applyFont="1" applyFill="1" applyBorder="1" applyAlignment="1">
      <alignment horizontal="center"/>
    </xf>
    <xf numFmtId="164" fontId="2" fillId="5" borderId="4" xfId="0" applyNumberFormat="1" applyFont="1" applyFill="1" applyBorder="1" applyAlignment="1">
      <alignment horizontal="center"/>
    </xf>
    <xf numFmtId="164" fontId="2" fillId="6" borderId="4" xfId="1" applyNumberFormat="1" applyFont="1" applyFill="1" applyBorder="1" applyAlignment="1">
      <alignment horizontal="center"/>
    </xf>
    <xf numFmtId="0" fontId="5" fillId="6" borderId="0" xfId="0" applyFont="1" applyFill="1" applyAlignment="1">
      <alignment horizontal="center"/>
    </xf>
  </cellXfs>
  <cellStyles count="4">
    <cellStyle name="Comma" xfId="2" builtinId="3"/>
    <cellStyle name="Normal" xfId="0" builtinId="0"/>
    <cellStyle name="Normal 2" xfId="3" xr:uid="{E5AE7D96-7FCD-4F62-A276-A1CF3D17B9F4}"/>
    <cellStyle name="Percent" xfId="1" builtinId="5"/>
  </cellStyles>
  <dxfs count="180">
    <dxf>
      <font>
        <b/>
        <i val="0"/>
        <color theme="0"/>
      </font>
      <fill>
        <patternFill>
          <bgColor rgb="FFFF0000"/>
        </patternFill>
      </fill>
    </dxf>
    <dxf>
      <font>
        <color rgb="FFC00000"/>
      </font>
    </dxf>
    <dxf>
      <font>
        <b/>
        <i val="0"/>
        <color theme="0"/>
      </font>
      <fill>
        <patternFill>
          <bgColor rgb="FFFF0000"/>
        </patternFill>
      </fill>
    </dxf>
    <dxf>
      <font>
        <b/>
        <i val="0"/>
        <color theme="5" tint="-0.499984740745262"/>
      </font>
      <fill>
        <patternFill>
          <bgColor theme="5" tint="0.79998168889431442"/>
        </patternFill>
      </fil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ill>
        <patternFill patternType="none">
          <fgColor indexed="64"/>
          <bgColor indexed="65"/>
        </patternFill>
      </fill>
      <alignment horizontal="left" textRotation="0" wrapText="0" indent="0" justifyLastLine="0" shrinkToFit="0" readingOrder="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dxf>
    <dxf>
      <numFmt numFmtId="165" formatCode="m/d/yyyy"/>
      <fill>
        <patternFill patternType="none">
          <fgColor indexed="64"/>
          <bgColor indexed="65"/>
        </patternFill>
      </fill>
    </dxf>
    <dxf>
      <font>
        <b/>
        <i val="0"/>
        <strike val="0"/>
        <condense val="0"/>
        <extend val="0"/>
        <outline val="0"/>
        <shadow val="0"/>
        <u val="none"/>
        <vertAlign val="baseline"/>
        <sz val="11"/>
        <color indexed="8"/>
        <name val="Calibri"/>
        <family val="2"/>
        <scheme val="none"/>
      </font>
      <numFmt numFmtId="165"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65"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65"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65"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65"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numFmt numFmtId="165" formatCode="m/d/yyyy"/>
      <alignment horizontal="center" vertical="bottom" textRotation="0" wrapText="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alignment horizontal="center" vertical="bottom" textRotation="0" wrapText="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alignment horizontal="center" vertical="bottom" textRotation="0" wrapText="0" indent="0" justifyLastLine="0" shrinkToFit="0" readingOrder="0"/>
    </dxf>
    <dxf>
      <alignment vertical="bottom" textRotation="0" indent="0" justifyLastLine="0" shrinkToFit="0" readingOrder="0"/>
    </dxf>
    <dxf>
      <numFmt numFmtId="0" formatCode="General"/>
    </dxf>
    <dxf>
      <numFmt numFmtId="164" formatCode="&quot;$&quot;#,##0.00"/>
      <alignment horizontal="right"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alignment horizontal="center" vertical="bottom" textRotation="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numFmt numFmtId="164" formatCode="&quot;$&quot;#,##0.0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dxf>
    <dxf>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color theme="1"/>
        <family val="2"/>
      </font>
      <numFmt numFmtId="164" formatCode="&quot;$&quot;#,##0.00"/>
      <border diagonalUp="0" diagonalDown="0">
        <left style="thin">
          <color theme="4"/>
        </left>
        <right/>
        <top style="thin">
          <color theme="4"/>
        </top>
        <bottom style="thin">
          <color theme="4"/>
        </bottom>
        <vertical/>
        <horizontal/>
      </border>
    </dxf>
    <dxf>
      <font>
        <b val="0"/>
        <i val="0"/>
        <strike val="0"/>
        <condense val="0"/>
        <extend val="0"/>
        <outline val="0"/>
        <shadow val="0"/>
        <u val="none"/>
        <vertAlign val="baseline"/>
        <sz val="11"/>
        <color indexed="8"/>
        <name val="Calibri"/>
        <family val="2"/>
        <scheme val="none"/>
      </font>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numFmt numFmtId="30" formatCode="@"/>
    </dxf>
    <dxf>
      <alignment vertical="bottom" textRotation="0" indent="0" justifyLastLine="0" shrinkToFit="0" readingOrder="0"/>
    </dxf>
    <dxf>
      <numFmt numFmtId="164" formatCode="&quot;$&quot;#,##0.00"/>
    </dxf>
    <dxf>
      <numFmt numFmtId="164" formatCode="&quot;$&quot;#,##0.00"/>
    </dxf>
    <dxf>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numFmt numFmtId="30" formatCode="@"/>
    </dxf>
    <dxf>
      <font>
        <b val="0"/>
        <i val="0"/>
        <strike val="0"/>
        <condense val="0"/>
        <extend val="0"/>
        <outline val="0"/>
        <shadow val="0"/>
        <u val="none"/>
        <vertAlign val="baseline"/>
        <sz val="11"/>
        <color indexed="8"/>
        <name val="Calibri"/>
        <family val="2"/>
        <scheme val="none"/>
      </font>
      <numFmt numFmtId="30" formatCode="@"/>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font>
        <b val="0"/>
        <i val="0"/>
        <strike val="0"/>
        <condense val="0"/>
        <extend val="0"/>
        <outline val="0"/>
        <shadow val="0"/>
        <u val="none"/>
        <vertAlign val="baseline"/>
        <sz val="11"/>
        <color indexed="8"/>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fill>
        <patternFill patternType="solid">
          <fgColor theme="0" tint="-0.14999847407452621"/>
          <bgColor theme="0" tint="-0.14999847407452621"/>
        </patternFill>
      </fill>
    </dxf>
    <dxf>
      <numFmt numFmtId="164" formatCode="&quot;$&quot;#,##0.00"/>
    </dxf>
    <dxf>
      <font>
        <b val="0"/>
        <i val="0"/>
        <strike val="0"/>
        <condense val="0"/>
        <extend val="0"/>
        <outline val="0"/>
        <shadow val="0"/>
        <u val="none"/>
        <vertAlign val="baseline"/>
        <sz val="11"/>
        <color indexed="8"/>
        <name val="Calibri"/>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i val="0"/>
        <strike val="0"/>
        <condense val="0"/>
        <extend val="0"/>
        <outline val="0"/>
        <shadow val="0"/>
        <u val="none"/>
        <vertAlign val="baseline"/>
        <sz val="11"/>
        <color indexed="8"/>
        <name val="Calibri"/>
        <family val="2"/>
        <scheme val="none"/>
      </font>
      <numFmt numFmtId="164" formatCode="&quot;$&quot;#,##0.0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fill>
        <patternFill patternType="solid">
          <fgColor indexed="64"/>
          <bgColor theme="1" tint="0.34998626667073579"/>
        </patternFill>
      </fill>
      <border outline="0">
        <left style="thin">
          <color indexed="64"/>
        </left>
      </border>
    </dxf>
    <dxf>
      <font>
        <b val="0"/>
        <i val="0"/>
        <strike val="0"/>
        <condense val="0"/>
        <extend val="0"/>
        <outline val="0"/>
        <shadow val="0"/>
        <u val="none"/>
        <vertAlign val="baseline"/>
        <sz val="11"/>
        <color indexed="8"/>
        <name val="Calibri"/>
        <family val="2"/>
        <scheme val="none"/>
      </font>
      <numFmt numFmtId="164" formatCode="&quot;$&quot;#,##0.00"/>
      <fill>
        <patternFill patternType="solid">
          <fgColor indexed="64"/>
          <bgColor theme="2" tint="0.5999938962981048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i val="0"/>
        <strike val="0"/>
        <condense val="0"/>
        <extend val="0"/>
        <outline val="0"/>
        <shadow val="0"/>
        <u val="none"/>
        <vertAlign val="baseline"/>
        <sz val="11"/>
        <color indexed="8"/>
        <name val="Calibri"/>
        <family val="2"/>
        <scheme val="none"/>
      </font>
      <numFmt numFmtId="164" formatCode="&quot;$&quot;#,##0.0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i val="0"/>
        <strike val="0"/>
        <condense val="0"/>
        <extend val="0"/>
        <outline val="0"/>
        <shadow val="0"/>
        <u val="none"/>
        <vertAlign val="baseline"/>
        <sz val="11"/>
        <color indexed="8"/>
        <name val="Calibri"/>
        <family val="2"/>
        <scheme val="none"/>
      </font>
      <numFmt numFmtId="164" formatCode="&quot;$&quot;#,##0.00"/>
      <fill>
        <patternFill patternType="solid">
          <fgColor indexed="64"/>
          <bgColor rgb="FF92D050"/>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right style="thin">
          <color indexed="8"/>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Calibri"/>
        <family val="2"/>
        <scheme val="none"/>
      </font>
      <numFmt numFmtId="164" formatCode="&quot;$&quot;#,##0.00"/>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i val="0"/>
        <strike val="0"/>
        <condense val="0"/>
        <extend val="0"/>
        <outline val="0"/>
        <shadow val="0"/>
        <u val="none"/>
        <vertAlign val="baseline"/>
        <sz val="11"/>
        <color indexed="8"/>
        <name val="Calibri"/>
        <family val="2"/>
        <scheme val="none"/>
      </font>
      <numFmt numFmtId="164" formatCode="&quot;$&quot;#,##0.00"/>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i val="0"/>
        <strike val="0"/>
        <condense val="0"/>
        <extend val="0"/>
        <outline val="0"/>
        <shadow val="0"/>
        <u val="none"/>
        <vertAlign val="baseline"/>
        <sz val="11"/>
        <color indexed="8"/>
        <name val="Calibri"/>
        <family val="2"/>
        <scheme val="none"/>
      </font>
      <numFmt numFmtId="0" formatCode="Genera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i val="0"/>
        <strike val="0"/>
        <condense val="0"/>
        <extend val="0"/>
        <outline val="0"/>
        <shadow val="0"/>
        <u val="none"/>
        <vertAlign val="baseline"/>
        <sz val="11"/>
        <color indexed="8"/>
        <name val="Calibri"/>
        <family val="2"/>
        <scheme val="none"/>
      </font>
      <numFmt numFmtId="0" formatCode="Genera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10"/>
        </top>
      </border>
    </dxf>
    <dxf>
      <border outline="0">
        <bottom style="thin">
          <color indexed="64"/>
        </bottom>
      </border>
    </dxf>
    <dxf>
      <alignment vertical="bottom" textRotation="0" wrapText="1" indent="0" justifyLastLine="0" shrinkToFit="0" readingOrder="0"/>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82780C4-BBD3-41DE-BE76-A6B43218C21F}" name="Pricing_Details" displayName="Pricing_Details" ref="B3:AQ303" totalsRowShown="0" headerRowDxfId="179" headerRowBorderDxfId="178" tableBorderDxfId="177">
  <autoFilter ref="B3:AQ303" xr:uid="{282780C4-BBD3-41DE-BE76-A6B43218C21F}"/>
  <tableColumns count="42">
    <tableColumn id="1" xr3:uid="{D0BBF51C-3B8C-4D99-8DAD-35070BFB8BF4}" name="#" dataDxfId="176">
      <calculatedColumnFormula>'Bulk Order Details'!B14</calculatedColumnFormula>
    </tableColumn>
    <tableColumn id="2" xr3:uid="{1E443C48-4F2A-4AB4-A862-44DBB27DF5FE}" name="Name" dataDxfId="175">
      <calculatedColumnFormula>IF('Bulk Order Details'!C14="","",'Bulk Order Details'!C14&amp;" "&amp;'Bulk Order Details'!D14)</calculatedColumnFormula>
    </tableColumn>
    <tableColumn id="3" xr3:uid="{AEBB02E9-F180-4313-96F2-8865FABB5906}" name="Base Price" dataDxfId="174">
      <calculatedColumnFormula>IF('Bulk Order Details'!M14="","",VLOOKUP(1,Price[],3))</calculatedColumnFormula>
    </tableColumn>
    <tableColumn id="4" xr3:uid="{BDE17664-9CD3-4ADC-96C0-88076E926529}" name="Discounted Price" dataDxfId="173">
      <calculatedColumnFormula>IF('Bulk Order Details'!M14="","",Summary!$D$9)</calculatedColumnFormula>
    </tableColumn>
    <tableColumn id="5" xr3:uid="{3E79313F-6491-4924-A8BF-16AC3AD249FB}" name="Size" dataDxfId="172">
      <calculatedColumnFormula>IF('Bulk Order Details'!I14="","",_xlfn.XLOOKUP('Bulk Order Details'!I14,Size[Display],Size[Price]))</calculatedColumnFormula>
    </tableColumn>
    <tableColumn id="6" xr3:uid="{EB009EA7-569C-4DCB-A381-B00FEED03735}" name="Length" dataDxfId="171">
      <calculatedColumnFormula>IF('Bulk Order Details'!J14="","",_xlfn.XLOOKUP('Bulk Order Details'!J14,Length[Display],Length[Price]))</calculatedColumnFormula>
    </tableColumn>
    <tableColumn id="7" xr3:uid="{4B57067D-2BBC-4A39-8839-097B3CD0F7A1}" name="Collection" dataDxfId="170">
      <calculatedColumnFormula>IF('Bulk Order Details'!K14="","",_xlfn.XLOOKUP('Bulk Order Details'!K14,Collection[Display],Collection[Price]))</calculatedColumnFormula>
    </tableColumn>
    <tableColumn id="8" xr3:uid="{0F0FC785-E892-49B7-8D48-59EBAC022A9D}" name="Sleeve" dataDxfId="169">
      <calculatedColumnFormula>IF('Bulk Order Details'!L14="","",_xlfn.XLOOKUP('Bulk Order Details'!L14,Sleeve[Display],Sleeve[Price]))</calculatedColumnFormula>
    </tableColumn>
    <tableColumn id="9" xr3:uid="{88A1A131-5AD1-41ED-B559-89ACC100F051}" name="Collar" dataDxfId="168">
      <calculatedColumnFormula>IF('Bulk Order Details'!M14="","",_xlfn.XLOOKUP('Bulk Order Details'!M14,Collar[Display],Collar[Price]))</calculatedColumnFormula>
    </tableColumn>
    <tableColumn id="10" xr3:uid="{789CA4BB-38B2-4AE1-B1D6-A4FBBDAC9776}" name="Name on Back" dataDxfId="167">
      <calculatedColumnFormula>IF('Bulk Order Details'!N14="","",_xlfn.XLOOKUP("Name",Name[Name],Name[Price]))</calculatedColumnFormula>
    </tableColumn>
    <tableColumn id="11" xr3:uid="{BA9D535A-63BA-40AC-AEAF-0E523A417763}" name="Front Logo" dataDxfId="166">
      <calculatedColumnFormula>IFERROR(IF('Bulk Order Details'!R14="","",IF(_xlfn.XLOOKUP('Bulk Order Details'!R14,Logos[Display],Logos[Use])="Flat",_xlfn.XLOOKUP('Bulk Order Details'!R14,Logos[Display],Logos[Flat]),ROUND(_xlfn.XLOOKUP('Bulk Order Details'!R14,Logos[Display],Logos[Pct])*$E4,2))),"")</calculatedColumnFormula>
    </tableColumn>
    <tableColumn id="12" xr3:uid="{38BEA7E0-0280-4B6B-807B-73F47E2946BD}" name="Left Chest" dataDxfId="165">
      <calculatedColumnFormula>IFERROR(IF('Bulk Order Details'!S14="","",IF(_xlfn.XLOOKUP('Bulk Order Details'!S14,Chest[Display],Chest[Use])="Flat",_xlfn.XLOOKUP('Bulk Order Details'!S14,Chest[Display],Chest[Flat]),ROUND(_xlfn.XLOOKUP('Bulk Order Details'!S14,Chest[Display],Chest[Pct])*$E4,2))),"")</calculatedColumnFormula>
    </tableColumn>
    <tableColumn id="13" xr3:uid="{E09CA6EB-59F0-4F12-A2AD-54BE4C3784D7}" name="Right Chest" dataDxfId="164">
      <calculatedColumnFormula>IFERROR(IF('Bulk Order Details'!T14="","",IF(_xlfn.XLOOKUP('Bulk Order Details'!T14,Chest[Display],Chest[Use])="Flat",_xlfn.XLOOKUP('Bulk Order Details'!T14,Chest[Display],Chest[Flat]),ROUND(_xlfn.XLOOKUP('Bulk Order Details'!T14,Chest[Display],Chest[Pct])*$E4,2))),"")</calculatedColumnFormula>
    </tableColumn>
    <tableColumn id="14" xr3:uid="{671C4446-8432-4712-9903-5548CAF4E053}" name="Left Sleeve" dataDxfId="163">
      <calculatedColumnFormula>IFERROR(IF('Bulk Order Details'!U14="","",IF(_xlfn.XLOOKUP('Bulk Order Details'!U14,LeftSleeve[Display],LeftSleeve[Use])="Flat",_xlfn.XLOOKUP('Bulk Order Details'!U14,LeftSleeve[Display],LeftSleeve[Flat]),ROUND(_xlfn.XLOOKUP('Bulk Order Details'!U14,LeftSleeve[Display],LeftSleeve[Pct])*$E4,2))),"")</calculatedColumnFormula>
    </tableColumn>
    <tableColumn id="15" xr3:uid="{C1A5E57E-3E5B-4FE2-8050-A08FF28C05E9}" name="Right Sleeve" dataDxfId="162">
      <calculatedColumnFormula>IFERROR(IF('Bulk Order Details'!V14="","",IF(_xlfn.XLOOKUP('Bulk Order Details'!V14,RightSleeve[Display],RightSleeve[Use])="Flat",_xlfn.XLOOKUP('Bulk Order Details'!V14,RightSleeve[Display],RightSleeve[Flat]),ROUND(_xlfn.XLOOKUP('Bulk Order Details'!V14,RightSleeve[Display],RightSleeve[Pct])*$E4,2))),"")</calculatedColumnFormula>
    </tableColumn>
    <tableColumn id="16" xr3:uid="{F9E8F2E2-3937-4B87-B3A6-327D1EB98C8B}" name="Total Add Ons" dataDxfId="161">
      <calculatedColumnFormula>IF('Bulk Order Details'!M14="","",SUM(F4:P4))</calculatedColumnFormula>
    </tableColumn>
    <tableColumn id="17" xr3:uid="{B60A82A6-5269-4C56-A686-F50B20D44535}" name="Volume Discount" dataDxfId="160">
      <calculatedColumnFormula>IFERROR(E4-D4,"")</calculatedColumnFormula>
    </tableColumn>
    <tableColumn id="18" xr3:uid="{27DCEC35-357F-4F51-B305-542E58F17E58}" name="FREE Collar" dataDxfId="159">
      <calculatedColumnFormula>IFERROR(MIN(IF(Summary!$D$11="Yes",-J4,0),IF(H4&gt;0,-J4,0)),"")</calculatedColumnFormula>
    </tableColumn>
    <tableColumn id="19" xr3:uid="{2344A39D-D49B-4DB7-8C45-CB4E6E732318}" name="FREE Name" dataDxfId="158">
      <calculatedColumnFormula>IFERROR(IF(Summary!$D$10="Yes",-K4,""),"")</calculatedColumnFormula>
    </tableColumn>
    <tableColumn id="20" xr3:uid="{12CACECC-8D9C-4C7B-B7F1-8B18A82BA111}" name="FREE Logo" dataDxfId="157">
      <calculatedColumnFormula>IFERROR(IF(Summary!$D$12="Yes",-L4,""),"")</calculatedColumnFormula>
    </tableColumn>
    <tableColumn id="21" xr3:uid="{2EF12252-F4DE-4665-9DC5-9C1908269FAA}" name="Total Discount" dataDxfId="156">
      <calculatedColumnFormula>IF('Bulk Order Details'!M14="","",SUM(R4:U4))</calculatedColumnFormula>
    </tableColumn>
    <tableColumn id="22" xr3:uid="{93F02AAF-E537-469E-A883-C86B8021D18F}" name="Retail Price" dataDxfId="155">
      <calculatedColumnFormula>IF('Bulk Order Details'!M14="","",D4+Q4)</calculatedColumnFormula>
    </tableColumn>
    <tableColumn id="23" xr3:uid="{1F671EE1-9EA0-415D-96C7-05C273413766}" name="Actual Price" dataDxfId="154">
      <calculatedColumnFormula>IF('Bulk Order Details'!M14="","",D4+Q4+V4)</calculatedColumnFormula>
    </tableColumn>
    <tableColumn id="24" xr3:uid="{E803B4EC-67E3-4AB5-B3B2-4D7845791BEE}" name="Pct Savings" dataDxfId="153">
      <calculatedColumnFormula>IFERROR((W4-X4)/W4,"")</calculatedColumnFormula>
    </tableColumn>
    <tableColumn id="40" xr3:uid="{ADA612AD-BCAB-49AE-AE35-0CD265570C6A}" name="Quantity" dataDxfId="152">
      <calculatedColumnFormula>IF('Bulk Order Details'!M14="","",MAX(1,'Bulk Order Details'!G14))</calculatedColumnFormula>
    </tableColumn>
    <tableColumn id="41" xr3:uid="{CC333D23-04E9-40AC-8FD9-BB8767E6ABEA}" name="Retail" dataDxfId="151">
      <calculatedColumnFormula>IF(Pricing_Details[[#This Row],[Quantity]]="","",Pricing_Details[[#This Row],[Retail Price]]*Pricing_Details[[#This Row],[Quantity]])</calculatedColumnFormula>
    </tableColumn>
    <tableColumn id="42" xr3:uid="{3AE8DB22-BCF3-4068-B5C1-49AD3825CD08}" name="Discount" dataDxfId="150">
      <calculatedColumnFormula>IF(Pricing_Details[[#This Row],[Quantity]]="","",Pricing_Details[[#This Row],[Total Discount]]*Pricing_Details[[#This Row],[Quantity]])</calculatedColumnFormula>
    </tableColumn>
    <tableColumn id="39" xr3:uid="{819A03F6-7395-4D24-95DC-A0FE555BF7C6}" name="Total" dataDxfId="149">
      <calculatedColumnFormula>IFERROR(ROUND(Pricing_Details[[#This Row],[Actual Price]]*Pricing_Details[[#This Row],[Quantity]],2),"")</calculatedColumnFormula>
    </tableColumn>
    <tableColumn id="25" xr3:uid="{8FF04BC4-9A45-4E45-A88D-B9096EE525CC}" name="X" dataDxfId="148"/>
    <tableColumn id="26" xr3:uid="{01512FCA-7C79-42B0-AE9F-6B24832A84F5}" name="Style" dataDxfId="147">
      <calculatedColumnFormula>IF('Bulk Order Details'!M14="","",VLOOKUP('Bulk Order Details'!K14,Collection[],3)&amp;VLOOKUP('Bulk Order Details'!M14,Collar[],4)&amp;VLOOKUP('Bulk Order Details'!L14,Sleeve[],4))</calculatedColumnFormula>
    </tableColumn>
    <tableColumn id="27" xr3:uid="{6FCB8253-3149-4C9F-AA37-6557BEF99009}" name="Size2" dataDxfId="146">
      <calculatedColumnFormula>IF('Bulk Order Details'!M14="","",LOOKUP('Bulk Order Details'!H14,Cut[Display],Cut[Code])&amp;LOOKUP('Bulk Order Details'!I14,#REF!,#REF!)&amp;IF('Bulk Order Details'!J14="","",LOOKUP('Bulk Order Details'!J14,Length[Display],Length[Code])))</calculatedColumnFormula>
    </tableColumn>
    <tableColumn id="28" xr3:uid="{C172F4FA-D934-4C78-86B4-B62918A69403}" name="SKU" dataDxfId="145">
      <calculatedColumnFormula>IF('Bulk Order Details'!M14="","",IF('Bulk Order Details'!F14="","",'Bulk Order Details'!F14))</calculatedColumnFormula>
    </tableColumn>
    <tableColumn id="29" xr3:uid="{CCB99BA2-FB67-408B-A233-E149E318C3A5}" name="Front Logo3" dataDxfId="144">
      <calculatedColumnFormula>IF('Bulk Order Details'!R14="","","-"&amp;LOOKUP('Bulk Order Details'!R14,#REF!,#REF!))</calculatedColumnFormula>
    </tableColumn>
    <tableColumn id="30" xr3:uid="{AA1045F6-3C9D-4484-8F98-5EEFEEEFDA52}" name="Left Chest4" dataDxfId="143">
      <calculatedColumnFormula>IF('Bulk Order Details'!S14="","","-"&amp;LOOKUP('Bulk Order Details'!S14,#REF!,#REF!))</calculatedColumnFormula>
    </tableColumn>
    <tableColumn id="31" xr3:uid="{42837B53-180F-42B3-9B1B-407C435AF661}" name="Right Chest5" dataDxfId="142">
      <calculatedColumnFormula>IF('Bulk Order Details'!T14="","","-"&amp;LOOKUP('Bulk Order Details'!T14,#REF!,#REF!))</calculatedColumnFormula>
    </tableColumn>
    <tableColumn id="32" xr3:uid="{5B4A07C7-2278-4804-9E7B-219EC696428E}" name="Left Sleeve6" dataDxfId="141">
      <calculatedColumnFormula>IF('Bulk Order Details'!U14="","","-"&amp;LOOKUP('Bulk Order Details'!U14,#REF!,#REF!))</calculatedColumnFormula>
    </tableColumn>
    <tableColumn id="33" xr3:uid="{AF95A136-561A-4042-A06B-A211F6A1EBEC}" name="Right Sleeve7" dataDxfId="140">
      <calculatedColumnFormula>IF('Bulk Order Details'!V14="","","-"&amp;LOOKUP('Bulk Order Details'!V14,#REF!,#REF!))</calculatedColumnFormula>
    </tableColumn>
    <tableColumn id="34" xr3:uid="{9E2768FB-502B-42E9-B53A-5FF37808B16C}" name="Logo" dataDxfId="139">
      <calculatedColumnFormula>IF(_xlfn.CONCAT(AH4:AL4)="","","Lo"&amp;_xlfn.CONCAT(AH4:AL4))</calculatedColumnFormula>
    </tableColumn>
    <tableColumn id="35" xr3:uid="{687420CA-1DA9-469D-A6C9-401304A09680}" name="Name8" dataDxfId="138">
      <calculatedColumnFormula>IF('Bulk Order Details'!N14="","","Na-"&amp;'Bulk Order Details'!N14)</calculatedColumnFormula>
    </tableColumn>
    <tableColumn id="36" xr3:uid="{AF1692D4-F14E-4C31-B2EE-732C872BD3C4}" name="Font" dataDxfId="137">
      <calculatedColumnFormula>IF('Bulk Order Details'!Q14="","","Fo-"&amp;'Bulk Order Details'!Q14)</calculatedColumnFormula>
    </tableColumn>
    <tableColumn id="37" xr3:uid="{1628C2BF-66D5-4B6B-B203-94DADF238E6B}" name="Full SKU" dataDxfId="136">
      <calculatedColumnFormula>IF(AE4="","",AE4&amp;"_"&amp;AF4&amp;"_"&amp;AG4&amp;IF(AM4="","","_"&amp;AM4)&amp;IF(AN4="","","_"&amp;AN4)&amp;IF(AO4="","","_"&amp;AO4))</calculatedColumnFormula>
    </tableColumn>
    <tableColumn id="38" xr3:uid="{28695410-A5EF-4AC0-A890-CB599A98759A}" name="Actual Price9" dataDxfId="135">
      <calculatedColumnFormula>IF(X4="","",X4)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553455-EE6D-4BFA-AD53-CCA57B4EC1E4}" name="Collar" displayName="Collar" ref="AF2:AM38" totalsRowShown="0" headerRowDxfId="134">
  <autoFilter ref="AF2:AM38" xr:uid="{EC553455-EE6D-4BFA-AD53-CCA57B4EC1E4}"/>
  <sortState xmlns:xlrd2="http://schemas.microsoft.com/office/spreadsheetml/2017/richdata2" ref="AF2:AJ3">
    <sortCondition ref="AG2"/>
  </sortState>
  <tableColumns count="8">
    <tableColumn id="1" xr3:uid="{07682BE0-32F2-4F59-8ACB-A6A4C2286F57}" name="Collar" dataDxfId="133"/>
    <tableColumn id="5" xr3:uid="{2416BFA6-8F07-40DF-AFCA-793458F0C0AC}" name="Order" dataDxfId="132"/>
    <tableColumn id="4" xr3:uid="{D2B0F010-DC80-4B2F-9456-1782697F2DE4}" name="Display" dataDxfId="131">
      <calculatedColumnFormula>Collar[[#This Row],[Collar]]&amp;IF(Collar[[#This Row],[Price]]="",""," (+"&amp;TEXT(Collar[[#This Row],[Price]],"$0.00"&amp;")"))</calculatedColumnFormula>
    </tableColumn>
    <tableColumn id="2" xr3:uid="{CFE7A695-A980-4277-8D06-2DDC21088D45}" name="Code" dataDxfId="130"/>
    <tableColumn id="3" xr3:uid="{5A7B4E8B-B67F-40A0-B623-426C62A1C316}" name="Price" dataDxfId="129"/>
    <tableColumn id="6" xr3:uid="{76C1FEB8-3BE8-424A-A7BF-A2D97C6CEE30}" name="Sleeve"/>
    <tableColumn id="7" xr3:uid="{814BC8BC-64E8-455C-9BA9-16E706186BD0}" name="Collection"/>
    <tableColumn id="8" xr3:uid="{C841F8AA-3B69-4AC6-8111-DF766AFE1175}" name="C&amp;S" dataDxfId="128">
      <calculatedColumnFormula>Collar[[#This Row],[Collection]]&amp;Collar[[#This Row],[Sleeve]]</calculatedColumnFormula>
    </tableColumn>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88C352-883C-4C48-95E4-423BA66528AE}" name="Cut" displayName="Cut" ref="E2:I6" totalsRowShown="0" headerRowDxfId="127" dataDxfId="126">
  <autoFilter ref="E2:I6" xr:uid="{2F88C352-883C-4C48-95E4-423BA66528AE}"/>
  <sortState xmlns:xlrd2="http://schemas.microsoft.com/office/spreadsheetml/2017/richdata2" ref="E3:G5">
    <sortCondition ref="E2:E5"/>
  </sortState>
  <tableColumns count="5">
    <tableColumn id="1" xr3:uid="{49F63A61-547A-4F01-AB2A-3583D3595D5B}" name="Display" dataDxfId="125"/>
    <tableColumn id="2" xr3:uid="{1407840F-D457-4B2D-8965-A93382801171}" name="Code" dataDxfId="124"/>
    <tableColumn id="3" xr3:uid="{1A97CFE9-1F9B-4862-9216-90A780A9687F}" name="Price" dataDxfId="123"/>
    <tableColumn id="4" xr3:uid="{2AA55838-216C-4E4A-A6AB-3E2A7221400C}" name="Cut" dataDxfId="122"/>
    <tableColumn id="5" xr3:uid="{8EA21928-40AA-4A5A-9ABE-B0DBDB716D64}" name="Line" dataDxfId="121"/>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A08CA8-FC5E-4AD8-9A13-015E6C46F1B0}" name="Size" displayName="Size" ref="AU2:AZ33" totalsRowShown="0" headerRowDxfId="120">
  <autoFilter ref="AU2:AZ33" xr:uid="{F6A08CA8-FC5E-4AD8-9A13-015E6C46F1B0}"/>
  <sortState xmlns:xlrd2="http://schemas.microsoft.com/office/spreadsheetml/2017/richdata2" ref="AU3:AZ33">
    <sortCondition ref="AV2:AV33"/>
  </sortState>
  <tableColumns count="6">
    <tableColumn id="1" xr3:uid="{4759ED37-DAA5-4060-BB3D-B1CBE1836FCC}" name="Size" dataDxfId="119"/>
    <tableColumn id="7" xr3:uid="{5F3C26F8-80C7-49B2-9DB5-35620051CA93}" name="Order" dataDxfId="118"/>
    <tableColumn id="5" xr3:uid="{44EC4407-CC06-4AE0-AF37-15E98FA60BDF}" name="Display" dataDxfId="117">
      <calculatedColumnFormula>Size[[#This Row],[Size]]&amp;IF(Size[[#This Row],[Price]]="",""," (+"&amp;TEXT(Size[[#This Row],[Price]],"$0.00")&amp;")")</calculatedColumnFormula>
    </tableColumn>
    <tableColumn id="2" xr3:uid="{7542AE9D-1A7F-4AF9-8587-8377704CD59F}" name="Code" dataDxfId="116"/>
    <tableColumn id="3" xr3:uid="{40620377-1C30-40AD-847B-0639704D3F5A}" name="Price" dataDxfId="115"/>
    <tableColumn id="4" xr3:uid="{197AE671-013E-48D2-8E2B-2659015434CD}" name="Cut" dataDxfId="114"/>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A8E1D4-58C9-45E6-AB34-B1E1F0F99B12}" name="Length" displayName="Length" ref="BG2:BJ5" totalsRowShown="0" headerRowDxfId="113">
  <autoFilter ref="BG2:BJ5" xr:uid="{9AA8E1D4-58C9-45E6-AB34-B1E1F0F99B12}"/>
  <sortState xmlns:xlrd2="http://schemas.microsoft.com/office/spreadsheetml/2017/richdata2" ref="BG3:BJ5">
    <sortCondition ref="BG2:BG5"/>
  </sortState>
  <tableColumns count="4">
    <tableColumn id="1" xr3:uid="{7B1A2C16-C98A-4194-922C-0AC018E6AEEA}" name="Length" dataDxfId="112"/>
    <tableColumn id="4" xr3:uid="{7E864965-42BB-4C0C-AC43-5F80E6CC8A0A}" name="Display" dataDxfId="111">
      <calculatedColumnFormula>Length[[#This Row],[Length]]&amp;IF(Length[[#This Row],[Price]]="",""," (+"&amp;TEXT(Length[[#This Row],[Price]],"$0.00"&amp;")"))</calculatedColumnFormula>
    </tableColumn>
    <tableColumn id="2" xr3:uid="{89F85880-DCC2-4244-BF76-FEF42B793BC5}" name="Code" dataDxfId="110"/>
    <tableColumn id="3" xr3:uid="{7CD9AC83-A09C-42FA-9807-5906F160F46F}" name="Price" dataDxfId="109"/>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008701-B05F-43C7-9B8D-E04862C95CE2}" name="Price" displayName="Price" ref="A2:C7" totalsRowShown="0" headerRowDxfId="108">
  <autoFilter ref="A2:C7" xr:uid="{73008701-B05F-43C7-9B8D-E04862C95CE2}"/>
  <tableColumns count="3">
    <tableColumn id="1" xr3:uid="{7C9E35D8-9507-4995-940A-5A47E867C858}" name="Quantity"/>
    <tableColumn id="2" xr3:uid="{F531D3C0-0BD8-425E-A413-E177650CAC3B}" name="Discount"/>
    <tableColumn id="3" xr3:uid="{7E6CE342-451E-4D24-80A5-0C0F0CA49ED4}" name="Cost" dataDxfId="107">
      <calculatedColumnFormula>$C$3*(1-B3)</calculatedColumnFormula>
    </tableColumn>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4A40EA3-D14A-4162-BD75-6C19B7E75CBC}" name="Logos" displayName="Logos" ref="BL2:BR23" totalsRowShown="0" headerRowDxfId="106">
  <autoFilter ref="BL2:BR23" xr:uid="{14A40EA3-D14A-4162-BD75-6C19B7E75CBC}"/>
  <sortState xmlns:xlrd2="http://schemas.microsoft.com/office/spreadsheetml/2017/richdata2" ref="BL3:BP22">
    <sortCondition ref="BM2:BM22"/>
  </sortState>
  <tableColumns count="7">
    <tableColumn id="1" xr3:uid="{66B39210-37EA-43CB-9E52-BF034A2E1103}" name="Logos" dataDxfId="105"/>
    <tableColumn id="5" xr3:uid="{98D93BCB-839A-450F-8C91-4425527095CA}" name="Order" dataDxfId="104"/>
    <tableColumn id="4" xr3:uid="{8C8C3BCE-7319-457A-9E85-F627417464D6}" name="Display" dataDxfId="103">
      <calculatedColumnFormula>Logos[[#This Row],[Logos]]&amp;" (10% of base price)"</calculatedColumnFormula>
    </tableColumn>
    <tableColumn id="2" xr3:uid="{DF1E94A6-2D29-4408-9A96-E826AE9C985C}" name="Code" dataDxfId="102"/>
    <tableColumn id="3" xr3:uid="{DAF975AE-D010-481B-B3E4-478406AA7996}" name="Pct" dataDxfId="101"/>
    <tableColumn id="6" xr3:uid="{6C05C425-4AC8-4E44-8EA4-D9D1EC363322}" name="Flat" dataDxfId="100"/>
    <tableColumn id="7" xr3:uid="{BB7B3E93-0447-4289-9539-7938EEC379E6}" name="Use" dataDxfId="99"/>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C849DAC-F8E9-400C-907B-CADD9249FB3B}" name="Sleeve" displayName="Sleeve" ref="V2:AA7" totalsRowShown="0" headerRowDxfId="98">
  <autoFilter ref="V2:AA7" xr:uid="{0C849DAC-F8E9-400C-907B-CADD9249FB3B}"/>
  <sortState xmlns:xlrd2="http://schemas.microsoft.com/office/spreadsheetml/2017/richdata2" ref="V3:AA5">
    <sortCondition ref="W2:W5"/>
  </sortState>
  <tableColumns count="6">
    <tableColumn id="1" xr3:uid="{435255F1-CD2E-4032-A7B8-442EE8843B6B}" name="Sleeve" dataDxfId="97"/>
    <tableColumn id="5" xr3:uid="{264F71CF-657F-4549-8D00-182DA8A77216}" name="Order" dataDxfId="96"/>
    <tableColumn id="4" xr3:uid="{9B3E4199-C259-49FB-B144-A05F0AE18AAA}" name="Display" dataDxfId="95">
      <calculatedColumnFormula>Sleeve[[#This Row],[Sleeve]]&amp;IF(Sleeve[[#This Row],[Price]]="",""," (+"&amp;TEXT(Sleeve[[#This Row],[Price]],"$0.00"&amp;")"))</calculatedColumnFormula>
    </tableColumn>
    <tableColumn id="2" xr3:uid="{51066A9A-777C-4B1D-8C88-C6A3CF80F68C}" name="Code" dataDxfId="94"/>
    <tableColumn id="6" xr3:uid="{4122D0D8-3749-4AA9-9151-89DE226E0E55}" name="Price" dataDxfId="93"/>
    <tableColumn id="3" xr3:uid="{C27D3E9A-5581-42D3-8C10-908CEF8F9BCC}" name="Line" dataDxfId="92"/>
  </tableColumns>
  <tableStyleInfo name="TableStyleMedium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68F403D-07CE-4262-B351-06864C49E86A}" name="NameDirection" displayName="NameDirection" ref="CW2:CW4" totalsRowShown="0" headerRowDxfId="91" dataDxfId="90">
  <autoFilter ref="CW2:CW4" xr:uid="{A68F403D-07CE-4262-B351-06864C49E86A}"/>
  <tableColumns count="1">
    <tableColumn id="1" xr3:uid="{09CAF89F-C645-4ED9-9C34-139A93AF5217}" name="Name Direction" dataDxfId="89"/>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1C265E0-7C11-4B03-BA92-32AF8271AB21}" name="Name" displayName="Name" ref="CR2:CS3" totalsRowShown="0" headerRowDxfId="88">
  <autoFilter ref="CR2:CS3" xr:uid="{A1C265E0-7C11-4B03-BA92-32AF8271AB21}"/>
  <tableColumns count="2">
    <tableColumn id="1" xr3:uid="{E334E768-B395-4982-A403-45FB35E0B538}" name="Name" dataDxfId="87"/>
    <tableColumn id="2" xr3:uid="{56AB6238-DEAE-4EF6-8684-962D485FDFCA}" name="Price" dataDxfId="86"/>
  </tableColumns>
  <tableStyleInfo name="TableStyleMedium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2D55021-215F-41FC-99B8-CF4A275ED9B6}" name="Collection" displayName="Collection" ref="P2:T4" totalsRowShown="0" headerRowDxfId="85">
  <autoFilter ref="P2:T4" xr:uid="{82D55021-215F-41FC-99B8-CF4A275ED9B6}"/>
  <sortState xmlns:xlrd2="http://schemas.microsoft.com/office/spreadsheetml/2017/richdata2" ref="P3:S4">
    <sortCondition ref="P2:P4"/>
  </sortState>
  <tableColumns count="5">
    <tableColumn id="1" xr3:uid="{67E79F22-8042-4AAC-BA4A-BD889A6C65CF}" name="Collection" dataDxfId="84"/>
    <tableColumn id="4" xr3:uid="{9559F9A2-2EE0-4A89-8051-C79167043D55}" name="Display" dataDxfId="83">
      <calculatedColumnFormula>Collection[[#This Row],[Collection]]&amp;IF(Collection[[#This Row],[Price]]="",""," (+"&amp;TEXT(Collection[[#This Row],[Price]],"$0.00"&amp;")"))</calculatedColumnFormula>
    </tableColumn>
    <tableColumn id="2" xr3:uid="{FDDF2977-2F85-47B7-BD49-D616F993E224}" name="Code" dataDxfId="82"/>
    <tableColumn id="3" xr3:uid="{BF8E6E02-B27E-48B2-9EFD-A063B5284BEB}" name="Price" dataDxfId="81"/>
    <tableColumn id="5" xr3:uid="{87682CAE-BE88-4EE5-9C41-0F2F69FE5E42}" name="Line" dataDxfId="80"/>
  </tableColumns>
  <tableStyleInfo name="TableStyleMedium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1D8B66-F08E-40A5-A566-53FAAC5CA026}" name="ProductionPriority" displayName="ProductionPriority" ref="DC2:DI5" totalsRowShown="0" headerRowDxfId="79">
  <autoFilter ref="DC2:DI5" xr:uid="{D41D8B66-F08E-40A5-A566-53FAAC5CA026}"/>
  <tableColumns count="7">
    <tableColumn id="1" xr3:uid="{F0F57B3D-1058-48D6-AB2B-D1C278B94ABD}" name="Production" dataDxfId="78"/>
    <tableColumn id="3" xr3:uid="{EA8BFC4D-833B-4694-A895-F541A8AF4E68}" name="Display" dataDxfId="77">
      <calculatedColumnFormula>ProductionPriority[[#This Row],[Production]]&amp;IF(ProductionPriority[[#This Row],[Price]]="",""," +"&amp;TEXT(ProductionPriority[[#This Row],[Price]],"00%"))</calculatedColumnFormula>
    </tableColumn>
    <tableColumn id="2" xr3:uid="{3C610753-0F95-4F17-8DC9-9F0F492B5E43}" name="Price"/>
    <tableColumn id="6" xr3:uid="{848B7B78-61A8-4827-A228-A7B2B796147E}" name="Upgrade"/>
    <tableColumn id="4" xr3:uid="{78E97930-82B6-4377-A383-EF8B999713CC}" name="Minimum" dataDxfId="76"/>
    <tableColumn id="7" xr3:uid="{5B2FD710-D258-4B76-9ED5-0F0490B1F74B}" name="Actual" dataCellStyle="Percent">
      <calculatedColumnFormula>IF(_xlfn.XLOOKUP(CustGroup,CustomerGroup[Customer Groups],CustomerGroup[Free Express Production])="Yes",ProductionPriority[[#This Row],[Upgrade]],ProductionPriority[[#This Row],[Price]])</calculatedColumnFormula>
    </tableColumn>
    <tableColumn id="8" xr3:uid="{41417E1E-3510-457E-928B-78C78DC33CEA}" name="Fee" dataDxfId="75">
      <calculatedColumnFormula>ROUNDUP(IF(ProductionPriority[[#This Row],[Actual]]&gt;0,MAX(ProductionPriority[[#This Row],[Minimum]],BOD_Subtotal*ProductionPriority[[#This Row],[Actual]]),0),2)</calculatedColumnFormula>
    </tableColumn>
  </tableColumns>
  <tableStyleInfo name="TableStyleMedium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89AE70A-4E4C-497D-9A07-C42BBCFBB3A4}" name="Chest" displayName="Chest" ref="BT2:BZ12" totalsRowShown="0" headerRowDxfId="74">
  <autoFilter ref="BT2:BZ12" xr:uid="{B89AE70A-4E4C-497D-9A07-C42BBCFBB3A4}"/>
  <sortState xmlns:xlrd2="http://schemas.microsoft.com/office/spreadsheetml/2017/richdata2" ref="BT2:BX3">
    <sortCondition ref="BU2"/>
  </sortState>
  <tableColumns count="7">
    <tableColumn id="1" xr3:uid="{EBD09BEA-17B7-4CA3-906F-D506D751B64A}" name="Logos" dataDxfId="73"/>
    <tableColumn id="5" xr3:uid="{BE06A8BB-E537-41CC-A2E2-B71CF05DD6B0}" name="Order" dataDxfId="72"/>
    <tableColumn id="4" xr3:uid="{B6E3879D-325D-4A8A-8DBF-E12C84B6A485}" name="Display" dataDxfId="71">
      <calculatedColumnFormula>Chest[[#This Row],[Logos]]&amp;IF(BZ3="","",IF(Chest[[#This Row],[Use]]="Flat"," (+"&amp;TEXT(Chest[[#This Row],[Flat]],"$0.00")&amp;")"," (+"&amp;TEXT(Chest[[#This Row],[Pct]],"0%")&amp;" of base price)"))</calculatedColumnFormula>
    </tableColumn>
    <tableColumn id="2" xr3:uid="{72580BEA-1795-4FC0-96A0-3B5A4E19D8B5}" name="Code" dataDxfId="70"/>
    <tableColumn id="3" xr3:uid="{2F6F12E3-BEDC-4E75-9E54-391127440219}" name="Pct" dataDxfId="69"/>
    <tableColumn id="6" xr3:uid="{CDCE7DA8-BB32-4095-A069-6F7C24753D1B}" name="Flat" dataDxfId="68"/>
    <tableColumn id="7" xr3:uid="{9435534D-5993-4F10-A099-DC67B0FF88F1}" name="Use" dataDxfId="67"/>
  </tableColumns>
  <tableStyleInfo name="TableStyleMedium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61EBF6-A6A2-4746-A401-C892C62F561F}" name="Font" displayName="Font" ref="CY2:DA8" totalsRowShown="0" headerRowDxfId="66">
  <autoFilter ref="CY2:DA8" xr:uid="{FA61EBF6-A6A2-4746-A401-C892C62F561F}"/>
  <sortState xmlns:xlrd2="http://schemas.microsoft.com/office/spreadsheetml/2017/richdata2" ref="CY3:DA8">
    <sortCondition ref="CY2:CY8"/>
  </sortState>
  <tableColumns count="3">
    <tableColumn id="1" xr3:uid="{77BFD56C-B0F0-40E6-B672-B1BC45BB75D4}" name="Font" dataDxfId="65"/>
    <tableColumn id="2" xr3:uid="{228F3D95-75F0-45BB-8790-D3FD0CAC002C}" name="Code" dataDxfId="64"/>
    <tableColumn id="3" xr3:uid="{EDAB7DDA-B59B-4674-9B22-D59AC28D0104}" name="Price" dataDxfId="63"/>
  </tableColumns>
  <tableStyleInfo name="TableStyleMedium1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1868B4-FC29-4C40-91BD-4779BD121C01}" name="LeftSleeve" displayName="LeftSleeve" ref="CB2:CH15" totalsRowShown="0" headerRowDxfId="62">
  <autoFilter ref="CB2:CH15" xr:uid="{0A1868B4-FC29-4C40-91BD-4779BD121C01}"/>
  <sortState xmlns:xlrd2="http://schemas.microsoft.com/office/spreadsheetml/2017/richdata2" ref="CB3:CF4">
    <sortCondition ref="CC2:CC4"/>
  </sortState>
  <tableColumns count="7">
    <tableColumn id="1" xr3:uid="{276B1DC9-444E-4EFB-BF5D-C419581763E2}" name="Logos" dataDxfId="61"/>
    <tableColumn id="5" xr3:uid="{31DAFD67-55E1-4A34-A8CC-20ECF05A014A}" name="Order" dataDxfId="60"/>
    <tableColumn id="4" xr3:uid="{94562DEB-7A6A-4EA0-AECF-0916C55B20FC}" name="Display" dataDxfId="59">
      <calculatedColumnFormula>LeftSleeve[[#This Row],[Logos]]&amp;IF(LeftSleeve[[#This Row],[Use]]="","",IF(LeftSleeve[[#This Row],[Use]]="Flat"," (+"&amp;TEXT(LeftSleeve[[#This Row],[Flat]],"$0.00")&amp;")"," (+"&amp;TEXT(LeftSleeve[[#This Row],[Pct]],"0%")&amp;" of base price)"))</calculatedColumnFormula>
    </tableColumn>
    <tableColumn id="2" xr3:uid="{B4D7E611-20FD-4D53-9B0A-237029987626}" name="Code" dataDxfId="58"/>
    <tableColumn id="3" xr3:uid="{59A7A27D-ECC1-49C5-9F77-E688DEF5712D}" name="Pct" dataDxfId="57"/>
    <tableColumn id="7" xr3:uid="{3C400BEA-2B3F-457B-98A5-43B4809F9B30}" name="Flat" dataDxfId="56"/>
    <tableColumn id="8" xr3:uid="{8FE94A10-757A-4286-8D35-D70C2A5D4671}" name="Use" dataDxfId="55"/>
  </tableColumns>
  <tableStyleInfo name="TableStyleMedium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83DDB8E-4B07-4990-A8A7-208D34FA648A}" name="CustomerGroup" displayName="CustomerGroup" ref="EN2:EX20" totalsRowShown="0" headerRowDxfId="54">
  <autoFilter ref="EN2:EX20" xr:uid="{C83DDB8E-4B07-4990-A8A7-208D34FA648A}"/>
  <sortState xmlns:xlrd2="http://schemas.microsoft.com/office/spreadsheetml/2017/richdata2" ref="EN3:EX20">
    <sortCondition ref="EN2:EN20"/>
  </sortState>
  <tableColumns count="11">
    <tableColumn id="1" xr3:uid="{4831CE99-5EA0-4B2A-A668-6263C07B5459}" name="Customer Groups" dataDxfId="53"/>
    <tableColumn id="2" xr3:uid="{C066CCE3-132B-4E62-A2CF-0FAE6F04FAD3}" name="Order Discount" dataDxfId="52"/>
    <tableColumn id="3" xr3:uid="{76AA62BB-2336-4915-AB7B-A60B3ED4DB5B}" name="Base Price Discount" dataDxfId="51"/>
    <tableColumn id="4" xr3:uid="{06D4B05E-F170-446B-AA33-75DA9318F658}" name="Free Name" dataDxfId="50"/>
    <tableColumn id="5" xr3:uid="{D5F0F9FD-ADE0-4853-B76A-EBA6D7103B36}" name="Free Collar" dataDxfId="49"/>
    <tableColumn id="7" xr3:uid="{D504CB9F-FC30-420E-8246-45CBAE27563B}" name="Free Logo" dataDxfId="48"/>
    <tableColumn id="6" xr3:uid="{5C120B4D-35EF-4A6C-B5D1-9B88C269A339}" name="Free Coaches Jersey" dataDxfId="47"/>
    <tableColumn id="8" xr3:uid="{609E4402-92ED-40BC-9486-0565F2880BB0}" name="Free Express Production" dataDxfId="46"/>
    <tableColumn id="11" xr3:uid="{67FF5AF9-AE8B-4C20-AAD3-80610E25F87E}" name="Bulk Entry Discount" dataDxfId="45"/>
    <tableColumn id="10" xr3:uid="{D829770A-D85B-40E3-913E-ED408491AE7F}" name="Free Shipping" dataDxfId="44"/>
    <tableColumn id="9" xr3:uid="{13BDE32E-36A4-48E0-8FDC-97E8FDA74B2A}" name="Set Price" dataDxfId="43"/>
  </tableColumns>
  <tableStyleInfo name="TableStyleMedium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DF48DDC-2E38-49B6-A93B-CD1556614EF9}" name="YesNo" displayName="YesNo" ref="DP2:DP4" totalsRowShown="0" headerRowDxfId="42" dataDxfId="41">
  <autoFilter ref="DP2:DP4" xr:uid="{9DF48DDC-2E38-49B6-A93B-CD1556614EF9}"/>
  <tableColumns count="1">
    <tableColumn id="1" xr3:uid="{4038A1DA-9C25-4189-AD1B-6D6B489544A3}" name="Reorder" dataDxfId="40"/>
  </tableColumns>
  <tableStyleInfo name="TableStyleMedium1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FCF099E-B97C-452F-AF9A-7A0B8E2185BD}" name="PriorityProduction" displayName="PriorityProduction" ref="DK2:DN5" totalsRowShown="0" headerRowDxfId="39">
  <autoFilter ref="DK2:DN5" xr:uid="{2FCF099E-B97C-452F-AF9A-7A0B8E2185BD}"/>
  <sortState xmlns:xlrd2="http://schemas.microsoft.com/office/spreadsheetml/2017/richdata2" ref="DK3:DM4">
    <sortCondition ref="DK2:DK4"/>
  </sortState>
  <tableColumns count="4">
    <tableColumn id="1" xr3:uid="{DC7D6588-CADB-42D6-80EB-9C504D21DB36}" name="Priority Production" dataDxfId="38"/>
    <tableColumn id="2" xr3:uid="{34DD26C9-DE3F-4391-8BA2-A70AA7936B49}" name="No" dataDxfId="37">
      <calculatedColumnFormula>Summary!$D$23*SUMIF(ProductionPriority[Display],PriorityProduction[[#This Row],[Priority Production]],ProductionPriority[Price])</calculatedColumnFormula>
    </tableColumn>
    <tableColumn id="3" xr3:uid="{4C8B95B9-C8E7-4789-B5CE-5C8392550B92}" name="Yes">
      <calculatedColumnFormula>DL3-DL2</calculatedColumnFormula>
    </tableColumn>
    <tableColumn id="4" xr3:uid="{4E64AAC8-48A6-4F8D-AF8C-A04ADF67D5E4}" name="Days" dataDxfId="36">
      <calculatedColumnFormula>8</calculatedColumnFormula>
    </tableColumn>
  </tableColumns>
  <tableStyleInfo name="TableStyleMedium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C6869CF-6791-478C-BA40-E056D23A9DE8}" name="Day" displayName="Day" ref="DR2:DS9" totalsRowShown="0" headerRowDxfId="35">
  <autoFilter ref="DR2:DS9" xr:uid="{CC6869CF-6791-478C-BA40-E056D23A9DE8}"/>
  <tableColumns count="2">
    <tableColumn id="1" xr3:uid="{37FFEF5F-1E08-4774-87C4-802AAF96B89C}" name="Weekday" dataDxfId="34"/>
    <tableColumn id="2" xr3:uid="{4FC77BBE-DCCF-415F-9D4E-46C3031CC6B4}" name="Day of Week" dataDxfId="33"/>
  </tableColumns>
  <tableStyleInfo name="TableStyleMedium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379B791-43CB-4420-A47C-2045107CF39C}" name="ShipDays" displayName="ShipDays" ref="DU2:DV6" totalsRowShown="0" headerRowDxfId="32">
  <autoFilter ref="DU2:DV6" xr:uid="{0379B791-43CB-4420-A47C-2045107CF39C}"/>
  <tableColumns count="2">
    <tableColumn id="1" xr3:uid="{DD624C05-041A-4155-A227-A79C4DEECC76}" name="Ship Days" dataDxfId="31"/>
    <tableColumn id="2" xr3:uid="{43E1AFEE-0BD2-40C5-9D58-380600953B63}" name="Shipping Service" dataDxfId="30"/>
  </tableColumns>
  <tableStyleInfo name="TableStyleMedium1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A287AEC-8623-4955-89DA-AFEFE32F4315}" name="Holidays" displayName="Holidays" ref="DX2:DZ11" totalsRowShown="0" headerRowDxfId="29">
  <autoFilter ref="DX2:DZ11" xr:uid="{FA287AEC-8623-4955-89DA-AFEFE32F4315}"/>
  <sortState xmlns:xlrd2="http://schemas.microsoft.com/office/spreadsheetml/2017/richdata2" ref="DX3:DZ11">
    <sortCondition ref="DX2:DX11"/>
  </sortState>
  <tableColumns count="3">
    <tableColumn id="1" xr3:uid="{A10C1B13-7F76-4298-9962-A09B57300090}" name="Holiday" dataDxfId="28"/>
    <tableColumn id="2" xr3:uid="{36E1A067-5815-4222-9C85-62A2BFB25BDF}" name="Shipping Service" dataDxfId="27"/>
    <tableColumn id="3" xr3:uid="{BC25E1F8-D801-447B-9703-2937DEB99592}" name="Details"/>
  </tableColumns>
  <tableStyleInfo name="TableStyleMedium1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98E0B0A-A449-4951-B8E9-E92B680A0245}" name="NameLines" displayName="NameLines" ref="CU2:CU4" totalsRowShown="0" headerRowDxfId="26" dataDxfId="25">
  <autoFilter ref="CU2:CU4" xr:uid="{D98E0B0A-A449-4951-B8E9-E92B680A0245}"/>
  <tableColumns count="1">
    <tableColumn id="1" xr3:uid="{2ED3BB35-5513-4F24-844C-69EDF0682506}" name="Lines for Name" dataDxfId="24"/>
  </tableColumns>
  <tableStyleInfo name="TableStyleMedium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F902713-1EE4-4412-A143-4D0A9A7755D9}" name="IHD_Calc" displayName="IHD_Calc" ref="EB2:EL13" totalsRowShown="0" headerRowDxfId="23">
  <autoFilter ref="EB2:EL13" xr:uid="{9F902713-1EE4-4412-A143-4D0A9A7755D9}"/>
  <sortState xmlns:xlrd2="http://schemas.microsoft.com/office/spreadsheetml/2017/richdata2" ref="EB3:EJ12">
    <sortCondition ref="EI2:EI12"/>
  </sortState>
  <tableColumns count="11">
    <tableColumn id="1" xr3:uid="{75AF5A34-6A3D-4F59-9709-E226AD336BBB}" name="Order Date" dataDxfId="22">
      <calculatedColumnFormula>INT(NOW()+1)</calculatedColumnFormula>
    </tableColumn>
    <tableColumn id="11" xr3:uid="{E96BFACB-0FA9-4E29-B914-C2B9B5C53E76}" name="Days" dataDxfId="21">
      <calculatedColumnFormula>(7-WEEKDAY(IHD_Calc[[#This Row],[Order Date]],15))</calculatedColumnFormula>
    </tableColumn>
    <tableColumn id="2" xr3:uid="{FB1ADC22-6713-471F-AEEE-3DEED7CBB137}" name="Approval Date" dataDxfId="20">
      <calculatedColumnFormula>IHD_Calc[[#This Row],[Order Date]]+(7-WEEKDAY(IHD_Calc[[#This Row],[Order Date]],15))+IF(IHD_Calc[[#This Row],[Days]]&lt;3,7,0)</calculatedColumnFormula>
    </tableColumn>
    <tableColumn id="10" xr3:uid="{B85F0661-43B1-4E43-A1F0-4EB82EB0F055}" name="Est Order Date" dataDxfId="19">
      <calculatedColumnFormula>IHD_Calc[[#This Row],[Approval Date]]-5</calculatedColumnFormula>
    </tableColumn>
    <tableColumn id="3" xr3:uid="{323DCF94-1101-42E2-B12E-72A9E8AD8E65}" name="Production Priority" dataDxfId="18"/>
    <tableColumn id="4" xr3:uid="{868102AC-7F3C-40B7-9349-B1940694A291}" name="In Transit" dataDxfId="17">
      <calculatedColumnFormula>IFERROR(IHD_Calc[[#This Row],[Approval Date]]+VLOOKUP(IHD_Calc[[#This Row],[Production Priority]],PriorityProduction[],4),"")</calculatedColumnFormula>
    </tableColumn>
    <tableColumn id="5" xr3:uid="{FAD36FB4-5845-4F67-BD2F-FD20B9624183}" name="Est Ship Date" dataDxfId="16">
      <calculatedColumnFormula>IFERROR(IHD_Calc[[#This Row],[In Transit]]+3,"")</calculatedColumnFormula>
    </tableColumn>
    <tableColumn id="6" xr3:uid="{566ABC7F-EE60-4490-BCBB-5F654504AD62}" name="Delivery Date" dataDxfId="15">
      <calculatedColumnFormula>IFERROR(IHD_Calc[[#This Row],[Est Ship Date]]+_xlfn.XLOOKUP(IHD_Calc[[#This Row],[Shipping]],ShipDays[Shipping Service],ShipDays[Ship Days]),0)</calculatedColumnFormula>
    </tableColumn>
    <tableColumn id="7" xr3:uid="{2E3707DE-98A0-434C-B589-53A757982E74}" name="Shipping" dataDxfId="14"/>
    <tableColumn id="9" xr3:uid="{F88A32F5-D66D-4776-BA42-777626195B72}" name="Production" dataDxfId="13"/>
    <tableColumn id="8" xr3:uid="{FD1EAC23-F4E5-419B-BA12-2E63CC4ACC4A}" name="Description" dataDxfId="12"/>
  </tableColumns>
  <tableStyleInfo name="TableStyleMedium1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7616BD1-506C-4A1D-B6C2-3B90BEBAC2C0}" name="RightSleeve" displayName="RightSleeve" ref="CJ2:CP8" totalsRowShown="0" headerRowDxfId="11">
  <autoFilter ref="CJ2:CP8" xr:uid="{87616BD1-506C-4A1D-B6C2-3B90BEBAC2C0}"/>
  <sortState xmlns:xlrd2="http://schemas.microsoft.com/office/spreadsheetml/2017/richdata2" ref="CJ3:CM6">
    <sortCondition ref="CK2:CK6"/>
  </sortState>
  <tableColumns count="7">
    <tableColumn id="1" xr3:uid="{F1D2EF01-6A3E-46EA-8714-D63CCD5A6BE4}" name="Logos" dataDxfId="10"/>
    <tableColumn id="5" xr3:uid="{6388DE8B-55CB-4F34-9D7C-2B25FB16E124}" name="Order" dataDxfId="9"/>
    <tableColumn id="4" xr3:uid="{CA281E90-7816-493D-872D-CC631AA0DDAD}" name="Display" dataDxfId="8">
      <calculatedColumnFormula>RightSleeve[[#This Row],[Logos]]&amp;" (10% of base price)"</calculatedColumnFormula>
    </tableColumn>
    <tableColumn id="2" xr3:uid="{A7A85A3C-B7BD-4ABB-A958-51EDE86D7B5C}" name="Code" dataDxfId="7"/>
    <tableColumn id="6" xr3:uid="{CAE0E2F6-50BC-44B1-AC72-9C39C6E05841}" name="Pct" dataDxfId="6"/>
    <tableColumn id="7" xr3:uid="{7CAA6C55-623C-42FF-BECB-D15292FC5AA1}" name="Flat" dataDxfId="5"/>
    <tableColumn id="8" xr3:uid="{72896830-C81B-4165-A128-C1D94B8D9C95}" name="Use" dataDxfId="4"/>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1D01-D053-45CC-A8AD-E0A25FDA432D}">
  <sheetPr codeName="Sheet1"/>
  <dimension ref="A1:E32"/>
  <sheetViews>
    <sheetView zoomScale="90" zoomScaleNormal="90" workbookViewId="0">
      <selection activeCell="H32" sqref="H32"/>
    </sheetView>
  </sheetViews>
  <sheetFormatPr baseColWidth="10" defaultColWidth="0" defaultRowHeight="15" zeroHeight="1" x14ac:dyDescent="0.2"/>
  <cols>
    <col min="1" max="1" width="3.6640625" style="62" customWidth="1"/>
    <col min="2" max="2" width="29.5" customWidth="1"/>
    <col min="3" max="3" width="6.5" customWidth="1"/>
    <col min="4" max="4" width="27.33203125" style="59" customWidth="1"/>
    <col min="5" max="5" width="3.6640625" customWidth="1"/>
  </cols>
  <sheetData>
    <row r="1" spans="1:5" ht="20" customHeight="1" x14ac:dyDescent="0.2">
      <c r="A1" s="102"/>
      <c r="B1" s="103"/>
      <c r="C1" s="103"/>
      <c r="D1" s="104"/>
      <c r="E1" s="103"/>
    </row>
    <row r="2" spans="1:5" s="66" customFormat="1" ht="30" customHeight="1" x14ac:dyDescent="0.2">
      <c r="A2" s="107"/>
      <c r="B2" s="85" t="s">
        <v>161</v>
      </c>
      <c r="C2" s="86"/>
      <c r="D2" s="67" t="s">
        <v>224</v>
      </c>
      <c r="E2" s="105"/>
    </row>
    <row r="3" spans="1:5" s="66" customFormat="1" ht="30" customHeight="1" x14ac:dyDescent="0.2">
      <c r="A3" s="107"/>
      <c r="B3" s="85" t="s">
        <v>159</v>
      </c>
      <c r="C3" s="86"/>
      <c r="D3" s="67" t="s">
        <v>95</v>
      </c>
      <c r="E3" s="105"/>
    </row>
    <row r="4" spans="1:5" s="66" customFormat="1" ht="30" customHeight="1" x14ac:dyDescent="0.2">
      <c r="A4" s="108"/>
      <c r="B4" s="85" t="s">
        <v>160</v>
      </c>
      <c r="C4" s="86"/>
      <c r="D4" s="68">
        <v>0</v>
      </c>
      <c r="E4" s="105"/>
    </row>
    <row r="5" spans="1:5" s="66" customFormat="1" ht="30" customHeight="1" x14ac:dyDescent="0.2">
      <c r="A5" s="108"/>
      <c r="B5" s="85" t="s">
        <v>172</v>
      </c>
      <c r="C5" s="86"/>
      <c r="D5" s="136">
        <v>0</v>
      </c>
      <c r="E5" s="105"/>
    </row>
    <row r="6" spans="1:5" s="66" customFormat="1" ht="30" customHeight="1" x14ac:dyDescent="0.2">
      <c r="A6" s="108"/>
      <c r="B6" s="85" t="s">
        <v>133</v>
      </c>
      <c r="C6" s="86"/>
      <c r="D6" s="112" t="str" cm="1">
        <f t="array" ref="D6:E6">'Bulk Order Details'!D4:E4</f>
        <v>Standard (approx 3 weeks)</v>
      </c>
      <c r="E6" s="303">
        <v>0</v>
      </c>
    </row>
    <row r="7" spans="1:5" s="64" customFormat="1" ht="5" customHeight="1" x14ac:dyDescent="0.2">
      <c r="A7" s="109"/>
      <c r="B7" s="219"/>
      <c r="C7" s="220"/>
      <c r="D7" s="221"/>
      <c r="E7" s="106"/>
    </row>
    <row r="8" spans="1:5" s="64" customFormat="1" ht="25.25" customHeight="1" x14ac:dyDescent="0.2">
      <c r="A8" s="110"/>
      <c r="B8" s="87" t="s">
        <v>134</v>
      </c>
      <c r="C8" s="88"/>
      <c r="D8" s="89">
        <f>SUM(Pricing_Details[Quantity])</f>
        <v>0</v>
      </c>
      <c r="E8" s="106"/>
    </row>
    <row r="9" spans="1:5" s="133" customFormat="1" ht="30" customHeight="1" x14ac:dyDescent="0.2">
      <c r="A9" s="129"/>
      <c r="B9" s="130" t="str">
        <f>IF(VLOOKUP(D2,CustomerGroup[],2)&gt;0,"Discounts Applied to Entire Order (See  Order Discounts Below)","Discounted Base Price")</f>
        <v>Discounted Base Price</v>
      </c>
      <c r="C9" s="134"/>
      <c r="D9" s="131" t="e">
        <f>IF(VLOOKUP(CustGroup,CustomerGroup[],2)=0,MIN((1-VLOOKUP(Jerseys,Price[],2))*VLOOKUP(CustGroup,CustomerGroup[],11),(1-VLOOKUP(CustGroup,CustomerGroup[],3))*VLOOKUP(CustGroup,CustomerGroup[],11)),VLOOKUP(CustGroup,CustomerGroup[],11))</f>
        <v>#N/A</v>
      </c>
      <c r="E9" s="132"/>
    </row>
    <row r="10" spans="1:5" s="64" customFormat="1" ht="20" customHeight="1" x14ac:dyDescent="0.2">
      <c r="A10" s="110"/>
      <c r="B10" s="90" t="s">
        <v>90</v>
      </c>
      <c r="C10" s="91"/>
      <c r="D10" s="92" t="str">
        <f>VLOOKUP($D$2,CustomerGroup[],4)</f>
        <v>No</v>
      </c>
      <c r="E10" s="106"/>
    </row>
    <row r="11" spans="1:5" s="64" customFormat="1" ht="20" customHeight="1" x14ac:dyDescent="0.2">
      <c r="A11" s="110"/>
      <c r="B11" s="90" t="s">
        <v>91</v>
      </c>
      <c r="C11" s="91"/>
      <c r="D11" s="92" t="str">
        <f>VLOOKUP($D$2,CustomerGroup[],5)</f>
        <v>No</v>
      </c>
      <c r="E11" s="106"/>
    </row>
    <row r="12" spans="1:5" s="64" customFormat="1" ht="20" customHeight="1" x14ac:dyDescent="0.2">
      <c r="A12" s="110"/>
      <c r="B12" s="90" t="s">
        <v>92</v>
      </c>
      <c r="C12" s="91"/>
      <c r="D12" s="92" t="str">
        <f>VLOOKUP($D$2,CustomerGroup[],6)</f>
        <v>No</v>
      </c>
      <c r="E12" s="106"/>
    </row>
    <row r="13" spans="1:5" s="64" customFormat="1" ht="20" customHeight="1" x14ac:dyDescent="0.2">
      <c r="A13" s="110"/>
      <c r="B13" s="90" t="s">
        <v>166</v>
      </c>
      <c r="C13" s="91"/>
      <c r="D13" s="93" t="str">
        <f>IF(D3="Yes","No",IF(Jerseys&gt;=VLOOKUP($D$2,CustomerGroup[],7),"Yes","No"))</f>
        <v>No</v>
      </c>
      <c r="E13" s="106"/>
    </row>
    <row r="14" spans="1:5" s="64" customFormat="1" ht="20" customHeight="1" x14ac:dyDescent="0.2">
      <c r="A14" s="110"/>
      <c r="B14" s="90" t="s">
        <v>155</v>
      </c>
      <c r="C14" s="91"/>
      <c r="D14" s="93" t="str">
        <f>VLOOKUP($D$2,CustomerGroup[],8)</f>
        <v>No</v>
      </c>
      <c r="E14" s="106"/>
    </row>
    <row r="15" spans="1:5" s="218" customFormat="1" ht="20" customHeight="1" x14ac:dyDescent="0.2">
      <c r="A15" s="110"/>
      <c r="B15" s="90" t="s">
        <v>173</v>
      </c>
      <c r="C15" s="91"/>
      <c r="D15" s="93" t="str">
        <f>IF(VLOOKUP(CustGroup,CustomerGroup[],9)&gt;0,IF(VLOOKUP(CustGroup,CustomerGroup[],9)&lt;D23,"Yes","No"),"No")</f>
        <v>No</v>
      </c>
      <c r="E15" s="111"/>
    </row>
    <row r="16" spans="1:5" s="64" customFormat="1" ht="20" customHeight="1" x14ac:dyDescent="0.2">
      <c r="A16" s="110"/>
      <c r="B16" s="94" t="s">
        <v>240</v>
      </c>
      <c r="C16" s="95"/>
      <c r="D16" s="229">
        <f>LOOKUP(CustGroup,CustomerGroup[Customer Groups],CustomerGroup[Bulk Entry Discount])</f>
        <v>0</v>
      </c>
      <c r="E16" s="106"/>
    </row>
    <row r="17" spans="1:5" s="64" customFormat="1" ht="5" customHeight="1" x14ac:dyDescent="0.2">
      <c r="A17" s="110"/>
      <c r="B17" s="222"/>
      <c r="C17" s="65"/>
      <c r="D17" s="223"/>
      <c r="E17" s="106"/>
    </row>
    <row r="18" spans="1:5" s="64" customFormat="1" ht="20" customHeight="1" thickBot="1" x14ac:dyDescent="0.25">
      <c r="A18" s="110"/>
      <c r="B18" s="121" t="s">
        <v>154</v>
      </c>
      <c r="C18" s="96"/>
      <c r="D18" s="97">
        <f>SUM('Pricing Details'!$AC:$AC)</f>
        <v>0</v>
      </c>
      <c r="E18" s="106"/>
    </row>
    <row r="19" spans="1:5" s="64" customFormat="1" ht="20" customHeight="1" x14ac:dyDescent="0.2">
      <c r="A19" s="110"/>
      <c r="B19" s="122" t="s">
        <v>171</v>
      </c>
      <c r="C19" s="98"/>
      <c r="D19" s="127">
        <f>D5*30</f>
        <v>0</v>
      </c>
      <c r="E19" s="106"/>
    </row>
    <row r="20" spans="1:5" s="64" customFormat="1" ht="20" customHeight="1" thickBot="1" x14ac:dyDescent="0.25">
      <c r="A20" s="110"/>
      <c r="B20" s="122" t="s">
        <v>94</v>
      </c>
      <c r="C20" s="98"/>
      <c r="D20" s="127">
        <f>IF(D13="Yes",-MAX('Pricing Details'!$X:$X),0)</f>
        <v>0</v>
      </c>
      <c r="E20" s="106"/>
    </row>
    <row r="21" spans="1:5" s="64" customFormat="1" ht="20" customHeight="1" thickTop="1" x14ac:dyDescent="0.2">
      <c r="A21" s="110"/>
      <c r="B21" s="137" t="s">
        <v>164</v>
      </c>
      <c r="C21" s="138"/>
      <c r="D21" s="139">
        <f>SUM(D18:D20)</f>
        <v>0</v>
      </c>
      <c r="E21" s="106"/>
    </row>
    <row r="22" spans="1:5" s="64" customFormat="1" ht="20" customHeight="1" thickBot="1" x14ac:dyDescent="0.25">
      <c r="A22" s="111"/>
      <c r="B22" s="90" t="s">
        <v>149</v>
      </c>
      <c r="C22" s="147" t="str">
        <f>IF(VLOOKUP(D2,CustomerGroup[],2)+D16&gt;0,VLOOKUP(D2,CustomerGroup[],2)+D16,"")</f>
        <v/>
      </c>
      <c r="D22" s="92">
        <f>IFERROR(-ROUND(C22*D21,2),0)</f>
        <v>0</v>
      </c>
      <c r="E22" s="106"/>
    </row>
    <row r="23" spans="1:5" s="126" customFormat="1" ht="32" customHeight="1" thickTop="1" x14ac:dyDescent="0.2">
      <c r="A23" s="124"/>
      <c r="B23" s="140" t="s">
        <v>165</v>
      </c>
      <c r="C23" s="141"/>
      <c r="D23" s="139">
        <f>IF(TeamAssuranceQuote="",SUM(D21:D22),MIN(ROUND(0.9*TeamAssuranceQuote,2),SUM(D21:D22)))</f>
        <v>0</v>
      </c>
      <c r="E23" s="125"/>
    </row>
    <row r="24" spans="1:5" s="63" customFormat="1" ht="16" x14ac:dyDescent="0.2">
      <c r="A24" s="255"/>
      <c r="B24" s="259" t="s">
        <v>254</v>
      </c>
      <c r="C24" s="260"/>
      <c r="D24" s="256"/>
      <c r="E24" s="257"/>
    </row>
    <row r="25" spans="1:5" s="64" customFormat="1" ht="20" customHeight="1" x14ac:dyDescent="0.2">
      <c r="A25" s="110"/>
      <c r="B25" s="122" t="s">
        <v>153</v>
      </c>
      <c r="C25" s="99"/>
      <c r="D25" s="128">
        <f>VLOOKUP(Summary!D$6,PriorityProduction[],IF(Summary!D$14="Yes",3,2))</f>
        <v>0</v>
      </c>
      <c r="E25" s="106"/>
    </row>
    <row r="26" spans="1:5" s="64" customFormat="1" ht="20" customHeight="1" x14ac:dyDescent="0.2">
      <c r="A26" s="110"/>
      <c r="B26" s="122" t="s">
        <v>96</v>
      </c>
      <c r="C26" s="98"/>
      <c r="D26" s="128">
        <f>IF(D15="Yes",0,D$4)</f>
        <v>0</v>
      </c>
      <c r="E26" s="106"/>
    </row>
    <row r="27" spans="1:5" s="153" customFormat="1" ht="30" customHeight="1" thickBot="1" x14ac:dyDescent="0.25">
      <c r="A27" s="148"/>
      <c r="B27" s="149" t="s">
        <v>97</v>
      </c>
      <c r="C27" s="150"/>
      <c r="D27" s="151">
        <f>IF(TeamAssuranceQuote="",D23,IF(D23&gt;TeamAssuranceQuote,0.9*TeamAssuranceQuote,D23))+SUM(D25:D26)</f>
        <v>0</v>
      </c>
      <c r="E27" s="152"/>
    </row>
    <row r="28" spans="1:5" s="153" customFormat="1" ht="4.5" customHeight="1" thickTop="1" x14ac:dyDescent="0.2">
      <c r="A28" s="148"/>
      <c r="B28" s="252"/>
      <c r="C28" s="253"/>
      <c r="D28" s="254"/>
      <c r="E28" s="152"/>
    </row>
    <row r="29" spans="1:5" ht="5" customHeight="1" x14ac:dyDescent="0.2">
      <c r="A29" s="102"/>
      <c r="B29" s="224"/>
      <c r="C29" s="62"/>
      <c r="D29" s="225"/>
      <c r="E29" s="103"/>
    </row>
    <row r="30" spans="1:5" x14ac:dyDescent="0.2">
      <c r="A30" s="102"/>
      <c r="B30" s="123" t="s">
        <v>158</v>
      </c>
      <c r="C30" s="100"/>
      <c r="D30" s="101" t="e">
        <f>D23/Jerseys</f>
        <v>#DIV/0!</v>
      </c>
      <c r="E30" s="103"/>
    </row>
    <row r="31" spans="1:5" x14ac:dyDescent="0.2">
      <c r="A31" s="102"/>
      <c r="B31" s="226" t="s">
        <v>167</v>
      </c>
      <c r="C31" s="227"/>
      <c r="D31" s="228" t="e">
        <f>-SUM('Pricing Details'!$AB:$AB)/Jerseys-D22/Jerseys</f>
        <v>#DIV/0!</v>
      </c>
      <c r="E31" s="103"/>
    </row>
    <row r="32" spans="1:5" x14ac:dyDescent="0.2">
      <c r="A32" s="102"/>
      <c r="B32" s="103"/>
      <c r="C32" s="103"/>
      <c r="D32" s="104"/>
      <c r="E32" s="103"/>
    </row>
  </sheetData>
  <sheetProtection algorithmName="SHA-512" hashValue="00XNTaAvE2zKiCqpMiiEBoa0/Gcy0A/NPSKu5IyJBpTFlWDcac34E8knclDzmMpvczfmyqXk8f592X9rgg16YA==" saltValue="NekoWU66A/GvR4oSQGY0Sw==" spinCount="100000" sheet="1" objects="1" scenarios="1"/>
  <protectedRanges>
    <protectedRange sqref="D2:D5" name="Range1"/>
  </protectedRange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36BB7F26-6B2B-4931-B098-EB05BC67E7FD}">
          <x14:formula1>
            <xm:f>Prices!$DD$3:$DD$5</xm:f>
          </x14:formula1>
          <xm:sqref>C7:C8</xm:sqref>
        </x14:dataValidation>
        <x14:dataValidation type="list" allowBlank="1" showInputMessage="1" showErrorMessage="1" xr:uid="{0578CF07-1F68-42D9-9F28-F88C863D2132}">
          <x14:formula1>
            <xm:f>Prices!$DP$3:$DP$4</xm:f>
          </x14:formula1>
          <xm:sqref>D3</xm:sqref>
        </x14:dataValidation>
        <x14:dataValidation type="list" allowBlank="1" showInputMessage="1" showErrorMessage="1" xr:uid="{0938FB38-8EE8-4B47-B602-1543897F6425}">
          <x14:formula1>
            <xm:f>Prices!$EN$3:$EN$20</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2C334-91EF-47FF-965F-5F73E6F8F3ED}">
  <sheetPr codeName="Sheet2">
    <pageSetUpPr fitToPage="1"/>
  </sheetPr>
  <dimension ref="A1:AD316"/>
  <sheetViews>
    <sheetView showGridLines="0" tabSelected="1" zoomScale="80" zoomScaleNormal="80" workbookViewId="0">
      <pane xSplit="6" topLeftCell="G1" activePane="topRight" state="frozen"/>
      <selection activeCell="G4" sqref="G4"/>
      <selection pane="topRight" activeCell="F14" sqref="F14"/>
    </sheetView>
  </sheetViews>
  <sheetFormatPr baseColWidth="10" defaultColWidth="0" defaultRowHeight="0" customHeight="1" zeroHeight="1" x14ac:dyDescent="0.2"/>
  <cols>
    <col min="1" max="1" width="2.6640625" style="75" customWidth="1"/>
    <col min="2" max="2" width="11.33203125" style="8" customWidth="1"/>
    <col min="3" max="3" width="20.6640625" style="8" customWidth="1"/>
    <col min="4" max="4" width="23.5" style="8" customWidth="1"/>
    <col min="5" max="5" width="17" style="17" customWidth="1"/>
    <col min="6" max="6" width="27.6640625" style="8" customWidth="1"/>
    <col min="7" max="7" width="11.33203125" style="193" customWidth="1"/>
    <col min="8" max="8" width="16.33203125" style="8" bestFit="1" customWidth="1"/>
    <col min="9" max="9" width="16.6640625" style="8" bestFit="1" customWidth="1"/>
    <col min="10" max="10" width="17.33203125" style="8" bestFit="1" customWidth="1"/>
    <col min="11" max="11" width="17" style="8" customWidth="1"/>
    <col min="12" max="12" width="15.33203125" style="8" customWidth="1"/>
    <col min="13" max="13" width="20.1640625" style="8" customWidth="1"/>
    <col min="14" max="14" width="24" style="8" customWidth="1"/>
    <col min="15" max="15" width="12.33203125" style="8" bestFit="1" customWidth="1"/>
    <col min="16" max="17" width="13.6640625" style="8" customWidth="1"/>
    <col min="18" max="22" width="29.1640625" style="8" customWidth="1"/>
    <col min="23" max="23" width="44.6640625" style="8" customWidth="1"/>
    <col min="24" max="24" width="12.6640625" style="51" customWidth="1"/>
    <col min="25" max="26" width="12.6640625" style="44" customWidth="1"/>
    <col min="27" max="27" width="12.6640625" style="185" customWidth="1"/>
    <col min="28" max="28" width="12.6640625" style="44" customWidth="1"/>
    <col min="29" max="29" width="5" style="78" customWidth="1"/>
    <col min="30" max="30" width="0" style="1" hidden="1" customWidth="1"/>
    <col min="31" max="16384" width="12.6640625" style="1" hidden="1"/>
  </cols>
  <sheetData>
    <row r="1" spans="1:30" s="75" customFormat="1" ht="15" customHeight="1" x14ac:dyDescent="0.2">
      <c r="B1" s="76"/>
      <c r="C1" s="76"/>
      <c r="D1" s="76"/>
      <c r="E1" s="116"/>
      <c r="F1" s="76"/>
      <c r="G1" s="187"/>
      <c r="H1" s="76"/>
      <c r="I1" s="76"/>
      <c r="J1" s="76"/>
      <c r="K1" s="76"/>
      <c r="L1" s="76"/>
      <c r="M1" s="76"/>
      <c r="N1" s="76"/>
      <c r="O1" s="76"/>
      <c r="P1" s="76"/>
      <c r="Q1" s="76"/>
      <c r="R1" s="76"/>
      <c r="S1" s="76"/>
      <c r="T1" s="76"/>
      <c r="U1" s="76"/>
      <c r="V1" s="76"/>
      <c r="W1" s="77"/>
      <c r="X1" s="78"/>
      <c r="Y1" s="78"/>
      <c r="Z1" s="78"/>
      <c r="AA1" s="179"/>
      <c r="AB1" s="78"/>
      <c r="AC1" s="78"/>
    </row>
    <row r="2" spans="1:30" s="41" customFormat="1" ht="38" customHeight="1" x14ac:dyDescent="0.2">
      <c r="A2" s="79"/>
      <c r="B2" s="311" t="s">
        <v>262</v>
      </c>
      <c r="C2" s="312"/>
      <c r="D2" s="312"/>
      <c r="E2" s="313"/>
      <c r="F2" s="265">
        <f>Summary!D21</f>
        <v>0</v>
      </c>
      <c r="G2" s="188"/>
      <c r="H2" s="304" t="s">
        <v>231</v>
      </c>
      <c r="I2" s="304"/>
      <c r="J2" s="304"/>
      <c r="K2" s="304"/>
      <c r="L2" s="304"/>
      <c r="M2" s="304"/>
      <c r="N2" s="217" t="s">
        <v>242</v>
      </c>
      <c r="O2" s="86"/>
      <c r="P2" s="197" t="s">
        <v>193</v>
      </c>
      <c r="Q2" s="197" t="s">
        <v>239</v>
      </c>
      <c r="R2" s="251" t="b">
        <f ca="1">Q10&gt;Q9</f>
        <v>0</v>
      </c>
      <c r="S2" s="42"/>
      <c r="T2" s="42"/>
      <c r="U2" s="42"/>
      <c r="V2" s="42"/>
      <c r="W2" s="50"/>
      <c r="AA2" s="180"/>
      <c r="AC2" s="79"/>
    </row>
    <row r="3" spans="1:30" s="41" customFormat="1" ht="30" customHeight="1" x14ac:dyDescent="0.2">
      <c r="A3" s="79"/>
      <c r="B3" s="310"/>
      <c r="C3" s="310"/>
      <c r="D3" s="310"/>
      <c r="E3" s="310"/>
      <c r="F3" s="83" t="str">
        <f>IF(Summary!$D$22=0,"",Summary!$D$22)</f>
        <v/>
      </c>
      <c r="G3" s="188"/>
      <c r="H3" s="308" t="s">
        <v>226</v>
      </c>
      <c r="I3" s="308"/>
      <c r="J3" s="308"/>
      <c r="K3" s="308"/>
      <c r="L3" s="308"/>
      <c r="M3" s="309"/>
      <c r="N3" s="244" t="s">
        <v>238</v>
      </c>
      <c r="O3" s="245"/>
      <c r="P3" s="246" t="str">
        <f>IF(F8="","",VLOOKUP(WEEKDAY(Q3,16),Day[],2))</f>
        <v/>
      </c>
      <c r="Q3" s="250" t="str">
        <f>IF(F8="","",LOOKUP(BOD_IHD,IHD_Calc[Delivery Date],IHD_Calc[Est Order Date]))</f>
        <v/>
      </c>
      <c r="T3" s="42"/>
      <c r="U3" s="42"/>
      <c r="V3" s="42"/>
      <c r="W3" s="50"/>
      <c r="AA3" s="180"/>
      <c r="AC3" s="79"/>
    </row>
    <row r="4" spans="1:30" s="41" customFormat="1" ht="30" customHeight="1" x14ac:dyDescent="0.2">
      <c r="A4" s="79"/>
      <c r="B4" s="215" t="s">
        <v>139</v>
      </c>
      <c r="C4" s="216"/>
      <c r="D4" s="315" t="s">
        <v>99</v>
      </c>
      <c r="E4" s="316"/>
      <c r="F4" s="212">
        <f>_xlfn.XLOOKUP(Selected_ProdPriority,ProductionPriority[Display],ProductionPriority[Fee])</f>
        <v>0</v>
      </c>
      <c r="G4" s="188"/>
      <c r="H4" s="308" t="s">
        <v>233</v>
      </c>
      <c r="I4" s="308"/>
      <c r="J4" s="308"/>
      <c r="K4" s="308"/>
      <c r="L4" s="308"/>
      <c r="M4" s="308"/>
      <c r="N4" s="247" t="s">
        <v>201</v>
      </c>
      <c r="O4" s="248"/>
      <c r="P4" s="249" t="str">
        <f>IF(F8="","",VLOOKUP(WEEKDAY(Q4,16),Day[],2))</f>
        <v/>
      </c>
      <c r="Q4" s="250" t="str">
        <f>IF(F8="","",LOOKUP(BOD_IHD,IHD_Calc[Delivery Date],IHD_Calc[Approval Date]))</f>
        <v/>
      </c>
      <c r="T4" s="42"/>
      <c r="U4" s="42"/>
      <c r="V4" s="42"/>
      <c r="W4" s="50"/>
      <c r="AA4" s="180"/>
      <c r="AC4" s="79"/>
    </row>
    <row r="5" spans="1:30" s="41" customFormat="1" ht="30" customHeight="1" thickBot="1" x14ac:dyDescent="0.25">
      <c r="A5" s="79"/>
      <c r="B5" s="207" t="s">
        <v>138</v>
      </c>
      <c r="C5" s="208"/>
      <c r="D5" s="208"/>
      <c r="E5" s="230"/>
      <c r="F5" s="84" t="str">
        <f>IF(_xlfn.XLOOKUP(CustGroup,CustomerGroup[Customer Groups],CustomerGroup[Free Shipping])&gt;0,IF(_xlfn.XLOOKUP(CustGroup,CustomerGroup[Customer Groups],CustomerGroup[Free Shipping])&lt;(F2+F3+ProductionFee),"FREE UPS GROUND",IF(Shipping&gt;0,Shipping,"TBD")),IF(Shipping&gt;0,Shipping,"TBD"))</f>
        <v>TBD</v>
      </c>
      <c r="G5" s="188"/>
      <c r="H5" s="308" t="s">
        <v>227</v>
      </c>
      <c r="I5" s="308"/>
      <c r="J5" s="308"/>
      <c r="K5" s="308"/>
      <c r="L5" s="308"/>
      <c r="M5" s="308"/>
      <c r="N5" s="215" t="s">
        <v>253</v>
      </c>
      <c r="O5" s="86"/>
      <c r="P5" s="86"/>
      <c r="Q5" s="203"/>
      <c r="R5" s="314"/>
      <c r="S5" s="314"/>
      <c r="T5" s="314"/>
      <c r="U5" s="314"/>
      <c r="V5" s="314"/>
      <c r="W5" s="317"/>
      <c r="AA5" s="180"/>
      <c r="AC5" s="79"/>
    </row>
    <row r="6" spans="1:30" s="41" customFormat="1" ht="30" customHeight="1" thickBot="1" x14ac:dyDescent="0.25">
      <c r="A6" s="79"/>
      <c r="B6" s="305" t="str">
        <f>"TOTAL PRICE BASED UPON "&amp;UPPER(CustGroup)&amp;" DISCOUNT"</f>
        <v>TOTAL PRICE BASED UPON WEBSITE DISCOUNT</v>
      </c>
      <c r="C6" s="306"/>
      <c r="D6" s="306"/>
      <c r="E6" s="307"/>
      <c r="F6" s="49">
        <f>IF(TeamAssuranceQuote="",SUM(F2:F5),MIN(ROUND(0.9*TeamAssuranceQuote,2),SUM(F2:F3))+SUM(F4:F5))</f>
        <v>0</v>
      </c>
      <c r="G6" s="188"/>
      <c r="H6" s="308" t="s">
        <v>229</v>
      </c>
      <c r="I6" s="308"/>
      <c r="J6" s="308"/>
      <c r="K6" s="308"/>
      <c r="L6" s="308"/>
      <c r="M6" s="308"/>
      <c r="N6" s="209" t="s">
        <v>235</v>
      </c>
      <c r="O6" s="201"/>
      <c r="P6" s="199" t="str">
        <f>IFERROR(IF(F8="","",VLOOKUP(WEEKDAY(Q6,16),Day[],2)),"Error")</f>
        <v/>
      </c>
      <c r="Q6" s="198" t="str">
        <f>IF(F8="","",LOOKUP(BOD_IHD,IHD_Calc[Delivery Date],IHD_Calc[In Transit]))</f>
        <v/>
      </c>
      <c r="T6" s="42"/>
      <c r="U6" s="42"/>
      <c r="V6" s="42"/>
      <c r="W6" s="50"/>
      <c r="AA6" s="180"/>
      <c r="AC6" s="79"/>
    </row>
    <row r="7" spans="1:30" s="41" customFormat="1" ht="30" customHeight="1" x14ac:dyDescent="0.2">
      <c r="A7" s="79"/>
      <c r="B7" s="243" t="s">
        <v>255</v>
      </c>
      <c r="C7" s="243"/>
      <c r="D7" s="243"/>
      <c r="E7" s="258">
        <f>TeamAssuranceQuote</f>
        <v>0</v>
      </c>
      <c r="F7" s="243" t="b">
        <f>TeamAssuranceQuote&lt;&gt;""</f>
        <v>0</v>
      </c>
      <c r="G7" s="188"/>
      <c r="H7" s="308" t="s">
        <v>230</v>
      </c>
      <c r="I7" s="308"/>
      <c r="J7" s="308"/>
      <c r="K7" s="308"/>
      <c r="L7" s="308"/>
      <c r="M7" s="309"/>
      <c r="N7" s="85" t="s">
        <v>236</v>
      </c>
      <c r="O7" s="86"/>
      <c r="P7" s="197" t="str">
        <f>IF(F8="","","Tuesday")</f>
        <v/>
      </c>
      <c r="Q7" s="198" t="str">
        <f>IF(F8="","",LOOKUP(BOD_IHD,IHD_Calc[Delivery Date],IHD_Calc[Est Ship Date]))</f>
        <v/>
      </c>
      <c r="R7" s="48"/>
      <c r="S7" s="48"/>
      <c r="T7" s="47"/>
      <c r="U7" s="47"/>
      <c r="V7" s="47"/>
      <c r="W7" s="48"/>
      <c r="AA7" s="180"/>
      <c r="AC7" s="79"/>
    </row>
    <row r="8" spans="1:30" s="48" customFormat="1" ht="30" customHeight="1" x14ac:dyDescent="0.2">
      <c r="A8" s="79"/>
      <c r="B8" s="320" t="s">
        <v>252</v>
      </c>
      <c r="C8" s="321"/>
      <c r="D8" s="321"/>
      <c r="E8" s="213" t="str">
        <f>IF(F8="","",VLOOKUP(WEEKDAY(F8,16),Day[],2))</f>
        <v/>
      </c>
      <c r="F8" s="271"/>
      <c r="G8" s="243" t="b">
        <f>IF(BOD_IHD="",FALSE,IFERROR(Q8&lt;&gt;"GROUND",TRUE))</f>
        <v>0</v>
      </c>
      <c r="H8" s="308" t="s">
        <v>259</v>
      </c>
      <c r="I8" s="308"/>
      <c r="J8" s="308"/>
      <c r="K8" s="308"/>
      <c r="L8" s="308"/>
      <c r="M8" s="268"/>
      <c r="N8" s="85" t="s">
        <v>237</v>
      </c>
      <c r="O8" s="86"/>
      <c r="P8" s="213"/>
      <c r="Q8" s="202" t="str">
        <f>IF(F8="","",LOOKUP(BOD_IHD,IHD_Calc[Delivery Date],IHD_Calc[Shipping]))</f>
        <v/>
      </c>
      <c r="R8" s="266"/>
      <c r="S8" s="266"/>
      <c r="T8" s="266"/>
      <c r="U8" s="266"/>
      <c r="V8" s="266"/>
      <c r="W8" s="266"/>
      <c r="AA8" s="181"/>
      <c r="AC8" s="79"/>
    </row>
    <row r="9" spans="1:30" s="41" customFormat="1" ht="30" customHeight="1" x14ac:dyDescent="0.2">
      <c r="A9" s="79"/>
      <c r="B9" s="319" t="str">
        <f>IF(BOD_IHD="","",VLOOKUP(BOD_IHD,Prices!$EI$3:$EL$13,4))</f>
        <v/>
      </c>
      <c r="C9" s="319"/>
      <c r="D9" s="319"/>
      <c r="E9" s="319"/>
      <c r="F9" s="319"/>
      <c r="G9" s="188"/>
      <c r="H9" s="308"/>
      <c r="I9" s="308"/>
      <c r="J9" s="308"/>
      <c r="K9" s="308"/>
      <c r="L9" s="308"/>
      <c r="M9" s="268"/>
      <c r="N9" s="210" t="s">
        <v>208</v>
      </c>
      <c r="O9" s="211"/>
      <c r="P9" s="200" t="str">
        <f>IF(F8="","",VLOOKUP(WEEKDAY(Q9,16),Day[],2))</f>
        <v/>
      </c>
      <c r="Q9" s="231" t="str">
        <f>IF(F8="","",LOOKUP(BOD_IHD,IHD_Calc[Delivery Date],IHD_Calc[Delivery Date]))</f>
        <v/>
      </c>
      <c r="R9" s="314" t="str">
        <f>IF(F8="","","   ** Bowlifi will use their best efforts to meet the In Hand Date, but In Hand Dates are not guaranteed.")</f>
        <v/>
      </c>
      <c r="S9" s="314"/>
      <c r="T9" s="314"/>
      <c r="U9" s="314"/>
      <c r="V9" s="314"/>
      <c r="W9" s="314"/>
      <c r="AA9" s="180"/>
      <c r="AC9" s="79"/>
    </row>
    <row r="10" spans="1:30" s="41" customFormat="1" ht="5" customHeight="1" x14ac:dyDescent="0.2">
      <c r="A10" s="79"/>
      <c r="B10" s="318" t="s">
        <v>355</v>
      </c>
      <c r="C10" s="318"/>
      <c r="D10" s="318"/>
      <c r="E10" s="318"/>
      <c r="F10" s="318"/>
      <c r="G10" s="188"/>
      <c r="H10" s="308"/>
      <c r="I10" s="308"/>
      <c r="J10" s="308"/>
      <c r="K10" s="308"/>
      <c r="L10" s="308"/>
      <c r="M10" s="269"/>
      <c r="N10" s="232"/>
      <c r="Q10" s="267">
        <f ca="1">_xlfn.XLOOKUP(Selected_ProdPriority,IHD_Calc[Production Priority],IHD_Calc[Delivery Date])</f>
        <v>45847</v>
      </c>
      <c r="R10" s="314"/>
      <c r="S10" s="314"/>
      <c r="T10" s="314"/>
      <c r="U10" s="314"/>
      <c r="V10" s="314"/>
      <c r="W10" s="314"/>
      <c r="AA10" s="180"/>
      <c r="AC10" s="194"/>
    </row>
    <row r="11" spans="1:30" s="48" customFormat="1" ht="36.5" customHeight="1" x14ac:dyDescent="0.2">
      <c r="A11" s="79"/>
      <c r="B11" s="318"/>
      <c r="C11" s="318"/>
      <c r="D11" s="318"/>
      <c r="E11" s="318"/>
      <c r="F11" s="318"/>
      <c r="G11" s="189"/>
      <c r="H11" s="322" t="s">
        <v>263</v>
      </c>
      <c r="I11" s="322"/>
      <c r="J11" s="322"/>
      <c r="K11" s="322"/>
      <c r="L11" s="322"/>
      <c r="M11" s="270"/>
      <c r="N11" s="233"/>
      <c r="AA11" s="181"/>
      <c r="AC11" s="79"/>
    </row>
    <row r="12" spans="1:30" s="48" customFormat="1" ht="7.5" customHeight="1" x14ac:dyDescent="0.2">
      <c r="A12" s="79"/>
      <c r="B12" s="46"/>
      <c r="C12" s="46"/>
      <c r="D12" s="46"/>
      <c r="E12" s="46"/>
      <c r="F12" s="46"/>
      <c r="G12" s="189"/>
      <c r="H12" s="47"/>
      <c r="I12" s="47"/>
      <c r="J12" s="47"/>
      <c r="K12" s="47"/>
      <c r="L12" s="47"/>
      <c r="M12" s="47"/>
      <c r="N12" s="47"/>
      <c r="O12" s="47"/>
      <c r="P12" s="47"/>
      <c r="Q12" s="47"/>
      <c r="R12" s="47"/>
      <c r="S12" s="47"/>
      <c r="T12" s="47"/>
      <c r="U12" s="47"/>
      <c r="V12" s="47"/>
      <c r="W12" s="142"/>
      <c r="AA12" s="181"/>
      <c r="AC12" s="79"/>
    </row>
    <row r="13" spans="1:30" s="55" customFormat="1" ht="33" thickBot="1" x14ac:dyDescent="0.25">
      <c r="A13" s="80"/>
      <c r="B13" s="52" t="s">
        <v>135</v>
      </c>
      <c r="C13" s="53" t="s">
        <v>136</v>
      </c>
      <c r="D13" s="53" t="s">
        <v>137</v>
      </c>
      <c r="E13" s="272" t="s">
        <v>225</v>
      </c>
      <c r="F13" s="54" t="s">
        <v>232</v>
      </c>
      <c r="G13" s="190" t="s">
        <v>234</v>
      </c>
      <c r="H13" s="54" t="s">
        <v>151</v>
      </c>
      <c r="I13" s="53" t="s">
        <v>140</v>
      </c>
      <c r="J13" s="54" t="s">
        <v>77</v>
      </c>
      <c r="K13" s="54" t="s">
        <v>78</v>
      </c>
      <c r="L13" s="53" t="s">
        <v>141</v>
      </c>
      <c r="M13" s="54" t="s">
        <v>142</v>
      </c>
      <c r="N13" s="54" t="str">
        <f>"Name on Back of Jersey (Optional +"&amp;TEXT(_xlfn.XLOOKUP("Name",Name[Name],Name[Price]),"0.00")&amp;")"</f>
        <v>Name on Back of Jersey (Optional +8.00)</v>
      </c>
      <c r="O13" s="54" t="s">
        <v>2</v>
      </c>
      <c r="P13" s="54" t="s">
        <v>221</v>
      </c>
      <c r="Q13" s="53" t="s">
        <v>3</v>
      </c>
      <c r="R13" s="54" t="s">
        <v>143</v>
      </c>
      <c r="S13" s="54" t="s">
        <v>144</v>
      </c>
      <c r="T13" s="54" t="s">
        <v>145</v>
      </c>
      <c r="U13" s="54" t="s">
        <v>146</v>
      </c>
      <c r="V13" s="54" t="s">
        <v>147</v>
      </c>
      <c r="W13" s="54" t="s">
        <v>152</v>
      </c>
      <c r="X13" s="58" t="s">
        <v>103</v>
      </c>
      <c r="Y13" s="58" t="s">
        <v>191</v>
      </c>
      <c r="Z13" s="58" t="s">
        <v>104</v>
      </c>
      <c r="AA13" s="182" t="s">
        <v>188</v>
      </c>
      <c r="AB13" s="177" t="s">
        <v>189</v>
      </c>
      <c r="AC13" s="195"/>
    </row>
    <row r="14" spans="1:30" s="41" customFormat="1" ht="30" customHeight="1" x14ac:dyDescent="0.2">
      <c r="A14" s="79"/>
      <c r="B14" s="69">
        <v>1</v>
      </c>
      <c r="C14" s="154"/>
      <c r="D14" s="154"/>
      <c r="E14" s="273"/>
      <c r="F14" s="214"/>
      <c r="G14" s="186"/>
      <c r="H14" s="74"/>
      <c r="I14" s="74"/>
      <c r="J14" s="74"/>
      <c r="K14" s="74"/>
      <c r="L14" s="73"/>
      <c r="M14" s="74"/>
      <c r="N14" s="73"/>
      <c r="O14" s="74"/>
      <c r="P14" s="74"/>
      <c r="Q14" s="74"/>
      <c r="R14" s="73"/>
      <c r="S14" s="73"/>
      <c r="T14" s="73"/>
      <c r="U14" s="73"/>
      <c r="V14" s="73"/>
      <c r="W14" s="144"/>
      <c r="X14" s="45" t="str">
        <f>IF(M14="","",'Pricing Details'!D4+'Pricing Details'!Q4)</f>
        <v/>
      </c>
      <c r="Y14" s="45" t="str">
        <f>IF(M14="","",'Pricing Details'!V4)</f>
        <v/>
      </c>
      <c r="Z14" s="43" t="str">
        <f>IF(M14="","",'Pricing Details'!X4)</f>
        <v/>
      </c>
      <c r="AA14" s="183" t="str">
        <f>'Pricing Details'!Z4</f>
        <v/>
      </c>
      <c r="AB14" s="178" t="str">
        <f>'Pricing Details'!AC4</f>
        <v/>
      </c>
      <c r="AC14" s="194"/>
      <c r="AD14" s="41" t="str">
        <f>IFERROR(_xlfn.XLOOKUP(K14,Collection[Display],Collection[Line])&amp;_xlfn.XLOOKUP(L14,Sleeve[Display],Sleeve[Sleeve]),"")</f>
        <v/>
      </c>
    </row>
    <row r="15" spans="1:30" s="41" customFormat="1" ht="30" customHeight="1" x14ac:dyDescent="0.2">
      <c r="A15" s="79"/>
      <c r="B15" s="70">
        <v>2</v>
      </c>
      <c r="C15" s="72"/>
      <c r="D15" s="72"/>
      <c r="E15" s="274"/>
      <c r="F15" s="214"/>
      <c r="G15" s="186"/>
      <c r="H15" s="74"/>
      <c r="I15" s="74"/>
      <c r="J15" s="74"/>
      <c r="K15" s="74"/>
      <c r="L15" s="73"/>
      <c r="M15" s="74"/>
      <c r="N15" s="73"/>
      <c r="O15" s="74"/>
      <c r="P15" s="74"/>
      <c r="Q15" s="74"/>
      <c r="R15" s="73"/>
      <c r="S15" s="73"/>
      <c r="T15" s="73"/>
      <c r="U15" s="73"/>
      <c r="V15" s="73"/>
      <c r="W15" s="144"/>
      <c r="X15" s="45" t="str">
        <f>IF(M15="","",'Pricing Details'!D5+'Pricing Details'!Q5)</f>
        <v/>
      </c>
      <c r="Y15" s="45" t="str">
        <f>IF(M15="","",'Pricing Details'!V5)</f>
        <v/>
      </c>
      <c r="Z15" s="43" t="str">
        <f>IF(M15="","",'Pricing Details'!X5)</f>
        <v/>
      </c>
      <c r="AA15" s="183" t="str">
        <f>'Pricing Details'!Z5</f>
        <v/>
      </c>
      <c r="AB15" s="178" t="str">
        <f>'Pricing Details'!AC5</f>
        <v/>
      </c>
      <c r="AC15" s="194"/>
      <c r="AD15" s="41" t="str">
        <f>IFERROR(_xlfn.XLOOKUP(K15,Collection[Display],Collection[Line])&amp;_xlfn.XLOOKUP(L15,Sleeve[Display],Sleeve[Sleeve]),"")</f>
        <v/>
      </c>
    </row>
    <row r="16" spans="1:30" s="41" customFormat="1" ht="30" customHeight="1" x14ac:dyDescent="0.2">
      <c r="A16" s="79"/>
      <c r="B16" s="70">
        <v>3</v>
      </c>
      <c r="C16" s="72"/>
      <c r="D16" s="72"/>
      <c r="E16" s="274"/>
      <c r="F16" s="214"/>
      <c r="G16" s="186"/>
      <c r="H16" s="74"/>
      <c r="I16" s="74"/>
      <c r="J16" s="74"/>
      <c r="K16" s="74"/>
      <c r="L16" s="73"/>
      <c r="M16" s="74"/>
      <c r="N16" s="73"/>
      <c r="O16" s="74"/>
      <c r="P16" s="74"/>
      <c r="Q16" s="74"/>
      <c r="R16" s="73"/>
      <c r="S16" s="73"/>
      <c r="T16" s="73"/>
      <c r="U16" s="73"/>
      <c r="V16" s="73"/>
      <c r="W16" s="144"/>
      <c r="X16" s="45" t="str">
        <f>IF(M16="","",'Pricing Details'!D6+'Pricing Details'!Q6)</f>
        <v/>
      </c>
      <c r="Y16" s="45" t="str">
        <f>IF(M16="","",'Pricing Details'!V6)</f>
        <v/>
      </c>
      <c r="Z16" s="43" t="str">
        <f>IF(M16="","",'Pricing Details'!X6)</f>
        <v/>
      </c>
      <c r="AA16" s="183" t="str">
        <f>'Pricing Details'!Z6</f>
        <v/>
      </c>
      <c r="AB16" s="178" t="str">
        <f>'Pricing Details'!AC6</f>
        <v/>
      </c>
      <c r="AC16" s="194"/>
      <c r="AD16" s="41" t="str">
        <f>IFERROR(_xlfn.XLOOKUP(K16,Collection[Display],Collection[Line])&amp;_xlfn.XLOOKUP(L16,Sleeve[Display],Sleeve[Sleeve]),"")</f>
        <v/>
      </c>
    </row>
    <row r="17" spans="1:30" s="41" customFormat="1" ht="30" customHeight="1" x14ac:dyDescent="0.2">
      <c r="A17" s="79"/>
      <c r="B17" s="70">
        <v>4</v>
      </c>
      <c r="C17" s="72"/>
      <c r="D17" s="72"/>
      <c r="E17" s="274"/>
      <c r="F17" s="214"/>
      <c r="G17" s="186"/>
      <c r="H17" s="74"/>
      <c r="I17" s="74"/>
      <c r="J17" s="74"/>
      <c r="K17" s="74"/>
      <c r="L17" s="73"/>
      <c r="M17" s="74"/>
      <c r="N17" s="73"/>
      <c r="O17" s="74"/>
      <c r="P17" s="74"/>
      <c r="Q17" s="74"/>
      <c r="R17" s="73"/>
      <c r="S17" s="73"/>
      <c r="T17" s="73"/>
      <c r="U17" s="73"/>
      <c r="V17" s="73"/>
      <c r="W17" s="144"/>
      <c r="X17" s="45" t="str">
        <f>IF(M17="","",'Pricing Details'!D7+'Pricing Details'!Q7)</f>
        <v/>
      </c>
      <c r="Y17" s="45" t="str">
        <f>IF(M17="","",'Pricing Details'!V7)</f>
        <v/>
      </c>
      <c r="Z17" s="43" t="str">
        <f>IF(M17="","",'Pricing Details'!X7)</f>
        <v/>
      </c>
      <c r="AA17" s="183" t="str">
        <f>'Pricing Details'!Z7</f>
        <v/>
      </c>
      <c r="AB17" s="178" t="str">
        <f>'Pricing Details'!AC7</f>
        <v/>
      </c>
      <c r="AC17" s="194"/>
      <c r="AD17" s="41" t="str">
        <f>IFERROR(_xlfn.XLOOKUP(K17,Collection[Display],Collection[Line])&amp;_xlfn.XLOOKUP(L17,Sleeve[Display],Sleeve[Sleeve]),"")</f>
        <v/>
      </c>
    </row>
    <row r="18" spans="1:30" s="41" customFormat="1" ht="30" customHeight="1" x14ac:dyDescent="0.2">
      <c r="A18" s="79"/>
      <c r="B18" s="70">
        <v>5</v>
      </c>
      <c r="C18" s="72"/>
      <c r="D18" s="72"/>
      <c r="E18" s="274"/>
      <c r="F18" s="214"/>
      <c r="G18" s="186"/>
      <c r="H18" s="74"/>
      <c r="I18" s="74"/>
      <c r="J18" s="74"/>
      <c r="K18" s="74"/>
      <c r="L18" s="73"/>
      <c r="M18" s="74"/>
      <c r="N18" s="73"/>
      <c r="O18" s="74"/>
      <c r="P18" s="74"/>
      <c r="Q18" s="74"/>
      <c r="R18" s="73"/>
      <c r="S18" s="73"/>
      <c r="T18" s="73"/>
      <c r="U18" s="73"/>
      <c r="V18" s="73"/>
      <c r="W18" s="144"/>
      <c r="X18" s="45" t="str">
        <f>IF(M18="","",'Pricing Details'!D8+'Pricing Details'!Q8)</f>
        <v/>
      </c>
      <c r="Y18" s="45" t="str">
        <f>IF(M18="","",'Pricing Details'!V8)</f>
        <v/>
      </c>
      <c r="Z18" s="43" t="str">
        <f>IF(M18="","",'Pricing Details'!X8)</f>
        <v/>
      </c>
      <c r="AA18" s="183" t="str">
        <f>'Pricing Details'!Z8</f>
        <v/>
      </c>
      <c r="AB18" s="178" t="str">
        <f>'Pricing Details'!AC8</f>
        <v/>
      </c>
      <c r="AC18" s="194"/>
      <c r="AD18" s="41" t="str">
        <f>IFERROR(_xlfn.XLOOKUP(K18,Collection[Display],Collection[Line])&amp;_xlfn.XLOOKUP(L18,Sleeve[Display],Sleeve[Sleeve]),"")</f>
        <v/>
      </c>
    </row>
    <row r="19" spans="1:30" s="41" customFormat="1" ht="30" customHeight="1" x14ac:dyDescent="0.2">
      <c r="A19" s="79"/>
      <c r="B19" s="70">
        <v>6</v>
      </c>
      <c r="C19" s="72"/>
      <c r="D19" s="72"/>
      <c r="E19" s="274"/>
      <c r="F19" s="214"/>
      <c r="G19" s="186"/>
      <c r="H19" s="74"/>
      <c r="I19" s="74"/>
      <c r="J19" s="74"/>
      <c r="K19" s="74"/>
      <c r="L19" s="73"/>
      <c r="M19" s="74"/>
      <c r="N19" s="73"/>
      <c r="O19" s="74"/>
      <c r="P19" s="74"/>
      <c r="Q19" s="74"/>
      <c r="R19" s="73"/>
      <c r="S19" s="73"/>
      <c r="T19" s="73"/>
      <c r="U19" s="73"/>
      <c r="V19" s="73"/>
      <c r="W19" s="144"/>
      <c r="X19" s="45" t="str">
        <f>IF(M19="","",'Pricing Details'!D9+'Pricing Details'!Q9)</f>
        <v/>
      </c>
      <c r="Y19" s="45" t="str">
        <f>IF(M19="","",'Pricing Details'!V9)</f>
        <v/>
      </c>
      <c r="Z19" s="43" t="str">
        <f>IF(M19="","",'Pricing Details'!X9)</f>
        <v/>
      </c>
      <c r="AA19" s="183" t="str">
        <f>'Pricing Details'!Z9</f>
        <v/>
      </c>
      <c r="AB19" s="178" t="str">
        <f>'Pricing Details'!AC9</f>
        <v/>
      </c>
      <c r="AC19" s="79"/>
      <c r="AD19" s="41" t="str">
        <f>IFERROR(_xlfn.XLOOKUP(K19,Collection[Display],Collection[Line])&amp;_xlfn.XLOOKUP(L19,Sleeve[Display],Sleeve[Sleeve]),"")</f>
        <v/>
      </c>
    </row>
    <row r="20" spans="1:30" s="41" customFormat="1" ht="30" customHeight="1" x14ac:dyDescent="0.2">
      <c r="A20" s="79"/>
      <c r="B20" s="70">
        <v>7</v>
      </c>
      <c r="C20" s="72"/>
      <c r="D20" s="72"/>
      <c r="E20" s="274"/>
      <c r="F20" s="214"/>
      <c r="G20" s="186"/>
      <c r="H20" s="74"/>
      <c r="I20" s="74"/>
      <c r="J20" s="74"/>
      <c r="K20" s="74"/>
      <c r="L20" s="73"/>
      <c r="M20" s="74"/>
      <c r="N20" s="73"/>
      <c r="O20" s="74"/>
      <c r="P20" s="74"/>
      <c r="Q20" s="74"/>
      <c r="R20" s="73"/>
      <c r="S20" s="73"/>
      <c r="T20" s="73"/>
      <c r="U20" s="73"/>
      <c r="V20" s="73"/>
      <c r="W20" s="144"/>
      <c r="X20" s="45" t="str">
        <f>IF(M20="","",'Pricing Details'!D10+'Pricing Details'!Q10)</f>
        <v/>
      </c>
      <c r="Y20" s="45" t="str">
        <f>IF(M20="","",'Pricing Details'!V10)</f>
        <v/>
      </c>
      <c r="Z20" s="43" t="str">
        <f>IF(M20="","",'Pricing Details'!X10)</f>
        <v/>
      </c>
      <c r="AA20" s="183" t="str">
        <f>'Pricing Details'!Z10</f>
        <v/>
      </c>
      <c r="AB20" s="178" t="str">
        <f>'Pricing Details'!AC10</f>
        <v/>
      </c>
      <c r="AC20" s="79"/>
      <c r="AD20" s="41" t="str">
        <f>IFERROR(_xlfn.XLOOKUP(K20,Collection[Display],Collection[Line])&amp;_xlfn.XLOOKUP(L20,Sleeve[Display],Sleeve[Sleeve]),"")</f>
        <v/>
      </c>
    </row>
    <row r="21" spans="1:30" s="41" customFormat="1" ht="30" customHeight="1" x14ac:dyDescent="0.2">
      <c r="A21" s="79"/>
      <c r="B21" s="70">
        <v>8</v>
      </c>
      <c r="C21" s="72"/>
      <c r="D21" s="72"/>
      <c r="E21" s="274"/>
      <c r="F21" s="214"/>
      <c r="G21" s="186"/>
      <c r="H21" s="74"/>
      <c r="I21" s="74"/>
      <c r="J21" s="74"/>
      <c r="K21" s="74"/>
      <c r="L21" s="73"/>
      <c r="M21" s="74"/>
      <c r="N21" s="73"/>
      <c r="O21" s="74"/>
      <c r="P21" s="74"/>
      <c r="Q21" s="74"/>
      <c r="R21" s="73"/>
      <c r="S21" s="73"/>
      <c r="T21" s="73"/>
      <c r="U21" s="73"/>
      <c r="V21" s="73"/>
      <c r="W21" s="144"/>
      <c r="X21" s="45" t="str">
        <f>IF(M21="","",'Pricing Details'!D11+'Pricing Details'!Q11)</f>
        <v/>
      </c>
      <c r="Y21" s="45" t="str">
        <f>IF(M21="","",'Pricing Details'!V11)</f>
        <v/>
      </c>
      <c r="Z21" s="43" t="str">
        <f>IF(M21="","",'Pricing Details'!X11)</f>
        <v/>
      </c>
      <c r="AA21" s="183" t="str">
        <f>'Pricing Details'!Z11</f>
        <v/>
      </c>
      <c r="AB21" s="178" t="str">
        <f>'Pricing Details'!AC11</f>
        <v/>
      </c>
      <c r="AC21" s="79"/>
      <c r="AD21" s="41" t="str">
        <f>IFERROR(_xlfn.XLOOKUP(K21,Collection[Display],Collection[Line])&amp;_xlfn.XLOOKUP(L21,Sleeve[Display],Sleeve[Sleeve]),"")</f>
        <v/>
      </c>
    </row>
    <row r="22" spans="1:30" s="41" customFormat="1" ht="30" customHeight="1" x14ac:dyDescent="0.2">
      <c r="A22" s="79"/>
      <c r="B22" s="70">
        <v>9</v>
      </c>
      <c r="C22" s="72"/>
      <c r="D22" s="72"/>
      <c r="E22" s="274"/>
      <c r="F22" s="214"/>
      <c r="G22" s="186"/>
      <c r="H22" s="74"/>
      <c r="I22" s="74"/>
      <c r="J22" s="74"/>
      <c r="K22" s="74"/>
      <c r="L22" s="73"/>
      <c r="M22" s="74"/>
      <c r="N22" s="73"/>
      <c r="O22" s="74"/>
      <c r="P22" s="74"/>
      <c r="Q22" s="74"/>
      <c r="R22" s="73"/>
      <c r="S22" s="73"/>
      <c r="T22" s="73"/>
      <c r="U22" s="73"/>
      <c r="V22" s="73"/>
      <c r="W22" s="144"/>
      <c r="X22" s="45" t="str">
        <f>IF(M22="","",'Pricing Details'!D12+'Pricing Details'!Q12)</f>
        <v/>
      </c>
      <c r="Y22" s="45" t="str">
        <f>IF(M22="","",'Pricing Details'!V12)</f>
        <v/>
      </c>
      <c r="Z22" s="43" t="str">
        <f>IF(M22="","",'Pricing Details'!X12)</f>
        <v/>
      </c>
      <c r="AA22" s="183" t="str">
        <f>'Pricing Details'!Z12</f>
        <v/>
      </c>
      <c r="AB22" s="178" t="str">
        <f>'Pricing Details'!AC12</f>
        <v/>
      </c>
      <c r="AC22" s="79"/>
      <c r="AD22" s="41" t="str">
        <f>IFERROR(_xlfn.XLOOKUP(K22,Collection[Display],Collection[Line])&amp;_xlfn.XLOOKUP(L22,Sleeve[Display],Sleeve[Sleeve]),"")</f>
        <v/>
      </c>
    </row>
    <row r="23" spans="1:30" s="41" customFormat="1" ht="30" customHeight="1" x14ac:dyDescent="0.2">
      <c r="A23" s="79"/>
      <c r="B23" s="70">
        <v>10</v>
      </c>
      <c r="C23" s="72"/>
      <c r="D23" s="72"/>
      <c r="E23" s="274"/>
      <c r="F23" s="214"/>
      <c r="G23" s="186"/>
      <c r="H23" s="74"/>
      <c r="I23" s="74"/>
      <c r="J23" s="74"/>
      <c r="K23" s="74"/>
      <c r="L23" s="73"/>
      <c r="M23" s="74"/>
      <c r="N23" s="73"/>
      <c r="O23" s="74"/>
      <c r="P23" s="74"/>
      <c r="Q23" s="74"/>
      <c r="R23" s="73"/>
      <c r="S23" s="73"/>
      <c r="T23" s="73"/>
      <c r="U23" s="73"/>
      <c r="V23" s="73"/>
      <c r="W23" s="144"/>
      <c r="X23" s="45" t="str">
        <f>IF(M23="","",'Pricing Details'!D13+'Pricing Details'!Q13)</f>
        <v/>
      </c>
      <c r="Y23" s="45" t="str">
        <f>IF(M23="","",'Pricing Details'!V13)</f>
        <v/>
      </c>
      <c r="Z23" s="43" t="str">
        <f>IF(M23="","",'Pricing Details'!X13)</f>
        <v/>
      </c>
      <c r="AA23" s="183" t="str">
        <f>'Pricing Details'!Z13</f>
        <v/>
      </c>
      <c r="AB23" s="178" t="str">
        <f>'Pricing Details'!AC13</f>
        <v/>
      </c>
      <c r="AC23" s="79"/>
      <c r="AD23" s="41" t="str">
        <f>IFERROR(_xlfn.XLOOKUP(K23,Collection[Display],Collection[Line])&amp;_xlfn.XLOOKUP(L23,Sleeve[Display],Sleeve[Sleeve]),"")</f>
        <v/>
      </c>
    </row>
    <row r="24" spans="1:30" s="41" customFormat="1" ht="30" customHeight="1" x14ac:dyDescent="0.2">
      <c r="A24" s="79"/>
      <c r="B24" s="70">
        <v>11</v>
      </c>
      <c r="C24" s="72"/>
      <c r="D24" s="72"/>
      <c r="E24" s="274"/>
      <c r="F24" s="214"/>
      <c r="G24" s="186"/>
      <c r="H24" s="74"/>
      <c r="I24" s="74"/>
      <c r="J24" s="74"/>
      <c r="K24" s="74"/>
      <c r="L24" s="73"/>
      <c r="M24" s="74"/>
      <c r="N24" s="73"/>
      <c r="O24" s="74"/>
      <c r="P24" s="74"/>
      <c r="Q24" s="74"/>
      <c r="R24" s="73"/>
      <c r="S24" s="73"/>
      <c r="T24" s="73"/>
      <c r="U24" s="73"/>
      <c r="V24" s="73"/>
      <c r="W24" s="144"/>
      <c r="X24" s="45" t="str">
        <f>IF(M24="","",'Pricing Details'!D14+'Pricing Details'!Q14)</f>
        <v/>
      </c>
      <c r="Y24" s="45" t="str">
        <f>IF(M24="","",'Pricing Details'!V14)</f>
        <v/>
      </c>
      <c r="Z24" s="43" t="str">
        <f>IF(M24="","",'Pricing Details'!X14)</f>
        <v/>
      </c>
      <c r="AA24" s="183" t="str">
        <f>'Pricing Details'!Z14</f>
        <v/>
      </c>
      <c r="AB24" s="178" t="str">
        <f>'Pricing Details'!AC14</f>
        <v/>
      </c>
      <c r="AC24" s="79"/>
      <c r="AD24" s="41" t="str">
        <f>IFERROR(_xlfn.XLOOKUP(K24,Collection[Display],Collection[Line])&amp;_xlfn.XLOOKUP(L24,Sleeve[Display],Sleeve[Sleeve]),"")</f>
        <v/>
      </c>
    </row>
    <row r="25" spans="1:30" s="41" customFormat="1" ht="30" customHeight="1" x14ac:dyDescent="0.2">
      <c r="A25" s="79"/>
      <c r="B25" s="70">
        <v>12</v>
      </c>
      <c r="C25" s="72"/>
      <c r="D25" s="72"/>
      <c r="E25" s="274"/>
      <c r="F25" s="214"/>
      <c r="G25" s="186"/>
      <c r="H25" s="74"/>
      <c r="I25" s="74"/>
      <c r="J25" s="74"/>
      <c r="K25" s="74"/>
      <c r="L25" s="73"/>
      <c r="M25" s="74"/>
      <c r="N25" s="73"/>
      <c r="O25" s="74"/>
      <c r="P25" s="74"/>
      <c r="Q25" s="74"/>
      <c r="R25" s="73"/>
      <c r="S25" s="73"/>
      <c r="T25" s="73"/>
      <c r="U25" s="73"/>
      <c r="V25" s="73"/>
      <c r="W25" s="144"/>
      <c r="X25" s="45" t="str">
        <f>IF(M25="","",'Pricing Details'!D15+'Pricing Details'!Q15)</f>
        <v/>
      </c>
      <c r="Y25" s="45" t="str">
        <f>IF(M25="","",'Pricing Details'!V15)</f>
        <v/>
      </c>
      <c r="Z25" s="43" t="str">
        <f>IF(M25="","",'Pricing Details'!X15)</f>
        <v/>
      </c>
      <c r="AA25" s="183" t="str">
        <f>'Pricing Details'!Z15</f>
        <v/>
      </c>
      <c r="AB25" s="178" t="str">
        <f>'Pricing Details'!AC15</f>
        <v/>
      </c>
      <c r="AC25" s="79"/>
      <c r="AD25" s="41" t="str">
        <f>IFERROR(_xlfn.XLOOKUP(K25,Collection[Display],Collection[Line])&amp;_xlfn.XLOOKUP(L25,Sleeve[Display],Sleeve[Sleeve]),"")</f>
        <v/>
      </c>
    </row>
    <row r="26" spans="1:30" s="41" customFormat="1" ht="30" customHeight="1" x14ac:dyDescent="0.2">
      <c r="A26" s="79"/>
      <c r="B26" s="70">
        <v>13</v>
      </c>
      <c r="C26" s="72"/>
      <c r="D26" s="72"/>
      <c r="E26" s="274"/>
      <c r="F26" s="214"/>
      <c r="G26" s="186"/>
      <c r="H26" s="74"/>
      <c r="I26" s="74"/>
      <c r="J26" s="74"/>
      <c r="K26" s="74"/>
      <c r="L26" s="73"/>
      <c r="M26" s="74"/>
      <c r="N26" s="73"/>
      <c r="O26" s="74"/>
      <c r="P26" s="74"/>
      <c r="Q26" s="74"/>
      <c r="R26" s="73"/>
      <c r="S26" s="73"/>
      <c r="T26" s="73"/>
      <c r="U26" s="73"/>
      <c r="V26" s="73"/>
      <c r="W26" s="144"/>
      <c r="X26" s="45" t="str">
        <f>IF(M26="","",'Pricing Details'!D16+'Pricing Details'!Q16)</f>
        <v/>
      </c>
      <c r="Y26" s="45" t="str">
        <f>IF(M26="","",'Pricing Details'!V16)</f>
        <v/>
      </c>
      <c r="Z26" s="43" t="str">
        <f>IF(M26="","",'Pricing Details'!X16)</f>
        <v/>
      </c>
      <c r="AA26" s="183" t="str">
        <f>'Pricing Details'!Z16</f>
        <v/>
      </c>
      <c r="AB26" s="178" t="str">
        <f>'Pricing Details'!AC16</f>
        <v/>
      </c>
      <c r="AC26" s="79"/>
      <c r="AD26" s="41" t="str">
        <f>IFERROR(_xlfn.XLOOKUP(K26,Collection[Display],Collection[Line])&amp;_xlfn.XLOOKUP(L26,Sleeve[Display],Sleeve[Sleeve]),"")</f>
        <v/>
      </c>
    </row>
    <row r="27" spans="1:30" s="41" customFormat="1" ht="30" customHeight="1" x14ac:dyDescent="0.2">
      <c r="A27" s="79"/>
      <c r="B27" s="70">
        <v>14</v>
      </c>
      <c r="C27" s="72"/>
      <c r="D27" s="72"/>
      <c r="E27" s="274"/>
      <c r="F27" s="214"/>
      <c r="G27" s="186"/>
      <c r="H27" s="74"/>
      <c r="I27" s="74"/>
      <c r="J27" s="74"/>
      <c r="K27" s="74"/>
      <c r="L27" s="73"/>
      <c r="M27" s="74"/>
      <c r="N27" s="73"/>
      <c r="O27" s="74"/>
      <c r="P27" s="74"/>
      <c r="Q27" s="74"/>
      <c r="R27" s="73"/>
      <c r="S27" s="73"/>
      <c r="T27" s="73"/>
      <c r="U27" s="73"/>
      <c r="V27" s="73"/>
      <c r="W27" s="144"/>
      <c r="X27" s="45" t="str">
        <f>IF(M27="","",'Pricing Details'!D17+'Pricing Details'!Q17)</f>
        <v/>
      </c>
      <c r="Y27" s="45" t="str">
        <f>IF(M27="","",'Pricing Details'!V17)</f>
        <v/>
      </c>
      <c r="Z27" s="43" t="str">
        <f>IF(M27="","",'Pricing Details'!X17)</f>
        <v/>
      </c>
      <c r="AA27" s="183" t="str">
        <f>'Pricing Details'!Z17</f>
        <v/>
      </c>
      <c r="AB27" s="178" t="str">
        <f>'Pricing Details'!AC17</f>
        <v/>
      </c>
      <c r="AC27" s="79"/>
      <c r="AD27" s="41" t="str">
        <f>IFERROR(_xlfn.XLOOKUP(K27,Collection[Display],Collection[Line])&amp;_xlfn.XLOOKUP(L27,Sleeve[Display],Sleeve[Sleeve]),"")</f>
        <v/>
      </c>
    </row>
    <row r="28" spans="1:30" s="41" customFormat="1" ht="30" customHeight="1" x14ac:dyDescent="0.2">
      <c r="A28" s="79"/>
      <c r="B28" s="70">
        <v>15</v>
      </c>
      <c r="C28" s="72"/>
      <c r="D28" s="72"/>
      <c r="E28" s="274"/>
      <c r="F28" s="214"/>
      <c r="G28" s="186"/>
      <c r="H28" s="74"/>
      <c r="I28" s="74"/>
      <c r="J28" s="74"/>
      <c r="K28" s="74"/>
      <c r="L28" s="73"/>
      <c r="M28" s="74"/>
      <c r="N28" s="73"/>
      <c r="O28" s="74"/>
      <c r="P28" s="74"/>
      <c r="Q28" s="74"/>
      <c r="R28" s="73"/>
      <c r="S28" s="73"/>
      <c r="T28" s="73"/>
      <c r="U28" s="73"/>
      <c r="V28" s="73"/>
      <c r="W28" s="144"/>
      <c r="X28" s="45" t="str">
        <f>IF(M28="","",'Pricing Details'!D18+'Pricing Details'!Q18)</f>
        <v/>
      </c>
      <c r="Y28" s="45" t="str">
        <f>IF(M28="","",'Pricing Details'!V18)</f>
        <v/>
      </c>
      <c r="Z28" s="43" t="str">
        <f>IF(M28="","",'Pricing Details'!X18)</f>
        <v/>
      </c>
      <c r="AA28" s="183" t="str">
        <f>'Pricing Details'!Z18</f>
        <v/>
      </c>
      <c r="AB28" s="178" t="str">
        <f>'Pricing Details'!AC18</f>
        <v/>
      </c>
      <c r="AC28" s="79"/>
      <c r="AD28" s="41" t="str">
        <f>IFERROR(_xlfn.XLOOKUP(K28,Collection[Display],Collection[Line])&amp;_xlfn.XLOOKUP(L28,Sleeve[Display],Sleeve[Sleeve]),"")</f>
        <v/>
      </c>
    </row>
    <row r="29" spans="1:30" s="41" customFormat="1" ht="30" customHeight="1" x14ac:dyDescent="0.2">
      <c r="A29" s="79"/>
      <c r="B29" s="70">
        <v>16</v>
      </c>
      <c r="C29" s="72"/>
      <c r="D29" s="72"/>
      <c r="E29" s="274"/>
      <c r="F29" s="214"/>
      <c r="G29" s="186"/>
      <c r="H29" s="74"/>
      <c r="I29" s="74"/>
      <c r="J29" s="74"/>
      <c r="K29" s="74"/>
      <c r="L29" s="73"/>
      <c r="M29" s="74"/>
      <c r="N29" s="73"/>
      <c r="O29" s="74"/>
      <c r="P29" s="74"/>
      <c r="Q29" s="74"/>
      <c r="R29" s="73"/>
      <c r="S29" s="73"/>
      <c r="T29" s="73"/>
      <c r="U29" s="73"/>
      <c r="V29" s="73"/>
      <c r="W29" s="144"/>
      <c r="X29" s="45" t="str">
        <f>IF(M29="","",'Pricing Details'!D19+'Pricing Details'!Q19)</f>
        <v/>
      </c>
      <c r="Y29" s="45" t="str">
        <f>IF(M29="","",'Pricing Details'!V19)</f>
        <v/>
      </c>
      <c r="Z29" s="43" t="str">
        <f>IF(M29="","",'Pricing Details'!X19)</f>
        <v/>
      </c>
      <c r="AA29" s="183" t="str">
        <f>'Pricing Details'!Z19</f>
        <v/>
      </c>
      <c r="AB29" s="178" t="str">
        <f>'Pricing Details'!AC19</f>
        <v/>
      </c>
      <c r="AC29" s="79"/>
      <c r="AD29" s="41" t="str">
        <f>IFERROR(_xlfn.XLOOKUP(K29,Collection[Display],Collection[Line])&amp;_xlfn.XLOOKUP(L29,Sleeve[Display],Sleeve[Sleeve]),"")</f>
        <v/>
      </c>
    </row>
    <row r="30" spans="1:30" s="41" customFormat="1" ht="30" customHeight="1" x14ac:dyDescent="0.2">
      <c r="A30" s="79"/>
      <c r="B30" s="70">
        <v>17</v>
      </c>
      <c r="C30" s="72"/>
      <c r="D30" s="72"/>
      <c r="E30" s="274"/>
      <c r="F30" s="214"/>
      <c r="G30" s="186"/>
      <c r="H30" s="74"/>
      <c r="I30" s="74"/>
      <c r="J30" s="74"/>
      <c r="K30" s="74"/>
      <c r="L30" s="73"/>
      <c r="M30" s="74"/>
      <c r="N30" s="73"/>
      <c r="O30" s="74"/>
      <c r="P30" s="74"/>
      <c r="Q30" s="74"/>
      <c r="R30" s="73"/>
      <c r="S30" s="73"/>
      <c r="T30" s="73"/>
      <c r="U30" s="73"/>
      <c r="V30" s="73"/>
      <c r="W30" s="144"/>
      <c r="X30" s="45" t="str">
        <f>IF(M30="","",'Pricing Details'!D20+'Pricing Details'!Q20)</f>
        <v/>
      </c>
      <c r="Y30" s="45" t="str">
        <f>IF(M30="","",'Pricing Details'!V20)</f>
        <v/>
      </c>
      <c r="Z30" s="43" t="str">
        <f>IF(M30="","",'Pricing Details'!X20)</f>
        <v/>
      </c>
      <c r="AA30" s="183" t="str">
        <f>'Pricing Details'!Z20</f>
        <v/>
      </c>
      <c r="AB30" s="178" t="str">
        <f>'Pricing Details'!AC20</f>
        <v/>
      </c>
      <c r="AC30" s="79"/>
      <c r="AD30" s="41" t="str">
        <f>IFERROR(_xlfn.XLOOKUP(K30,Collection[Display],Collection[Line])&amp;_xlfn.XLOOKUP(L30,Sleeve[Display],Sleeve[Sleeve]),"")</f>
        <v/>
      </c>
    </row>
    <row r="31" spans="1:30" s="41" customFormat="1" ht="30" customHeight="1" x14ac:dyDescent="0.2">
      <c r="A31" s="79"/>
      <c r="B31" s="70">
        <v>18</v>
      </c>
      <c r="C31" s="72"/>
      <c r="D31" s="72"/>
      <c r="E31" s="274"/>
      <c r="F31" s="214"/>
      <c r="G31" s="186"/>
      <c r="H31" s="74"/>
      <c r="I31" s="74"/>
      <c r="J31" s="74"/>
      <c r="K31" s="74"/>
      <c r="L31" s="73"/>
      <c r="M31" s="74"/>
      <c r="N31" s="73"/>
      <c r="O31" s="74"/>
      <c r="P31" s="74"/>
      <c r="Q31" s="74"/>
      <c r="R31" s="73"/>
      <c r="S31" s="73"/>
      <c r="T31" s="73"/>
      <c r="U31" s="73"/>
      <c r="V31" s="73"/>
      <c r="W31" s="144"/>
      <c r="X31" s="45" t="str">
        <f>IF(M31="","",'Pricing Details'!D21+'Pricing Details'!Q21)</f>
        <v/>
      </c>
      <c r="Y31" s="45" t="str">
        <f>IF(M31="","",'Pricing Details'!V21)</f>
        <v/>
      </c>
      <c r="Z31" s="43" t="str">
        <f>IF(M31="","",'Pricing Details'!X21)</f>
        <v/>
      </c>
      <c r="AA31" s="183" t="str">
        <f>'Pricing Details'!Z21</f>
        <v/>
      </c>
      <c r="AB31" s="178" t="str">
        <f>'Pricing Details'!AC21</f>
        <v/>
      </c>
      <c r="AC31" s="79"/>
      <c r="AD31" s="41" t="str">
        <f>IFERROR(_xlfn.XLOOKUP(K31,Collection[Display],Collection[Line])&amp;_xlfn.XLOOKUP(L31,Sleeve[Display],Sleeve[Sleeve]),"")</f>
        <v/>
      </c>
    </row>
    <row r="32" spans="1:30" s="41" customFormat="1" ht="30" customHeight="1" x14ac:dyDescent="0.2">
      <c r="A32" s="79"/>
      <c r="B32" s="70">
        <v>19</v>
      </c>
      <c r="C32" s="72"/>
      <c r="D32" s="72"/>
      <c r="E32" s="274"/>
      <c r="F32" s="214"/>
      <c r="G32" s="186"/>
      <c r="H32" s="74"/>
      <c r="I32" s="74"/>
      <c r="J32" s="74"/>
      <c r="K32" s="74"/>
      <c r="L32" s="73"/>
      <c r="M32" s="74"/>
      <c r="N32" s="73"/>
      <c r="O32" s="74"/>
      <c r="P32" s="74"/>
      <c r="Q32" s="74"/>
      <c r="R32" s="73"/>
      <c r="S32" s="73"/>
      <c r="T32" s="73"/>
      <c r="U32" s="73"/>
      <c r="V32" s="73"/>
      <c r="W32" s="144"/>
      <c r="X32" s="45" t="str">
        <f>IF(M32="","",'Pricing Details'!D22+'Pricing Details'!Q22)</f>
        <v/>
      </c>
      <c r="Y32" s="45" t="str">
        <f>IF(M32="","",'Pricing Details'!V22)</f>
        <v/>
      </c>
      <c r="Z32" s="43" t="str">
        <f>IF(M32="","",'Pricing Details'!X22)</f>
        <v/>
      </c>
      <c r="AA32" s="183" t="str">
        <f>'Pricing Details'!Z22</f>
        <v/>
      </c>
      <c r="AB32" s="178" t="str">
        <f>'Pricing Details'!AC22</f>
        <v/>
      </c>
      <c r="AC32" s="79"/>
      <c r="AD32" s="41" t="str">
        <f>IFERROR(_xlfn.XLOOKUP(K32,Collection[Display],Collection[Line])&amp;_xlfn.XLOOKUP(L32,Sleeve[Display],Sleeve[Sleeve]),"")</f>
        <v/>
      </c>
    </row>
    <row r="33" spans="1:30" s="41" customFormat="1" ht="30" customHeight="1" x14ac:dyDescent="0.2">
      <c r="A33" s="79"/>
      <c r="B33" s="70">
        <v>20</v>
      </c>
      <c r="C33" s="72"/>
      <c r="D33" s="72"/>
      <c r="E33" s="274"/>
      <c r="F33" s="214"/>
      <c r="G33" s="186"/>
      <c r="H33" s="74"/>
      <c r="I33" s="74"/>
      <c r="J33" s="74"/>
      <c r="K33" s="74"/>
      <c r="L33" s="73"/>
      <c r="M33" s="74"/>
      <c r="N33" s="73"/>
      <c r="O33" s="74"/>
      <c r="P33" s="74"/>
      <c r="Q33" s="74"/>
      <c r="R33" s="73"/>
      <c r="S33" s="73"/>
      <c r="T33" s="73"/>
      <c r="U33" s="73"/>
      <c r="V33" s="73"/>
      <c r="W33" s="144"/>
      <c r="X33" s="45" t="str">
        <f>IF(M33="","",'Pricing Details'!D23+'Pricing Details'!Q23)</f>
        <v/>
      </c>
      <c r="Y33" s="45" t="str">
        <f>IF(M33="","",'Pricing Details'!V23)</f>
        <v/>
      </c>
      <c r="Z33" s="43" t="str">
        <f>IF(M33="","",'Pricing Details'!X23)</f>
        <v/>
      </c>
      <c r="AA33" s="183" t="str">
        <f>'Pricing Details'!Z23</f>
        <v/>
      </c>
      <c r="AB33" s="178" t="str">
        <f>'Pricing Details'!AC23</f>
        <v/>
      </c>
      <c r="AC33" s="79"/>
      <c r="AD33" s="41" t="str">
        <f>IFERROR(_xlfn.XLOOKUP(K33,Collection[Display],Collection[Line])&amp;_xlfn.XLOOKUP(L33,Sleeve[Display],Sleeve[Sleeve]),"")</f>
        <v/>
      </c>
    </row>
    <row r="34" spans="1:30" s="41" customFormat="1" ht="30" customHeight="1" x14ac:dyDescent="0.2">
      <c r="A34" s="79"/>
      <c r="B34" s="70">
        <v>21</v>
      </c>
      <c r="C34" s="72"/>
      <c r="D34" s="72"/>
      <c r="E34" s="274"/>
      <c r="F34" s="214"/>
      <c r="G34" s="186"/>
      <c r="H34" s="74"/>
      <c r="I34" s="74"/>
      <c r="J34" s="74"/>
      <c r="K34" s="74"/>
      <c r="L34" s="73"/>
      <c r="M34" s="74"/>
      <c r="N34" s="73"/>
      <c r="O34" s="74"/>
      <c r="P34" s="74"/>
      <c r="Q34" s="74"/>
      <c r="R34" s="73"/>
      <c r="S34" s="73"/>
      <c r="T34" s="73"/>
      <c r="U34" s="73"/>
      <c r="V34" s="73"/>
      <c r="W34" s="144"/>
      <c r="X34" s="45" t="str">
        <f>IF(M34="","",'Pricing Details'!D24+'Pricing Details'!Q24)</f>
        <v/>
      </c>
      <c r="Y34" s="45" t="str">
        <f>IF(M34="","",'Pricing Details'!V24)</f>
        <v/>
      </c>
      <c r="Z34" s="43" t="str">
        <f>IF(M34="","",'Pricing Details'!X24)</f>
        <v/>
      </c>
      <c r="AA34" s="183" t="str">
        <f>'Pricing Details'!Z24</f>
        <v/>
      </c>
      <c r="AB34" s="178" t="str">
        <f>'Pricing Details'!AC24</f>
        <v/>
      </c>
      <c r="AC34" s="79"/>
      <c r="AD34" s="41" t="str">
        <f>IFERROR(_xlfn.XLOOKUP(K34,Collection[Display],Collection[Line])&amp;_xlfn.XLOOKUP(L34,Sleeve[Display],Sleeve[Sleeve]),"")</f>
        <v/>
      </c>
    </row>
    <row r="35" spans="1:30" s="41" customFormat="1" ht="30" customHeight="1" x14ac:dyDescent="0.2">
      <c r="A35" s="79"/>
      <c r="B35" s="70">
        <v>22</v>
      </c>
      <c r="C35" s="72"/>
      <c r="D35" s="72"/>
      <c r="E35" s="274"/>
      <c r="F35" s="214"/>
      <c r="G35" s="186"/>
      <c r="H35" s="74"/>
      <c r="I35" s="74"/>
      <c r="J35" s="74"/>
      <c r="K35" s="74"/>
      <c r="L35" s="73"/>
      <c r="M35" s="74"/>
      <c r="N35" s="73"/>
      <c r="O35" s="74"/>
      <c r="P35" s="74"/>
      <c r="Q35" s="74"/>
      <c r="R35" s="73"/>
      <c r="S35" s="73"/>
      <c r="T35" s="73"/>
      <c r="U35" s="73"/>
      <c r="V35" s="73"/>
      <c r="W35" s="144"/>
      <c r="X35" s="45" t="str">
        <f>IF(M35="","",'Pricing Details'!D25+'Pricing Details'!Q25)</f>
        <v/>
      </c>
      <c r="Y35" s="45" t="str">
        <f>IF(M35="","",'Pricing Details'!V25)</f>
        <v/>
      </c>
      <c r="Z35" s="43" t="str">
        <f>IF(M35="","",'Pricing Details'!X25)</f>
        <v/>
      </c>
      <c r="AA35" s="183" t="str">
        <f>'Pricing Details'!Z25</f>
        <v/>
      </c>
      <c r="AB35" s="178" t="str">
        <f>'Pricing Details'!AC25</f>
        <v/>
      </c>
      <c r="AC35" s="79"/>
      <c r="AD35" s="41" t="str">
        <f>IFERROR(_xlfn.XLOOKUP(K35,Collection[Display],Collection[Line])&amp;_xlfn.XLOOKUP(L35,Sleeve[Display],Sleeve[Sleeve]),"")</f>
        <v/>
      </c>
    </row>
    <row r="36" spans="1:30" s="41" customFormat="1" ht="30" customHeight="1" x14ac:dyDescent="0.2">
      <c r="A36" s="79"/>
      <c r="B36" s="70">
        <v>23</v>
      </c>
      <c r="C36" s="72"/>
      <c r="D36" s="72"/>
      <c r="E36" s="274"/>
      <c r="F36" s="214"/>
      <c r="G36" s="186"/>
      <c r="H36" s="74"/>
      <c r="I36" s="74"/>
      <c r="J36" s="74"/>
      <c r="K36" s="74"/>
      <c r="L36" s="73"/>
      <c r="M36" s="74"/>
      <c r="N36" s="73"/>
      <c r="O36" s="74"/>
      <c r="P36" s="74"/>
      <c r="Q36" s="74"/>
      <c r="R36" s="73"/>
      <c r="S36" s="73"/>
      <c r="T36" s="73"/>
      <c r="U36" s="73"/>
      <c r="V36" s="73"/>
      <c r="W36" s="144"/>
      <c r="X36" s="45" t="str">
        <f>IF(M36="","",'Pricing Details'!D26+'Pricing Details'!Q26)</f>
        <v/>
      </c>
      <c r="Y36" s="45" t="str">
        <f>IF(M36="","",'Pricing Details'!V26)</f>
        <v/>
      </c>
      <c r="Z36" s="43" t="str">
        <f>IF(M36="","",'Pricing Details'!X26)</f>
        <v/>
      </c>
      <c r="AA36" s="183" t="str">
        <f>'Pricing Details'!Z26</f>
        <v/>
      </c>
      <c r="AB36" s="178" t="str">
        <f>'Pricing Details'!AC26</f>
        <v/>
      </c>
      <c r="AC36" s="79"/>
      <c r="AD36" s="41" t="str">
        <f>IFERROR(_xlfn.XLOOKUP(K36,Collection[Display],Collection[Line])&amp;_xlfn.XLOOKUP(L36,Sleeve[Display],Sleeve[Sleeve]),"")</f>
        <v/>
      </c>
    </row>
    <row r="37" spans="1:30" s="41" customFormat="1" ht="30" customHeight="1" x14ac:dyDescent="0.2">
      <c r="A37" s="79"/>
      <c r="B37" s="70">
        <v>24</v>
      </c>
      <c r="C37" s="72"/>
      <c r="D37" s="72"/>
      <c r="E37" s="274"/>
      <c r="F37" s="214"/>
      <c r="G37" s="186"/>
      <c r="H37" s="74"/>
      <c r="I37" s="74"/>
      <c r="J37" s="74"/>
      <c r="K37" s="74"/>
      <c r="L37" s="73"/>
      <c r="M37" s="74"/>
      <c r="N37" s="73"/>
      <c r="O37" s="74"/>
      <c r="P37" s="74"/>
      <c r="Q37" s="74"/>
      <c r="R37" s="73"/>
      <c r="S37" s="73"/>
      <c r="T37" s="73"/>
      <c r="U37" s="73"/>
      <c r="V37" s="73"/>
      <c r="W37" s="144"/>
      <c r="X37" s="45" t="str">
        <f>IF(M37="","",'Pricing Details'!D27+'Pricing Details'!Q27)</f>
        <v/>
      </c>
      <c r="Y37" s="45" t="str">
        <f>IF(M37="","",'Pricing Details'!V27)</f>
        <v/>
      </c>
      <c r="Z37" s="43" t="str">
        <f>IF(M37="","",'Pricing Details'!X27)</f>
        <v/>
      </c>
      <c r="AA37" s="183" t="str">
        <f>'Pricing Details'!Z27</f>
        <v/>
      </c>
      <c r="AB37" s="178" t="str">
        <f>'Pricing Details'!AC27</f>
        <v/>
      </c>
      <c r="AC37" s="79"/>
      <c r="AD37" s="41" t="str">
        <f>IFERROR(_xlfn.XLOOKUP(K37,Collection[Display],Collection[Line])&amp;_xlfn.XLOOKUP(L37,Sleeve[Display],Sleeve[Sleeve]),"")</f>
        <v/>
      </c>
    </row>
    <row r="38" spans="1:30" s="41" customFormat="1" ht="30" customHeight="1" x14ac:dyDescent="0.2">
      <c r="A38" s="79"/>
      <c r="B38" s="70">
        <v>25</v>
      </c>
      <c r="C38" s="72"/>
      <c r="D38" s="72"/>
      <c r="E38" s="274"/>
      <c r="F38" s="214"/>
      <c r="G38" s="186"/>
      <c r="H38" s="74"/>
      <c r="I38" s="74"/>
      <c r="J38" s="74"/>
      <c r="K38" s="74"/>
      <c r="L38" s="73"/>
      <c r="M38" s="74"/>
      <c r="N38" s="73"/>
      <c r="O38" s="74"/>
      <c r="P38" s="74"/>
      <c r="Q38" s="74"/>
      <c r="R38" s="73"/>
      <c r="S38" s="73"/>
      <c r="T38" s="73"/>
      <c r="U38" s="73"/>
      <c r="V38" s="73"/>
      <c r="W38" s="144"/>
      <c r="X38" s="45" t="str">
        <f>IF(M38="","",'Pricing Details'!D28+'Pricing Details'!Q28)</f>
        <v/>
      </c>
      <c r="Y38" s="45" t="str">
        <f>IF(M38="","",'Pricing Details'!V28)</f>
        <v/>
      </c>
      <c r="Z38" s="43" t="str">
        <f>IF(M38="","",'Pricing Details'!X28)</f>
        <v/>
      </c>
      <c r="AA38" s="183" t="str">
        <f>'Pricing Details'!Z28</f>
        <v/>
      </c>
      <c r="AB38" s="178" t="str">
        <f>'Pricing Details'!AC28</f>
        <v/>
      </c>
      <c r="AC38" s="79"/>
      <c r="AD38" s="41" t="str">
        <f>IFERROR(_xlfn.XLOOKUP(K38,Collection[Display],Collection[Line])&amp;_xlfn.XLOOKUP(L38,Sleeve[Display],Sleeve[Sleeve]),"")</f>
        <v/>
      </c>
    </row>
    <row r="39" spans="1:30" s="41" customFormat="1" ht="30" customHeight="1" x14ac:dyDescent="0.2">
      <c r="A39" s="79"/>
      <c r="B39" s="70">
        <v>26</v>
      </c>
      <c r="C39" s="72"/>
      <c r="D39" s="72"/>
      <c r="E39" s="274"/>
      <c r="F39" s="214"/>
      <c r="G39" s="186"/>
      <c r="H39" s="74"/>
      <c r="I39" s="74"/>
      <c r="J39" s="74"/>
      <c r="K39" s="74"/>
      <c r="L39" s="73"/>
      <c r="M39" s="74"/>
      <c r="N39" s="73"/>
      <c r="O39" s="74"/>
      <c r="P39" s="74"/>
      <c r="Q39" s="74"/>
      <c r="R39" s="73"/>
      <c r="S39" s="73"/>
      <c r="T39" s="73"/>
      <c r="U39" s="73"/>
      <c r="V39" s="73"/>
      <c r="W39" s="144"/>
      <c r="X39" s="45" t="str">
        <f>IF(M39="","",'Pricing Details'!D29+'Pricing Details'!Q29)</f>
        <v/>
      </c>
      <c r="Y39" s="45" t="str">
        <f>IF(M39="","",'Pricing Details'!V29)</f>
        <v/>
      </c>
      <c r="Z39" s="43" t="str">
        <f>IF(M39="","",'Pricing Details'!X29)</f>
        <v/>
      </c>
      <c r="AA39" s="183" t="str">
        <f>'Pricing Details'!Z29</f>
        <v/>
      </c>
      <c r="AB39" s="178" t="str">
        <f>'Pricing Details'!AC29</f>
        <v/>
      </c>
      <c r="AC39" s="79"/>
      <c r="AD39" s="41" t="str">
        <f>IFERROR(_xlfn.XLOOKUP(K39,Collection[Display],Collection[Line])&amp;_xlfn.XLOOKUP(L39,Sleeve[Display],Sleeve[Sleeve]),"")</f>
        <v/>
      </c>
    </row>
    <row r="40" spans="1:30" s="41" customFormat="1" ht="30" customHeight="1" x14ac:dyDescent="0.2">
      <c r="A40" s="79"/>
      <c r="B40" s="70">
        <v>27</v>
      </c>
      <c r="C40" s="72"/>
      <c r="D40" s="72"/>
      <c r="E40" s="274"/>
      <c r="F40" s="214"/>
      <c r="G40" s="186"/>
      <c r="H40" s="74"/>
      <c r="I40" s="74"/>
      <c r="J40" s="74"/>
      <c r="K40" s="74"/>
      <c r="L40" s="73"/>
      <c r="M40" s="74"/>
      <c r="N40" s="73"/>
      <c r="O40" s="74"/>
      <c r="P40" s="74"/>
      <c r="Q40" s="74"/>
      <c r="R40" s="73"/>
      <c r="S40" s="73"/>
      <c r="T40" s="73"/>
      <c r="U40" s="73"/>
      <c r="V40" s="73"/>
      <c r="W40" s="144"/>
      <c r="X40" s="45" t="str">
        <f>IF(M40="","",'Pricing Details'!D30+'Pricing Details'!Q30)</f>
        <v/>
      </c>
      <c r="Y40" s="45" t="str">
        <f>IF(M40="","",'Pricing Details'!V30)</f>
        <v/>
      </c>
      <c r="Z40" s="43" t="str">
        <f>IF(M40="","",'Pricing Details'!X30)</f>
        <v/>
      </c>
      <c r="AA40" s="183" t="str">
        <f>'Pricing Details'!Z30</f>
        <v/>
      </c>
      <c r="AB40" s="178" t="str">
        <f>'Pricing Details'!AC30</f>
        <v/>
      </c>
      <c r="AC40" s="79"/>
      <c r="AD40" s="41" t="str">
        <f>IFERROR(_xlfn.XLOOKUP(K40,Collection[Display],Collection[Line])&amp;_xlfn.XLOOKUP(L40,Sleeve[Display],Sleeve[Sleeve]),"")</f>
        <v/>
      </c>
    </row>
    <row r="41" spans="1:30" s="41" customFormat="1" ht="30" customHeight="1" x14ac:dyDescent="0.2">
      <c r="A41" s="79"/>
      <c r="B41" s="70">
        <v>28</v>
      </c>
      <c r="C41" s="135"/>
      <c r="D41" s="135"/>
      <c r="E41" s="274"/>
      <c r="F41" s="214"/>
      <c r="G41" s="186"/>
      <c r="H41" s="74"/>
      <c r="I41" s="74"/>
      <c r="J41" s="74"/>
      <c r="K41" s="74"/>
      <c r="L41" s="73"/>
      <c r="M41" s="74"/>
      <c r="N41" s="73"/>
      <c r="O41" s="74"/>
      <c r="P41" s="74"/>
      <c r="Q41" s="74"/>
      <c r="R41" s="73"/>
      <c r="S41" s="73"/>
      <c r="T41" s="73"/>
      <c r="U41" s="73"/>
      <c r="V41" s="73"/>
      <c r="W41" s="144"/>
      <c r="X41" s="45" t="str">
        <f>IF(M41="","",'Pricing Details'!D31+'Pricing Details'!Q31)</f>
        <v/>
      </c>
      <c r="Y41" s="45" t="str">
        <f>IF(M41="","",'Pricing Details'!V31)</f>
        <v/>
      </c>
      <c r="Z41" s="43" t="str">
        <f>IF(M41="","",'Pricing Details'!X31)</f>
        <v/>
      </c>
      <c r="AA41" s="183" t="str">
        <f>'Pricing Details'!Z31</f>
        <v/>
      </c>
      <c r="AB41" s="178" t="str">
        <f>'Pricing Details'!AC31</f>
        <v/>
      </c>
      <c r="AC41" s="79"/>
      <c r="AD41" s="41" t="str">
        <f>IFERROR(_xlfn.XLOOKUP(K41,Collection[Display],Collection[Line])&amp;_xlfn.XLOOKUP(L41,Sleeve[Display],Sleeve[Sleeve]),"")</f>
        <v/>
      </c>
    </row>
    <row r="42" spans="1:30" s="41" customFormat="1" ht="30" customHeight="1" x14ac:dyDescent="0.2">
      <c r="A42" s="79"/>
      <c r="B42" s="70">
        <v>29</v>
      </c>
      <c r="C42" s="71"/>
      <c r="D42" s="71"/>
      <c r="E42" s="274"/>
      <c r="F42" s="214"/>
      <c r="G42" s="186"/>
      <c r="H42" s="74"/>
      <c r="I42" s="74"/>
      <c r="J42" s="74"/>
      <c r="K42" s="74"/>
      <c r="L42" s="73"/>
      <c r="M42" s="74"/>
      <c r="N42" s="73"/>
      <c r="O42" s="74"/>
      <c r="P42" s="74"/>
      <c r="Q42" s="74"/>
      <c r="R42" s="73"/>
      <c r="S42" s="73"/>
      <c r="T42" s="73"/>
      <c r="U42" s="73"/>
      <c r="V42" s="73"/>
      <c r="W42" s="144"/>
      <c r="X42" s="45" t="str">
        <f>IF(M42="","",'Pricing Details'!D32+'Pricing Details'!Q32)</f>
        <v/>
      </c>
      <c r="Y42" s="45" t="str">
        <f>IF(M42="","",'Pricing Details'!V32)</f>
        <v/>
      </c>
      <c r="Z42" s="43" t="str">
        <f>IF(M42="","",'Pricing Details'!X32)</f>
        <v/>
      </c>
      <c r="AA42" s="183" t="str">
        <f>'Pricing Details'!Z32</f>
        <v/>
      </c>
      <c r="AB42" s="178" t="str">
        <f>'Pricing Details'!AC32</f>
        <v/>
      </c>
      <c r="AC42" s="79"/>
      <c r="AD42" s="41" t="str">
        <f>IFERROR(_xlfn.XLOOKUP(K42,Collection[Display],Collection[Line])&amp;_xlfn.XLOOKUP(L42,Sleeve[Display],Sleeve[Sleeve]),"")</f>
        <v/>
      </c>
    </row>
    <row r="43" spans="1:30" s="41" customFormat="1" ht="30" customHeight="1" x14ac:dyDescent="0.2">
      <c r="A43" s="79"/>
      <c r="B43" s="70">
        <v>30</v>
      </c>
      <c r="C43" s="71"/>
      <c r="D43" s="71"/>
      <c r="E43" s="274"/>
      <c r="F43" s="214"/>
      <c r="G43" s="186"/>
      <c r="H43" s="74"/>
      <c r="I43" s="74"/>
      <c r="J43" s="74"/>
      <c r="K43" s="74"/>
      <c r="L43" s="73"/>
      <c r="M43" s="74"/>
      <c r="N43" s="73"/>
      <c r="O43" s="74"/>
      <c r="P43" s="74"/>
      <c r="Q43" s="74"/>
      <c r="R43" s="73"/>
      <c r="S43" s="73"/>
      <c r="T43" s="73"/>
      <c r="U43" s="73"/>
      <c r="V43" s="73"/>
      <c r="W43" s="144"/>
      <c r="X43" s="45" t="str">
        <f>IF(M43="","",'Pricing Details'!D33+'Pricing Details'!Q33)</f>
        <v/>
      </c>
      <c r="Y43" s="45" t="str">
        <f>IF(M43="","",'Pricing Details'!V33)</f>
        <v/>
      </c>
      <c r="Z43" s="43" t="str">
        <f>IF(M43="","",'Pricing Details'!X33)</f>
        <v/>
      </c>
      <c r="AA43" s="183" t="str">
        <f>'Pricing Details'!Z33</f>
        <v/>
      </c>
      <c r="AB43" s="178" t="str">
        <f>'Pricing Details'!AC33</f>
        <v/>
      </c>
      <c r="AC43" s="79"/>
      <c r="AD43" s="41" t="str">
        <f>IFERROR(_xlfn.XLOOKUP(K43,Collection[Display],Collection[Line])&amp;_xlfn.XLOOKUP(L43,Sleeve[Display],Sleeve[Sleeve]),"")</f>
        <v/>
      </c>
    </row>
    <row r="44" spans="1:30" s="41" customFormat="1" ht="30" customHeight="1" x14ac:dyDescent="0.2">
      <c r="A44" s="79"/>
      <c r="B44" s="70">
        <v>31</v>
      </c>
      <c r="C44" s="71"/>
      <c r="D44" s="71"/>
      <c r="E44" s="274"/>
      <c r="F44" s="214"/>
      <c r="G44" s="186"/>
      <c r="H44" s="74"/>
      <c r="I44" s="74"/>
      <c r="J44" s="74"/>
      <c r="K44" s="74"/>
      <c r="L44" s="73"/>
      <c r="M44" s="74"/>
      <c r="N44" s="73"/>
      <c r="O44" s="74"/>
      <c r="P44" s="74"/>
      <c r="Q44" s="74"/>
      <c r="R44" s="73"/>
      <c r="S44" s="73"/>
      <c r="T44" s="73"/>
      <c r="U44" s="73"/>
      <c r="V44" s="73"/>
      <c r="W44" s="143"/>
      <c r="X44" s="45" t="str">
        <f>IF(M44="","",'Pricing Details'!D34+'Pricing Details'!Q34)</f>
        <v/>
      </c>
      <c r="Y44" s="45" t="str">
        <f>IF(M44="","",'Pricing Details'!V34)</f>
        <v/>
      </c>
      <c r="Z44" s="43" t="str">
        <f>IF(M44="","",'Pricing Details'!X34)</f>
        <v/>
      </c>
      <c r="AA44" s="183" t="str">
        <f>'Pricing Details'!Z34</f>
        <v/>
      </c>
      <c r="AB44" s="178" t="str">
        <f>'Pricing Details'!AC34</f>
        <v/>
      </c>
      <c r="AC44" s="79"/>
      <c r="AD44" s="41" t="str">
        <f>IFERROR(_xlfn.XLOOKUP(K44,Collection[Display],Collection[Line])&amp;_xlfn.XLOOKUP(L44,Sleeve[Display],Sleeve[Sleeve]),"")</f>
        <v/>
      </c>
    </row>
    <row r="45" spans="1:30" s="41" customFormat="1" ht="30" customHeight="1" x14ac:dyDescent="0.2">
      <c r="A45" s="79"/>
      <c r="B45" s="70">
        <v>32</v>
      </c>
      <c r="C45" s="71"/>
      <c r="D45" s="71"/>
      <c r="E45" s="274"/>
      <c r="F45" s="214"/>
      <c r="G45" s="186"/>
      <c r="H45" s="74"/>
      <c r="I45" s="74"/>
      <c r="J45" s="74"/>
      <c r="K45" s="74"/>
      <c r="L45" s="73"/>
      <c r="M45" s="74"/>
      <c r="N45" s="73"/>
      <c r="O45" s="74"/>
      <c r="P45" s="74"/>
      <c r="Q45" s="74"/>
      <c r="R45" s="73"/>
      <c r="S45" s="73"/>
      <c r="T45" s="73"/>
      <c r="U45" s="73"/>
      <c r="V45" s="73"/>
      <c r="W45" s="143"/>
      <c r="X45" s="45" t="str">
        <f>IF(M45="","",'Pricing Details'!D35+'Pricing Details'!Q35)</f>
        <v/>
      </c>
      <c r="Y45" s="45" t="str">
        <f>IF(M45="","",'Pricing Details'!V35)</f>
        <v/>
      </c>
      <c r="Z45" s="43" t="str">
        <f>IF(M45="","",'Pricing Details'!X35)</f>
        <v/>
      </c>
      <c r="AA45" s="183" t="str">
        <f>'Pricing Details'!Z35</f>
        <v/>
      </c>
      <c r="AB45" s="178" t="str">
        <f>'Pricing Details'!AC35</f>
        <v/>
      </c>
      <c r="AC45" s="79"/>
      <c r="AD45" s="41" t="str">
        <f>IFERROR(_xlfn.XLOOKUP(K45,Collection[Display],Collection[Line])&amp;_xlfn.XLOOKUP(L45,Sleeve[Display],Sleeve[Sleeve]),"")</f>
        <v/>
      </c>
    </row>
    <row r="46" spans="1:30" s="41" customFormat="1" ht="30" customHeight="1" x14ac:dyDescent="0.2">
      <c r="A46" s="79"/>
      <c r="B46" s="70">
        <v>33</v>
      </c>
      <c r="C46" s="71"/>
      <c r="D46" s="71"/>
      <c r="E46" s="274"/>
      <c r="F46" s="214"/>
      <c r="G46" s="186"/>
      <c r="H46" s="74"/>
      <c r="I46" s="74"/>
      <c r="J46" s="74"/>
      <c r="K46" s="74"/>
      <c r="L46" s="73"/>
      <c r="M46" s="74"/>
      <c r="N46" s="73"/>
      <c r="O46" s="74"/>
      <c r="P46" s="74"/>
      <c r="Q46" s="74"/>
      <c r="R46" s="73"/>
      <c r="S46" s="73"/>
      <c r="T46" s="73"/>
      <c r="U46" s="73"/>
      <c r="V46" s="73"/>
      <c r="W46" s="143"/>
      <c r="X46" s="45" t="str">
        <f>IF(M46="","",'Pricing Details'!D36+'Pricing Details'!Q36)</f>
        <v/>
      </c>
      <c r="Y46" s="45" t="str">
        <f>IF(M46="","",'Pricing Details'!V36)</f>
        <v/>
      </c>
      <c r="Z46" s="43" t="str">
        <f>IF(M46="","",'Pricing Details'!X36)</f>
        <v/>
      </c>
      <c r="AA46" s="183" t="str">
        <f>'Pricing Details'!Z36</f>
        <v/>
      </c>
      <c r="AB46" s="178" t="str">
        <f>'Pricing Details'!AC36</f>
        <v/>
      </c>
      <c r="AC46" s="79"/>
      <c r="AD46" s="41" t="str">
        <f>IFERROR(_xlfn.XLOOKUP(K46,Collection[Display],Collection[Line])&amp;_xlfn.XLOOKUP(L46,Sleeve[Display],Sleeve[Sleeve]),"")</f>
        <v/>
      </c>
    </row>
    <row r="47" spans="1:30" s="41" customFormat="1" ht="30" customHeight="1" x14ac:dyDescent="0.2">
      <c r="A47" s="79"/>
      <c r="B47" s="70">
        <v>34</v>
      </c>
      <c r="C47" s="71"/>
      <c r="D47" s="71"/>
      <c r="E47" s="274"/>
      <c r="F47" s="214"/>
      <c r="G47" s="186"/>
      <c r="H47" s="74"/>
      <c r="I47" s="74"/>
      <c r="J47" s="74"/>
      <c r="K47" s="74"/>
      <c r="L47" s="73"/>
      <c r="M47" s="74"/>
      <c r="N47" s="73"/>
      <c r="O47" s="74"/>
      <c r="P47" s="74"/>
      <c r="Q47" s="74"/>
      <c r="R47" s="73"/>
      <c r="S47" s="73"/>
      <c r="T47" s="73"/>
      <c r="U47" s="73"/>
      <c r="V47" s="73"/>
      <c r="W47" s="143"/>
      <c r="X47" s="45" t="str">
        <f>IF(M47="","",'Pricing Details'!D37+'Pricing Details'!Q37)</f>
        <v/>
      </c>
      <c r="Y47" s="45" t="str">
        <f>IF(M47="","",'Pricing Details'!V37)</f>
        <v/>
      </c>
      <c r="Z47" s="43" t="str">
        <f>IF(M47="","",'Pricing Details'!X37)</f>
        <v/>
      </c>
      <c r="AA47" s="183" t="str">
        <f>'Pricing Details'!Z37</f>
        <v/>
      </c>
      <c r="AB47" s="178" t="str">
        <f>'Pricing Details'!AC37</f>
        <v/>
      </c>
      <c r="AC47" s="79"/>
      <c r="AD47" s="41" t="str">
        <f>IFERROR(_xlfn.XLOOKUP(K47,Collection[Display],Collection[Line])&amp;_xlfn.XLOOKUP(L47,Sleeve[Display],Sleeve[Sleeve]),"")</f>
        <v/>
      </c>
    </row>
    <row r="48" spans="1:30" s="41" customFormat="1" ht="30" customHeight="1" x14ac:dyDescent="0.2">
      <c r="A48" s="79"/>
      <c r="B48" s="70">
        <v>35</v>
      </c>
      <c r="C48" s="71"/>
      <c r="D48" s="71"/>
      <c r="E48" s="274"/>
      <c r="F48" s="214"/>
      <c r="G48" s="186"/>
      <c r="H48" s="74"/>
      <c r="I48" s="74"/>
      <c r="J48" s="74"/>
      <c r="K48" s="74"/>
      <c r="L48" s="73"/>
      <c r="M48" s="74"/>
      <c r="N48" s="73"/>
      <c r="O48" s="74"/>
      <c r="P48" s="74"/>
      <c r="Q48" s="74"/>
      <c r="R48" s="73"/>
      <c r="S48" s="73"/>
      <c r="T48" s="73"/>
      <c r="U48" s="73"/>
      <c r="V48" s="73"/>
      <c r="W48" s="143"/>
      <c r="X48" s="45" t="str">
        <f>IF(M48="","",'Pricing Details'!D38+'Pricing Details'!Q38)</f>
        <v/>
      </c>
      <c r="Y48" s="45" t="str">
        <f>IF(M48="","",'Pricing Details'!V38)</f>
        <v/>
      </c>
      <c r="Z48" s="43" t="str">
        <f>IF(M48="","",'Pricing Details'!X38)</f>
        <v/>
      </c>
      <c r="AA48" s="183" t="str">
        <f>'Pricing Details'!Z38</f>
        <v/>
      </c>
      <c r="AB48" s="178" t="str">
        <f>'Pricing Details'!AC38</f>
        <v/>
      </c>
      <c r="AC48" s="79"/>
      <c r="AD48" s="41" t="str">
        <f>IFERROR(_xlfn.XLOOKUP(K48,Collection[Display],Collection[Line])&amp;_xlfn.XLOOKUP(L48,Sleeve[Display],Sleeve[Sleeve]),"")</f>
        <v/>
      </c>
    </row>
    <row r="49" spans="1:30" s="41" customFormat="1" ht="30" customHeight="1" x14ac:dyDescent="0.2">
      <c r="A49" s="79"/>
      <c r="B49" s="70">
        <v>36</v>
      </c>
      <c r="C49" s="71"/>
      <c r="D49" s="71"/>
      <c r="E49" s="274"/>
      <c r="F49" s="214"/>
      <c r="G49" s="186"/>
      <c r="H49" s="74"/>
      <c r="I49" s="74"/>
      <c r="J49" s="74"/>
      <c r="K49" s="74"/>
      <c r="L49" s="73"/>
      <c r="M49" s="74"/>
      <c r="N49" s="73"/>
      <c r="O49" s="74"/>
      <c r="P49" s="74"/>
      <c r="Q49" s="74"/>
      <c r="R49" s="73"/>
      <c r="S49" s="73"/>
      <c r="T49" s="73"/>
      <c r="U49" s="73"/>
      <c r="V49" s="73"/>
      <c r="W49" s="143"/>
      <c r="X49" s="45" t="str">
        <f>IF(M49="","",'Pricing Details'!D39+'Pricing Details'!Q39)</f>
        <v/>
      </c>
      <c r="Y49" s="45" t="str">
        <f>IF(M49="","",'Pricing Details'!V39)</f>
        <v/>
      </c>
      <c r="Z49" s="43" t="str">
        <f>IF(M49="","",'Pricing Details'!X39)</f>
        <v/>
      </c>
      <c r="AA49" s="183" t="str">
        <f>'Pricing Details'!Z39</f>
        <v/>
      </c>
      <c r="AB49" s="178" t="str">
        <f>'Pricing Details'!AC39</f>
        <v/>
      </c>
      <c r="AC49" s="79"/>
      <c r="AD49" s="41" t="str">
        <f>IFERROR(_xlfn.XLOOKUP(K49,Collection[Display],Collection[Line])&amp;_xlfn.XLOOKUP(L49,Sleeve[Display],Sleeve[Sleeve]),"")</f>
        <v/>
      </c>
    </row>
    <row r="50" spans="1:30" s="41" customFormat="1" ht="30" customHeight="1" x14ac:dyDescent="0.2">
      <c r="A50" s="79"/>
      <c r="B50" s="70">
        <v>37</v>
      </c>
      <c r="C50" s="71"/>
      <c r="D50" s="71"/>
      <c r="E50" s="274"/>
      <c r="F50" s="214"/>
      <c r="G50" s="186"/>
      <c r="H50" s="74"/>
      <c r="I50" s="74"/>
      <c r="J50" s="74"/>
      <c r="K50" s="74"/>
      <c r="L50" s="73"/>
      <c r="M50" s="74"/>
      <c r="N50" s="73"/>
      <c r="O50" s="74"/>
      <c r="P50" s="74"/>
      <c r="Q50" s="74"/>
      <c r="R50" s="73"/>
      <c r="S50" s="73"/>
      <c r="T50" s="73"/>
      <c r="U50" s="73"/>
      <c r="V50" s="73"/>
      <c r="W50" s="143"/>
      <c r="X50" s="45" t="str">
        <f>IF(M50="","",'Pricing Details'!D40+'Pricing Details'!Q40)</f>
        <v/>
      </c>
      <c r="Y50" s="45" t="str">
        <f>IF(M50="","",'Pricing Details'!V40)</f>
        <v/>
      </c>
      <c r="Z50" s="43" t="str">
        <f>IF(M50="","",'Pricing Details'!X40)</f>
        <v/>
      </c>
      <c r="AA50" s="183" t="str">
        <f>'Pricing Details'!Z40</f>
        <v/>
      </c>
      <c r="AB50" s="178" t="str">
        <f>'Pricing Details'!AC40</f>
        <v/>
      </c>
      <c r="AC50" s="79"/>
      <c r="AD50" s="41" t="str">
        <f>IFERROR(_xlfn.XLOOKUP(K50,Collection[Display],Collection[Line])&amp;_xlfn.XLOOKUP(L50,Sleeve[Display],Sleeve[Sleeve]),"")</f>
        <v/>
      </c>
    </row>
    <row r="51" spans="1:30" s="41" customFormat="1" ht="30" customHeight="1" x14ac:dyDescent="0.2">
      <c r="A51" s="79"/>
      <c r="B51" s="70">
        <v>38</v>
      </c>
      <c r="C51" s="71"/>
      <c r="D51" s="71"/>
      <c r="E51" s="274"/>
      <c r="F51" s="214"/>
      <c r="G51" s="186"/>
      <c r="H51" s="74"/>
      <c r="I51" s="74"/>
      <c r="J51" s="74"/>
      <c r="K51" s="74"/>
      <c r="L51" s="73"/>
      <c r="M51" s="74"/>
      <c r="N51" s="73"/>
      <c r="O51" s="74"/>
      <c r="P51" s="74"/>
      <c r="Q51" s="74"/>
      <c r="R51" s="73"/>
      <c r="S51" s="73"/>
      <c r="T51" s="73"/>
      <c r="U51" s="73"/>
      <c r="V51" s="73"/>
      <c r="W51" s="143"/>
      <c r="X51" s="45" t="str">
        <f>IF(M51="","",'Pricing Details'!D41+'Pricing Details'!Q41)</f>
        <v/>
      </c>
      <c r="Y51" s="45" t="str">
        <f>IF(M51="","",'Pricing Details'!V41)</f>
        <v/>
      </c>
      <c r="Z51" s="43" t="str">
        <f>IF(M51="","",'Pricing Details'!X41)</f>
        <v/>
      </c>
      <c r="AA51" s="183" t="str">
        <f>'Pricing Details'!Z41</f>
        <v/>
      </c>
      <c r="AB51" s="178" t="str">
        <f>'Pricing Details'!AC41</f>
        <v/>
      </c>
      <c r="AC51" s="79"/>
      <c r="AD51" s="41" t="str">
        <f>IFERROR(_xlfn.XLOOKUP(K51,Collection[Display],Collection[Line])&amp;_xlfn.XLOOKUP(L51,Sleeve[Display],Sleeve[Sleeve]),"")</f>
        <v/>
      </c>
    </row>
    <row r="52" spans="1:30" s="41" customFormat="1" ht="30" customHeight="1" x14ac:dyDescent="0.2">
      <c r="A52" s="79"/>
      <c r="B52" s="70">
        <v>39</v>
      </c>
      <c r="C52" s="71"/>
      <c r="D52" s="71"/>
      <c r="E52" s="274"/>
      <c r="F52" s="214"/>
      <c r="G52" s="186"/>
      <c r="H52" s="74"/>
      <c r="I52" s="74"/>
      <c r="J52" s="74"/>
      <c r="K52" s="74"/>
      <c r="L52" s="73"/>
      <c r="M52" s="74"/>
      <c r="N52" s="73"/>
      <c r="O52" s="74"/>
      <c r="P52" s="74"/>
      <c r="Q52" s="74"/>
      <c r="R52" s="73"/>
      <c r="S52" s="73"/>
      <c r="T52" s="73"/>
      <c r="U52" s="73"/>
      <c r="V52" s="73"/>
      <c r="W52" s="143"/>
      <c r="X52" s="45" t="str">
        <f>IF(M52="","",'Pricing Details'!D42+'Pricing Details'!Q42)</f>
        <v/>
      </c>
      <c r="Y52" s="45" t="str">
        <f>IF(M52="","",'Pricing Details'!V42)</f>
        <v/>
      </c>
      <c r="Z52" s="43" t="str">
        <f>IF(M52="","",'Pricing Details'!X42)</f>
        <v/>
      </c>
      <c r="AA52" s="183" t="str">
        <f>'Pricing Details'!Z42</f>
        <v/>
      </c>
      <c r="AB52" s="178" t="str">
        <f>'Pricing Details'!AC42</f>
        <v/>
      </c>
      <c r="AC52" s="79"/>
      <c r="AD52" s="41" t="str">
        <f>IFERROR(_xlfn.XLOOKUP(K52,Collection[Display],Collection[Line])&amp;_xlfn.XLOOKUP(L52,Sleeve[Display],Sleeve[Sleeve]),"")</f>
        <v/>
      </c>
    </row>
    <row r="53" spans="1:30" s="41" customFormat="1" ht="30" customHeight="1" x14ac:dyDescent="0.2">
      <c r="A53" s="79"/>
      <c r="B53" s="70">
        <v>40</v>
      </c>
      <c r="C53" s="71"/>
      <c r="D53" s="71"/>
      <c r="E53" s="274"/>
      <c r="F53" s="214"/>
      <c r="G53" s="186"/>
      <c r="H53" s="74"/>
      <c r="I53" s="74"/>
      <c r="J53" s="74"/>
      <c r="K53" s="74"/>
      <c r="L53" s="73"/>
      <c r="M53" s="74"/>
      <c r="N53" s="73"/>
      <c r="O53" s="74"/>
      <c r="P53" s="74"/>
      <c r="Q53" s="74"/>
      <c r="R53" s="73"/>
      <c r="S53" s="73"/>
      <c r="T53" s="73"/>
      <c r="U53" s="73"/>
      <c r="V53" s="73"/>
      <c r="W53" s="143"/>
      <c r="X53" s="45" t="str">
        <f>IF(M53="","",'Pricing Details'!D43+'Pricing Details'!Q43)</f>
        <v/>
      </c>
      <c r="Y53" s="45" t="str">
        <f>IF(M53="","",'Pricing Details'!V43)</f>
        <v/>
      </c>
      <c r="Z53" s="43" t="str">
        <f>IF(M53="","",'Pricing Details'!X43)</f>
        <v/>
      </c>
      <c r="AA53" s="183" t="str">
        <f>'Pricing Details'!Z43</f>
        <v/>
      </c>
      <c r="AB53" s="178" t="str">
        <f>'Pricing Details'!AC43</f>
        <v/>
      </c>
      <c r="AC53" s="79"/>
      <c r="AD53" s="41" t="str">
        <f>IFERROR(_xlfn.XLOOKUP(K53,Collection[Display],Collection[Line])&amp;_xlfn.XLOOKUP(L53,Sleeve[Display],Sleeve[Sleeve]),"")</f>
        <v/>
      </c>
    </row>
    <row r="54" spans="1:30" s="41" customFormat="1" ht="30" customHeight="1" x14ac:dyDescent="0.2">
      <c r="A54" s="79"/>
      <c r="B54" s="70">
        <v>41</v>
      </c>
      <c r="C54" s="71"/>
      <c r="D54" s="71"/>
      <c r="E54" s="274"/>
      <c r="F54" s="214"/>
      <c r="G54" s="186"/>
      <c r="H54" s="74"/>
      <c r="I54" s="74"/>
      <c r="J54" s="74"/>
      <c r="K54" s="74"/>
      <c r="L54" s="73"/>
      <c r="M54" s="74"/>
      <c r="N54" s="73"/>
      <c r="O54" s="74"/>
      <c r="P54" s="74"/>
      <c r="Q54" s="74"/>
      <c r="R54" s="73"/>
      <c r="S54" s="73"/>
      <c r="T54" s="73"/>
      <c r="U54" s="73"/>
      <c r="V54" s="73"/>
      <c r="W54" s="143"/>
      <c r="X54" s="45" t="str">
        <f>IF(M54="","",'Pricing Details'!D44+'Pricing Details'!Q44)</f>
        <v/>
      </c>
      <c r="Y54" s="45" t="str">
        <f>IF(M54="","",'Pricing Details'!V44)</f>
        <v/>
      </c>
      <c r="Z54" s="43" t="str">
        <f>IF(M54="","",'Pricing Details'!X44)</f>
        <v/>
      </c>
      <c r="AA54" s="183" t="str">
        <f>'Pricing Details'!Z44</f>
        <v/>
      </c>
      <c r="AB54" s="178" t="str">
        <f>'Pricing Details'!AC44</f>
        <v/>
      </c>
      <c r="AC54" s="79"/>
      <c r="AD54" s="41" t="str">
        <f>IFERROR(_xlfn.XLOOKUP(K54,Collection[Display],Collection[Line])&amp;_xlfn.XLOOKUP(L54,Sleeve[Display],Sleeve[Sleeve]),"")</f>
        <v/>
      </c>
    </row>
    <row r="55" spans="1:30" s="41" customFormat="1" ht="30" customHeight="1" x14ac:dyDescent="0.2">
      <c r="A55" s="79"/>
      <c r="B55" s="70">
        <v>42</v>
      </c>
      <c r="C55" s="71"/>
      <c r="D55" s="71"/>
      <c r="E55" s="274"/>
      <c r="F55" s="214"/>
      <c r="G55" s="186"/>
      <c r="H55" s="74"/>
      <c r="I55" s="74"/>
      <c r="J55" s="74"/>
      <c r="K55" s="74"/>
      <c r="L55" s="73"/>
      <c r="M55" s="74"/>
      <c r="N55" s="73"/>
      <c r="O55" s="74"/>
      <c r="P55" s="74"/>
      <c r="Q55" s="74"/>
      <c r="R55" s="73"/>
      <c r="S55" s="73"/>
      <c r="T55" s="73"/>
      <c r="U55" s="73"/>
      <c r="V55" s="73"/>
      <c r="W55" s="143"/>
      <c r="X55" s="45" t="str">
        <f>IF(M55="","",'Pricing Details'!D45+'Pricing Details'!Q45)</f>
        <v/>
      </c>
      <c r="Y55" s="45" t="str">
        <f>IF(M55="","",'Pricing Details'!V45)</f>
        <v/>
      </c>
      <c r="Z55" s="43" t="str">
        <f>IF(M55="","",'Pricing Details'!X45)</f>
        <v/>
      </c>
      <c r="AA55" s="183" t="str">
        <f>'Pricing Details'!Z45</f>
        <v/>
      </c>
      <c r="AB55" s="178" t="str">
        <f>'Pricing Details'!AC45</f>
        <v/>
      </c>
      <c r="AC55" s="79"/>
      <c r="AD55" s="41" t="str">
        <f>IFERROR(_xlfn.XLOOKUP(K55,Collection[Display],Collection[Line])&amp;_xlfn.XLOOKUP(L55,Sleeve[Display],Sleeve[Sleeve]),"")</f>
        <v/>
      </c>
    </row>
    <row r="56" spans="1:30" s="41" customFormat="1" ht="30" customHeight="1" x14ac:dyDescent="0.2">
      <c r="A56" s="79"/>
      <c r="B56" s="70">
        <v>43</v>
      </c>
      <c r="C56" s="71"/>
      <c r="D56" s="71"/>
      <c r="E56" s="274"/>
      <c r="F56" s="214"/>
      <c r="G56" s="186"/>
      <c r="H56" s="74"/>
      <c r="I56" s="74"/>
      <c r="J56" s="74"/>
      <c r="K56" s="74"/>
      <c r="L56" s="73"/>
      <c r="M56" s="74"/>
      <c r="N56" s="73"/>
      <c r="O56" s="74"/>
      <c r="P56" s="74"/>
      <c r="Q56" s="74"/>
      <c r="R56" s="73"/>
      <c r="S56" s="73"/>
      <c r="T56" s="73"/>
      <c r="U56" s="73"/>
      <c r="V56" s="73"/>
      <c r="W56" s="143"/>
      <c r="X56" s="45" t="str">
        <f>IF(M56="","",'Pricing Details'!D46+'Pricing Details'!Q46)</f>
        <v/>
      </c>
      <c r="Y56" s="45" t="str">
        <f>IF(M56="","",'Pricing Details'!V46)</f>
        <v/>
      </c>
      <c r="Z56" s="43" t="str">
        <f>IF(M56="","",'Pricing Details'!X46)</f>
        <v/>
      </c>
      <c r="AA56" s="183" t="str">
        <f>'Pricing Details'!Z46</f>
        <v/>
      </c>
      <c r="AB56" s="178" t="str">
        <f>'Pricing Details'!AC46</f>
        <v/>
      </c>
      <c r="AC56" s="79"/>
      <c r="AD56" s="41" t="str">
        <f>IFERROR(_xlfn.XLOOKUP(K56,Collection[Display],Collection[Line])&amp;_xlfn.XLOOKUP(L56,Sleeve[Display],Sleeve[Sleeve]),"")</f>
        <v/>
      </c>
    </row>
    <row r="57" spans="1:30" s="41" customFormat="1" ht="30" customHeight="1" x14ac:dyDescent="0.2">
      <c r="A57" s="79"/>
      <c r="B57" s="70">
        <v>44</v>
      </c>
      <c r="C57" s="71"/>
      <c r="D57" s="71"/>
      <c r="E57" s="274"/>
      <c r="F57" s="214"/>
      <c r="G57" s="186"/>
      <c r="H57" s="74"/>
      <c r="I57" s="74"/>
      <c r="J57" s="74"/>
      <c r="K57" s="74"/>
      <c r="L57" s="73"/>
      <c r="M57" s="74"/>
      <c r="N57" s="73"/>
      <c r="O57" s="74"/>
      <c r="P57" s="74"/>
      <c r="Q57" s="74"/>
      <c r="R57" s="73"/>
      <c r="S57" s="73"/>
      <c r="T57" s="73"/>
      <c r="U57" s="73"/>
      <c r="V57" s="73"/>
      <c r="W57" s="143"/>
      <c r="X57" s="45" t="str">
        <f>IF(M57="","",'Pricing Details'!D47+'Pricing Details'!Q47)</f>
        <v/>
      </c>
      <c r="Y57" s="45" t="str">
        <f>IF(M57="","",'Pricing Details'!V47)</f>
        <v/>
      </c>
      <c r="Z57" s="43" t="str">
        <f>IF(M57="","",'Pricing Details'!X47)</f>
        <v/>
      </c>
      <c r="AA57" s="183" t="str">
        <f>'Pricing Details'!Z47</f>
        <v/>
      </c>
      <c r="AB57" s="178" t="str">
        <f>'Pricing Details'!AC47</f>
        <v/>
      </c>
      <c r="AC57" s="79"/>
      <c r="AD57" s="41" t="str">
        <f>IFERROR(_xlfn.XLOOKUP(K57,Collection[Display],Collection[Line])&amp;_xlfn.XLOOKUP(L57,Sleeve[Display],Sleeve[Sleeve]),"")</f>
        <v/>
      </c>
    </row>
    <row r="58" spans="1:30" s="41" customFormat="1" ht="30" customHeight="1" x14ac:dyDescent="0.2">
      <c r="A58" s="79"/>
      <c r="B58" s="70">
        <v>45</v>
      </c>
      <c r="C58" s="71"/>
      <c r="D58" s="71"/>
      <c r="E58" s="274"/>
      <c r="F58" s="214"/>
      <c r="G58" s="186"/>
      <c r="H58" s="74"/>
      <c r="I58" s="74"/>
      <c r="J58" s="74"/>
      <c r="K58" s="74"/>
      <c r="L58" s="73"/>
      <c r="M58" s="74"/>
      <c r="N58" s="73"/>
      <c r="O58" s="74"/>
      <c r="P58" s="74"/>
      <c r="Q58" s="74"/>
      <c r="R58" s="73"/>
      <c r="S58" s="73"/>
      <c r="T58" s="73"/>
      <c r="U58" s="73"/>
      <c r="V58" s="73"/>
      <c r="W58" s="143"/>
      <c r="X58" s="45" t="str">
        <f>IF(M58="","",'Pricing Details'!D48+'Pricing Details'!Q48)</f>
        <v/>
      </c>
      <c r="Y58" s="45" t="str">
        <f>IF(M58="","",'Pricing Details'!V48)</f>
        <v/>
      </c>
      <c r="Z58" s="43" t="str">
        <f>IF(M58="","",'Pricing Details'!X48)</f>
        <v/>
      </c>
      <c r="AA58" s="183" t="str">
        <f>'Pricing Details'!Z48</f>
        <v/>
      </c>
      <c r="AB58" s="178" t="str">
        <f>'Pricing Details'!AC48</f>
        <v/>
      </c>
      <c r="AC58" s="79"/>
      <c r="AD58" s="41" t="str">
        <f>IFERROR(_xlfn.XLOOKUP(K58,Collection[Display],Collection[Line])&amp;_xlfn.XLOOKUP(L58,Sleeve[Display],Sleeve[Sleeve]),"")</f>
        <v/>
      </c>
    </row>
    <row r="59" spans="1:30" s="41" customFormat="1" ht="30" customHeight="1" x14ac:dyDescent="0.2">
      <c r="A59" s="79"/>
      <c r="B59" s="70">
        <v>46</v>
      </c>
      <c r="C59" s="71"/>
      <c r="D59" s="71"/>
      <c r="E59" s="274"/>
      <c r="F59" s="214"/>
      <c r="G59" s="186"/>
      <c r="H59" s="74"/>
      <c r="I59" s="74"/>
      <c r="J59" s="74"/>
      <c r="K59" s="74"/>
      <c r="L59" s="73"/>
      <c r="M59" s="74"/>
      <c r="N59" s="73"/>
      <c r="O59" s="74"/>
      <c r="P59" s="74"/>
      <c r="Q59" s="74"/>
      <c r="R59" s="73"/>
      <c r="S59" s="73"/>
      <c r="T59" s="73"/>
      <c r="U59" s="73"/>
      <c r="V59" s="73"/>
      <c r="W59" s="143"/>
      <c r="X59" s="45" t="str">
        <f>IF(M59="","",'Pricing Details'!D49+'Pricing Details'!Q49)</f>
        <v/>
      </c>
      <c r="Y59" s="45" t="str">
        <f>IF(M59="","",'Pricing Details'!V49)</f>
        <v/>
      </c>
      <c r="Z59" s="43" t="str">
        <f>IF(M59="","",'Pricing Details'!X49)</f>
        <v/>
      </c>
      <c r="AA59" s="183" t="str">
        <f>'Pricing Details'!Z49</f>
        <v/>
      </c>
      <c r="AB59" s="178" t="str">
        <f>'Pricing Details'!AC49</f>
        <v/>
      </c>
      <c r="AC59" s="79"/>
      <c r="AD59" s="41" t="str">
        <f>IFERROR(_xlfn.XLOOKUP(K59,Collection[Display],Collection[Line])&amp;_xlfn.XLOOKUP(L59,Sleeve[Display],Sleeve[Sleeve]),"")</f>
        <v/>
      </c>
    </row>
    <row r="60" spans="1:30" s="41" customFormat="1" ht="30" customHeight="1" x14ac:dyDescent="0.2">
      <c r="A60" s="79"/>
      <c r="B60" s="70">
        <v>47</v>
      </c>
      <c r="C60" s="71"/>
      <c r="D60" s="71"/>
      <c r="E60" s="274"/>
      <c r="F60" s="214"/>
      <c r="G60" s="186"/>
      <c r="H60" s="74"/>
      <c r="I60" s="74"/>
      <c r="J60" s="74"/>
      <c r="K60" s="74"/>
      <c r="L60" s="73"/>
      <c r="M60" s="74"/>
      <c r="N60" s="73"/>
      <c r="O60" s="74"/>
      <c r="P60" s="74"/>
      <c r="Q60" s="74"/>
      <c r="R60" s="73"/>
      <c r="S60" s="73"/>
      <c r="T60" s="73"/>
      <c r="U60" s="73"/>
      <c r="V60" s="73"/>
      <c r="W60" s="143"/>
      <c r="X60" s="45" t="str">
        <f>IF(M60="","",'Pricing Details'!D50+'Pricing Details'!Q50)</f>
        <v/>
      </c>
      <c r="Y60" s="45" t="str">
        <f>IF(M60="","",'Pricing Details'!V50)</f>
        <v/>
      </c>
      <c r="Z60" s="43" t="str">
        <f>IF(M60="","",'Pricing Details'!X50)</f>
        <v/>
      </c>
      <c r="AA60" s="183" t="str">
        <f>'Pricing Details'!Z50</f>
        <v/>
      </c>
      <c r="AB60" s="178" t="str">
        <f>'Pricing Details'!AC50</f>
        <v/>
      </c>
      <c r="AC60" s="79"/>
      <c r="AD60" s="41" t="str">
        <f>IFERROR(_xlfn.XLOOKUP(K60,Collection[Display],Collection[Line])&amp;_xlfn.XLOOKUP(L60,Sleeve[Display],Sleeve[Sleeve]),"")</f>
        <v/>
      </c>
    </row>
    <row r="61" spans="1:30" s="41" customFormat="1" ht="30" customHeight="1" x14ac:dyDescent="0.2">
      <c r="A61" s="79"/>
      <c r="B61" s="70">
        <v>48</v>
      </c>
      <c r="C61" s="71"/>
      <c r="D61" s="71"/>
      <c r="E61" s="274"/>
      <c r="F61" s="214"/>
      <c r="G61" s="186"/>
      <c r="H61" s="74"/>
      <c r="I61" s="74"/>
      <c r="J61" s="74"/>
      <c r="K61" s="74"/>
      <c r="L61" s="73"/>
      <c r="M61" s="74"/>
      <c r="N61" s="73"/>
      <c r="O61" s="74"/>
      <c r="P61" s="74"/>
      <c r="Q61" s="74"/>
      <c r="R61" s="73"/>
      <c r="S61" s="73"/>
      <c r="T61" s="73"/>
      <c r="U61" s="73"/>
      <c r="V61" s="73"/>
      <c r="W61" s="143"/>
      <c r="X61" s="45" t="str">
        <f>IF(M61="","",'Pricing Details'!D51+'Pricing Details'!Q51)</f>
        <v/>
      </c>
      <c r="Y61" s="45" t="str">
        <f>IF(M61="","",'Pricing Details'!V51)</f>
        <v/>
      </c>
      <c r="Z61" s="43" t="str">
        <f>IF(M61="","",'Pricing Details'!X51)</f>
        <v/>
      </c>
      <c r="AA61" s="183" t="str">
        <f>'Pricing Details'!Z51</f>
        <v/>
      </c>
      <c r="AB61" s="178" t="str">
        <f>'Pricing Details'!AC51</f>
        <v/>
      </c>
      <c r="AC61" s="79"/>
      <c r="AD61" s="41" t="str">
        <f>IFERROR(_xlfn.XLOOKUP(K61,Collection[Display],Collection[Line])&amp;_xlfn.XLOOKUP(L61,Sleeve[Display],Sleeve[Sleeve]),"")</f>
        <v/>
      </c>
    </row>
    <row r="62" spans="1:30" s="41" customFormat="1" ht="30" customHeight="1" x14ac:dyDescent="0.2">
      <c r="A62" s="79"/>
      <c r="B62" s="70">
        <v>49</v>
      </c>
      <c r="C62" s="71"/>
      <c r="D62" s="71"/>
      <c r="E62" s="274"/>
      <c r="F62" s="214"/>
      <c r="G62" s="186"/>
      <c r="H62" s="74"/>
      <c r="I62" s="74"/>
      <c r="J62" s="74"/>
      <c r="K62" s="74"/>
      <c r="L62" s="73"/>
      <c r="M62" s="74"/>
      <c r="N62" s="73"/>
      <c r="O62" s="74"/>
      <c r="P62" s="74"/>
      <c r="Q62" s="74"/>
      <c r="R62" s="73"/>
      <c r="S62" s="73"/>
      <c r="T62" s="73"/>
      <c r="U62" s="73"/>
      <c r="V62" s="73"/>
      <c r="W62" s="143"/>
      <c r="X62" s="45" t="str">
        <f>IF(M62="","",'Pricing Details'!D52+'Pricing Details'!Q52)</f>
        <v/>
      </c>
      <c r="Y62" s="45" t="str">
        <f>IF(M62="","",'Pricing Details'!V52)</f>
        <v/>
      </c>
      <c r="Z62" s="43" t="str">
        <f>IF(M62="","",'Pricing Details'!X52)</f>
        <v/>
      </c>
      <c r="AA62" s="183" t="str">
        <f>'Pricing Details'!Z52</f>
        <v/>
      </c>
      <c r="AB62" s="178" t="str">
        <f>'Pricing Details'!AC52</f>
        <v/>
      </c>
      <c r="AC62" s="79"/>
      <c r="AD62" s="41" t="str">
        <f>IFERROR(_xlfn.XLOOKUP(K62,Collection[Display],Collection[Line])&amp;_xlfn.XLOOKUP(L62,Sleeve[Display],Sleeve[Sleeve]),"")</f>
        <v/>
      </c>
    </row>
    <row r="63" spans="1:30" s="41" customFormat="1" ht="30" customHeight="1" x14ac:dyDescent="0.2">
      <c r="A63" s="79"/>
      <c r="B63" s="70">
        <v>50</v>
      </c>
      <c r="C63" s="71"/>
      <c r="D63" s="71"/>
      <c r="E63" s="274"/>
      <c r="F63" s="214"/>
      <c r="G63" s="186"/>
      <c r="H63" s="74"/>
      <c r="I63" s="74"/>
      <c r="J63" s="74"/>
      <c r="K63" s="74"/>
      <c r="L63" s="73"/>
      <c r="M63" s="74"/>
      <c r="N63" s="73"/>
      <c r="O63" s="74"/>
      <c r="P63" s="74"/>
      <c r="Q63" s="74"/>
      <c r="R63" s="73"/>
      <c r="S63" s="73"/>
      <c r="T63" s="73"/>
      <c r="U63" s="73"/>
      <c r="V63" s="73"/>
      <c r="W63" s="143"/>
      <c r="X63" s="45" t="str">
        <f>IF(M63="","",'Pricing Details'!D53+'Pricing Details'!Q53)</f>
        <v/>
      </c>
      <c r="Y63" s="45" t="str">
        <f>IF(M63="","",'Pricing Details'!V53)</f>
        <v/>
      </c>
      <c r="Z63" s="43" t="str">
        <f>IF(M63="","",'Pricing Details'!X53)</f>
        <v/>
      </c>
      <c r="AA63" s="183" t="str">
        <f>'Pricing Details'!Z53</f>
        <v/>
      </c>
      <c r="AB63" s="178" t="str">
        <f>'Pricing Details'!AC53</f>
        <v/>
      </c>
      <c r="AC63" s="79"/>
      <c r="AD63" s="41" t="str">
        <f>IFERROR(_xlfn.XLOOKUP(K63,Collection[Display],Collection[Line])&amp;_xlfn.XLOOKUP(L63,Sleeve[Display],Sleeve[Sleeve]),"")</f>
        <v/>
      </c>
    </row>
    <row r="64" spans="1:30" s="41" customFormat="1" ht="30" customHeight="1" x14ac:dyDescent="0.2">
      <c r="A64" s="79"/>
      <c r="B64" s="70">
        <v>51</v>
      </c>
      <c r="C64" s="71"/>
      <c r="D64" s="71"/>
      <c r="E64" s="274"/>
      <c r="F64" s="214"/>
      <c r="G64" s="186"/>
      <c r="H64" s="74"/>
      <c r="I64" s="74"/>
      <c r="J64" s="74"/>
      <c r="K64" s="74"/>
      <c r="L64" s="73"/>
      <c r="M64" s="74"/>
      <c r="N64" s="73"/>
      <c r="O64" s="74"/>
      <c r="P64" s="74"/>
      <c r="Q64" s="74"/>
      <c r="R64" s="73"/>
      <c r="S64" s="73"/>
      <c r="T64" s="73"/>
      <c r="U64" s="73"/>
      <c r="V64" s="73"/>
      <c r="W64" s="143"/>
      <c r="X64" s="45" t="str">
        <f>IF(M64="","",'Pricing Details'!D54+'Pricing Details'!Q54)</f>
        <v/>
      </c>
      <c r="Y64" s="45" t="str">
        <f>IF(M64="","",'Pricing Details'!V54)</f>
        <v/>
      </c>
      <c r="Z64" s="43" t="str">
        <f>IF(M64="","",'Pricing Details'!X54)</f>
        <v/>
      </c>
      <c r="AA64" s="183" t="str">
        <f>'Pricing Details'!Z54</f>
        <v/>
      </c>
      <c r="AB64" s="178" t="str">
        <f>'Pricing Details'!AC54</f>
        <v/>
      </c>
      <c r="AC64" s="79"/>
      <c r="AD64" s="41" t="str">
        <f>IFERROR(_xlfn.XLOOKUP(K64,Collection[Display],Collection[Line])&amp;_xlfn.XLOOKUP(L64,Sleeve[Display],Sleeve[Sleeve]),"")</f>
        <v/>
      </c>
    </row>
    <row r="65" spans="1:30" s="41" customFormat="1" ht="30" customHeight="1" x14ac:dyDescent="0.2">
      <c r="A65" s="79"/>
      <c r="B65" s="70">
        <v>52</v>
      </c>
      <c r="C65" s="71"/>
      <c r="D65" s="71"/>
      <c r="E65" s="274"/>
      <c r="F65" s="214"/>
      <c r="G65" s="186"/>
      <c r="H65" s="74"/>
      <c r="I65" s="74"/>
      <c r="J65" s="74"/>
      <c r="K65" s="74"/>
      <c r="L65" s="73"/>
      <c r="M65" s="74"/>
      <c r="N65" s="73"/>
      <c r="O65" s="74"/>
      <c r="P65" s="74"/>
      <c r="Q65" s="74"/>
      <c r="R65" s="73"/>
      <c r="S65" s="73"/>
      <c r="T65" s="73"/>
      <c r="U65" s="73"/>
      <c r="V65" s="73"/>
      <c r="W65" s="143"/>
      <c r="X65" s="45" t="str">
        <f>IF(M65="","",'Pricing Details'!D55+'Pricing Details'!Q55)</f>
        <v/>
      </c>
      <c r="Y65" s="45" t="str">
        <f>IF(M65="","",'Pricing Details'!V55)</f>
        <v/>
      </c>
      <c r="Z65" s="43" t="str">
        <f>IF(M65="","",'Pricing Details'!X55)</f>
        <v/>
      </c>
      <c r="AA65" s="183" t="str">
        <f>'Pricing Details'!Z55</f>
        <v/>
      </c>
      <c r="AB65" s="178" t="str">
        <f>'Pricing Details'!AC55</f>
        <v/>
      </c>
      <c r="AC65" s="79"/>
      <c r="AD65" s="41" t="str">
        <f>IFERROR(_xlfn.XLOOKUP(K65,Collection[Display],Collection[Line])&amp;_xlfn.XLOOKUP(L65,Sleeve[Display],Sleeve[Sleeve]),"")</f>
        <v/>
      </c>
    </row>
    <row r="66" spans="1:30" s="41" customFormat="1" ht="30" customHeight="1" x14ac:dyDescent="0.2">
      <c r="A66" s="79"/>
      <c r="B66" s="70">
        <v>53</v>
      </c>
      <c r="C66" s="71"/>
      <c r="D66" s="71"/>
      <c r="E66" s="274"/>
      <c r="F66" s="214"/>
      <c r="G66" s="186"/>
      <c r="H66" s="74"/>
      <c r="I66" s="74"/>
      <c r="J66" s="74"/>
      <c r="K66" s="74"/>
      <c r="L66" s="73"/>
      <c r="M66" s="74"/>
      <c r="N66" s="73"/>
      <c r="O66" s="74"/>
      <c r="P66" s="74"/>
      <c r="Q66" s="74"/>
      <c r="R66" s="73"/>
      <c r="S66" s="73"/>
      <c r="T66" s="73"/>
      <c r="U66" s="73"/>
      <c r="V66" s="73"/>
      <c r="W66" s="143"/>
      <c r="X66" s="45" t="str">
        <f>IF(M66="","",'Pricing Details'!D56+'Pricing Details'!Q56)</f>
        <v/>
      </c>
      <c r="Y66" s="45" t="str">
        <f>IF(M66="","",'Pricing Details'!V56)</f>
        <v/>
      </c>
      <c r="Z66" s="43" t="str">
        <f>IF(M66="","",'Pricing Details'!X56)</f>
        <v/>
      </c>
      <c r="AA66" s="183" t="str">
        <f>'Pricing Details'!Z56</f>
        <v/>
      </c>
      <c r="AB66" s="178" t="str">
        <f>'Pricing Details'!AC56</f>
        <v/>
      </c>
      <c r="AC66" s="79"/>
      <c r="AD66" s="41" t="str">
        <f>IFERROR(_xlfn.XLOOKUP(K66,Collection[Display],Collection[Line])&amp;_xlfn.XLOOKUP(L66,Sleeve[Display],Sleeve[Sleeve]),"")</f>
        <v/>
      </c>
    </row>
    <row r="67" spans="1:30" s="41" customFormat="1" ht="30" customHeight="1" x14ac:dyDescent="0.2">
      <c r="A67" s="79"/>
      <c r="B67" s="70">
        <v>54</v>
      </c>
      <c r="C67" s="71"/>
      <c r="D67" s="71"/>
      <c r="E67" s="274"/>
      <c r="F67" s="214"/>
      <c r="G67" s="186"/>
      <c r="H67" s="74"/>
      <c r="I67" s="74"/>
      <c r="J67" s="74"/>
      <c r="K67" s="74"/>
      <c r="L67" s="73"/>
      <c r="M67" s="74"/>
      <c r="N67" s="73"/>
      <c r="O67" s="74"/>
      <c r="P67" s="74"/>
      <c r="Q67" s="74"/>
      <c r="R67" s="73"/>
      <c r="S67" s="73"/>
      <c r="T67" s="73"/>
      <c r="U67" s="73"/>
      <c r="V67" s="73"/>
      <c r="W67" s="143"/>
      <c r="X67" s="45" t="str">
        <f>IF(M67="","",'Pricing Details'!D57+'Pricing Details'!Q57)</f>
        <v/>
      </c>
      <c r="Y67" s="45" t="str">
        <f>IF(M67="","",'Pricing Details'!V57)</f>
        <v/>
      </c>
      <c r="Z67" s="43" t="str">
        <f>IF(M67="","",'Pricing Details'!X57)</f>
        <v/>
      </c>
      <c r="AA67" s="183" t="str">
        <f>'Pricing Details'!Z57</f>
        <v/>
      </c>
      <c r="AB67" s="178" t="str">
        <f>'Pricing Details'!AC57</f>
        <v/>
      </c>
      <c r="AC67" s="79"/>
      <c r="AD67" s="41" t="str">
        <f>IFERROR(_xlfn.XLOOKUP(K67,Collection[Display],Collection[Line])&amp;_xlfn.XLOOKUP(L67,Sleeve[Display],Sleeve[Sleeve]),"")</f>
        <v/>
      </c>
    </row>
    <row r="68" spans="1:30" s="41" customFormat="1" ht="30" customHeight="1" x14ac:dyDescent="0.2">
      <c r="A68" s="79"/>
      <c r="B68" s="70">
        <v>55</v>
      </c>
      <c r="C68" s="71"/>
      <c r="D68" s="71"/>
      <c r="E68" s="274"/>
      <c r="F68" s="214"/>
      <c r="G68" s="186"/>
      <c r="H68" s="74"/>
      <c r="I68" s="74"/>
      <c r="J68" s="74"/>
      <c r="K68" s="74"/>
      <c r="L68" s="73"/>
      <c r="M68" s="74"/>
      <c r="N68" s="73"/>
      <c r="O68" s="74"/>
      <c r="P68" s="74"/>
      <c r="Q68" s="74"/>
      <c r="R68" s="73"/>
      <c r="S68" s="73"/>
      <c r="T68" s="73"/>
      <c r="U68" s="73"/>
      <c r="V68" s="73"/>
      <c r="W68" s="143"/>
      <c r="X68" s="45" t="str">
        <f>IF(M68="","",'Pricing Details'!D58+'Pricing Details'!Q58)</f>
        <v/>
      </c>
      <c r="Y68" s="45" t="str">
        <f>IF(M68="","",'Pricing Details'!V58)</f>
        <v/>
      </c>
      <c r="Z68" s="43" t="str">
        <f>IF(M68="","",'Pricing Details'!X58)</f>
        <v/>
      </c>
      <c r="AA68" s="183" t="str">
        <f>'Pricing Details'!Z58</f>
        <v/>
      </c>
      <c r="AB68" s="178" t="str">
        <f>'Pricing Details'!AC58</f>
        <v/>
      </c>
      <c r="AC68" s="79"/>
      <c r="AD68" s="41" t="str">
        <f>IFERROR(_xlfn.XLOOKUP(K68,Collection[Display],Collection[Line])&amp;_xlfn.XLOOKUP(L68,Sleeve[Display],Sleeve[Sleeve]),"")</f>
        <v/>
      </c>
    </row>
    <row r="69" spans="1:30" s="41" customFormat="1" ht="30" customHeight="1" x14ac:dyDescent="0.2">
      <c r="A69" s="79"/>
      <c r="B69" s="70">
        <v>56</v>
      </c>
      <c r="C69" s="71"/>
      <c r="D69" s="71"/>
      <c r="E69" s="274"/>
      <c r="F69" s="214"/>
      <c r="G69" s="186"/>
      <c r="H69" s="74"/>
      <c r="I69" s="74"/>
      <c r="J69" s="74"/>
      <c r="K69" s="74"/>
      <c r="L69" s="73"/>
      <c r="M69" s="74"/>
      <c r="N69" s="73"/>
      <c r="O69" s="74"/>
      <c r="P69" s="74"/>
      <c r="Q69" s="74"/>
      <c r="R69" s="73"/>
      <c r="S69" s="73"/>
      <c r="T69" s="73"/>
      <c r="U69" s="73"/>
      <c r="V69" s="73"/>
      <c r="W69" s="143"/>
      <c r="X69" s="45" t="str">
        <f>IF(M69="","",'Pricing Details'!D59+'Pricing Details'!Q59)</f>
        <v/>
      </c>
      <c r="Y69" s="45" t="str">
        <f>IF(M69="","",'Pricing Details'!V59)</f>
        <v/>
      </c>
      <c r="Z69" s="43" t="str">
        <f>IF(M69="","",'Pricing Details'!X59)</f>
        <v/>
      </c>
      <c r="AA69" s="183" t="str">
        <f>'Pricing Details'!Z59</f>
        <v/>
      </c>
      <c r="AB69" s="178" t="str">
        <f>'Pricing Details'!AC59</f>
        <v/>
      </c>
      <c r="AC69" s="79"/>
      <c r="AD69" s="41" t="str">
        <f>IFERROR(_xlfn.XLOOKUP(K69,Collection[Display],Collection[Line])&amp;_xlfn.XLOOKUP(L69,Sleeve[Display],Sleeve[Sleeve]),"")</f>
        <v/>
      </c>
    </row>
    <row r="70" spans="1:30" s="41" customFormat="1" ht="30" customHeight="1" x14ac:dyDescent="0.2">
      <c r="A70" s="79"/>
      <c r="B70" s="70">
        <v>57</v>
      </c>
      <c r="C70" s="71"/>
      <c r="D70" s="71"/>
      <c r="E70" s="274"/>
      <c r="F70" s="214"/>
      <c r="G70" s="186"/>
      <c r="H70" s="74"/>
      <c r="I70" s="74"/>
      <c r="J70" s="74"/>
      <c r="K70" s="74"/>
      <c r="L70" s="73"/>
      <c r="M70" s="74"/>
      <c r="N70" s="73"/>
      <c r="O70" s="74"/>
      <c r="P70" s="74"/>
      <c r="Q70" s="74"/>
      <c r="R70" s="73"/>
      <c r="S70" s="73"/>
      <c r="T70" s="73"/>
      <c r="U70" s="73"/>
      <c r="V70" s="73"/>
      <c r="W70" s="143"/>
      <c r="X70" s="45" t="str">
        <f>IF(M70="","",'Pricing Details'!D60+'Pricing Details'!Q60)</f>
        <v/>
      </c>
      <c r="Y70" s="45" t="str">
        <f>IF(M70="","",'Pricing Details'!V60)</f>
        <v/>
      </c>
      <c r="Z70" s="43" t="str">
        <f>IF(M70="","",'Pricing Details'!X60)</f>
        <v/>
      </c>
      <c r="AA70" s="183" t="str">
        <f>'Pricing Details'!Z60</f>
        <v/>
      </c>
      <c r="AB70" s="178" t="str">
        <f>'Pricing Details'!AC60</f>
        <v/>
      </c>
      <c r="AC70" s="79"/>
      <c r="AD70" s="41" t="str">
        <f>IFERROR(_xlfn.XLOOKUP(K70,Collection[Display],Collection[Line])&amp;_xlfn.XLOOKUP(L70,Sleeve[Display],Sleeve[Sleeve]),"")</f>
        <v/>
      </c>
    </row>
    <row r="71" spans="1:30" s="41" customFormat="1" ht="30" customHeight="1" x14ac:dyDescent="0.2">
      <c r="A71" s="79"/>
      <c r="B71" s="70">
        <v>58</v>
      </c>
      <c r="C71" s="71"/>
      <c r="D71" s="71"/>
      <c r="E71" s="274"/>
      <c r="F71" s="214"/>
      <c r="G71" s="186"/>
      <c r="H71" s="74"/>
      <c r="I71" s="74"/>
      <c r="J71" s="74"/>
      <c r="K71" s="74"/>
      <c r="L71" s="73"/>
      <c r="M71" s="74"/>
      <c r="N71" s="73"/>
      <c r="O71" s="74"/>
      <c r="P71" s="74"/>
      <c r="Q71" s="74"/>
      <c r="R71" s="73"/>
      <c r="S71" s="73"/>
      <c r="T71" s="73"/>
      <c r="U71" s="73"/>
      <c r="V71" s="73"/>
      <c r="W71" s="143"/>
      <c r="X71" s="45" t="str">
        <f>IF(M71="","",'Pricing Details'!D61+'Pricing Details'!Q61)</f>
        <v/>
      </c>
      <c r="Y71" s="45" t="str">
        <f>IF(M71="","",'Pricing Details'!V61)</f>
        <v/>
      </c>
      <c r="Z71" s="43" t="str">
        <f>IF(M71="","",'Pricing Details'!X61)</f>
        <v/>
      </c>
      <c r="AA71" s="183" t="str">
        <f>'Pricing Details'!Z61</f>
        <v/>
      </c>
      <c r="AB71" s="178" t="str">
        <f>'Pricing Details'!AC61</f>
        <v/>
      </c>
      <c r="AC71" s="79"/>
      <c r="AD71" s="41" t="str">
        <f>IFERROR(_xlfn.XLOOKUP(K71,Collection[Display],Collection[Line])&amp;_xlfn.XLOOKUP(L71,Sleeve[Display],Sleeve[Sleeve]),"")</f>
        <v/>
      </c>
    </row>
    <row r="72" spans="1:30" s="41" customFormat="1" ht="30" customHeight="1" x14ac:dyDescent="0.2">
      <c r="A72" s="79"/>
      <c r="B72" s="70">
        <v>59</v>
      </c>
      <c r="C72" s="71"/>
      <c r="D72" s="71"/>
      <c r="E72" s="274"/>
      <c r="F72" s="214"/>
      <c r="G72" s="186"/>
      <c r="H72" s="74"/>
      <c r="I72" s="74"/>
      <c r="J72" s="74"/>
      <c r="K72" s="74"/>
      <c r="L72" s="73"/>
      <c r="M72" s="74"/>
      <c r="N72" s="73"/>
      <c r="O72" s="74"/>
      <c r="P72" s="74"/>
      <c r="Q72" s="74"/>
      <c r="R72" s="73"/>
      <c r="S72" s="73"/>
      <c r="T72" s="73"/>
      <c r="U72" s="73"/>
      <c r="V72" s="73"/>
      <c r="W72" s="143"/>
      <c r="X72" s="45" t="str">
        <f>IF(M72="","",'Pricing Details'!D62+'Pricing Details'!Q62)</f>
        <v/>
      </c>
      <c r="Y72" s="45" t="str">
        <f>IF(M72="","",'Pricing Details'!V62)</f>
        <v/>
      </c>
      <c r="Z72" s="43" t="str">
        <f>IF(M72="","",'Pricing Details'!X62)</f>
        <v/>
      </c>
      <c r="AA72" s="183" t="str">
        <f>'Pricing Details'!Z62</f>
        <v/>
      </c>
      <c r="AB72" s="178" t="str">
        <f>'Pricing Details'!AC62</f>
        <v/>
      </c>
      <c r="AC72" s="79"/>
      <c r="AD72" s="41" t="str">
        <f>IFERROR(_xlfn.XLOOKUP(K72,Collection[Display],Collection[Line])&amp;_xlfn.XLOOKUP(L72,Sleeve[Display],Sleeve[Sleeve]),"")</f>
        <v/>
      </c>
    </row>
    <row r="73" spans="1:30" s="41" customFormat="1" ht="30" customHeight="1" x14ac:dyDescent="0.2">
      <c r="A73" s="79"/>
      <c r="B73" s="70">
        <v>60</v>
      </c>
      <c r="C73" s="71"/>
      <c r="D73" s="71"/>
      <c r="E73" s="274"/>
      <c r="F73" s="214"/>
      <c r="G73" s="186"/>
      <c r="H73" s="74"/>
      <c r="I73" s="74"/>
      <c r="J73" s="74"/>
      <c r="K73" s="74"/>
      <c r="L73" s="73"/>
      <c r="M73" s="74"/>
      <c r="N73" s="73"/>
      <c r="O73" s="74"/>
      <c r="P73" s="74"/>
      <c r="Q73" s="74"/>
      <c r="R73" s="73"/>
      <c r="S73" s="73"/>
      <c r="T73" s="73"/>
      <c r="U73" s="73"/>
      <c r="V73" s="73"/>
      <c r="W73" s="143"/>
      <c r="X73" s="45" t="str">
        <f>IF(M73="","",'Pricing Details'!D63+'Pricing Details'!Q63)</f>
        <v/>
      </c>
      <c r="Y73" s="45" t="str">
        <f>IF(M73="","",'Pricing Details'!V63)</f>
        <v/>
      </c>
      <c r="Z73" s="43" t="str">
        <f>IF(M73="","",'Pricing Details'!X63)</f>
        <v/>
      </c>
      <c r="AA73" s="183" t="str">
        <f>'Pricing Details'!Z63</f>
        <v/>
      </c>
      <c r="AB73" s="178" t="str">
        <f>'Pricing Details'!AC63</f>
        <v/>
      </c>
      <c r="AC73" s="79"/>
      <c r="AD73" s="41" t="str">
        <f>IFERROR(_xlfn.XLOOKUP(K73,Collection[Display],Collection[Line])&amp;_xlfn.XLOOKUP(L73,Sleeve[Display],Sleeve[Sleeve]),"")</f>
        <v/>
      </c>
    </row>
    <row r="74" spans="1:30" s="41" customFormat="1" ht="30" customHeight="1" x14ac:dyDescent="0.2">
      <c r="A74" s="79"/>
      <c r="B74" s="70">
        <v>61</v>
      </c>
      <c r="C74" s="71"/>
      <c r="D74" s="71"/>
      <c r="E74" s="274"/>
      <c r="F74" s="214"/>
      <c r="G74" s="186"/>
      <c r="H74" s="74"/>
      <c r="I74" s="74"/>
      <c r="J74" s="74"/>
      <c r="K74" s="74"/>
      <c r="L74" s="73"/>
      <c r="M74" s="74"/>
      <c r="N74" s="73"/>
      <c r="O74" s="74"/>
      <c r="P74" s="74"/>
      <c r="Q74" s="74"/>
      <c r="R74" s="73"/>
      <c r="S74" s="73"/>
      <c r="T74" s="73"/>
      <c r="U74" s="73"/>
      <c r="V74" s="73"/>
      <c r="W74" s="143"/>
      <c r="X74" s="45" t="str">
        <f>IF(M74="","",'Pricing Details'!D64+'Pricing Details'!Q64)</f>
        <v/>
      </c>
      <c r="Y74" s="45" t="str">
        <f>IF(M74="","",'Pricing Details'!V64)</f>
        <v/>
      </c>
      <c r="Z74" s="43" t="str">
        <f>IF(M74="","",'Pricing Details'!X64)</f>
        <v/>
      </c>
      <c r="AA74" s="183" t="str">
        <f>'Pricing Details'!Z64</f>
        <v/>
      </c>
      <c r="AB74" s="178" t="str">
        <f>'Pricing Details'!AC64</f>
        <v/>
      </c>
      <c r="AC74" s="79"/>
      <c r="AD74" s="41" t="str">
        <f>IFERROR(_xlfn.XLOOKUP(K74,Collection[Display],Collection[Line])&amp;_xlfn.XLOOKUP(L74,Sleeve[Display],Sleeve[Sleeve]),"")</f>
        <v/>
      </c>
    </row>
    <row r="75" spans="1:30" s="41" customFormat="1" ht="30" customHeight="1" x14ac:dyDescent="0.2">
      <c r="A75" s="79"/>
      <c r="B75" s="70">
        <v>62</v>
      </c>
      <c r="C75" s="71"/>
      <c r="D75" s="71"/>
      <c r="E75" s="274"/>
      <c r="F75" s="214"/>
      <c r="G75" s="186"/>
      <c r="H75" s="74"/>
      <c r="I75" s="74"/>
      <c r="J75" s="74"/>
      <c r="K75" s="74"/>
      <c r="L75" s="73"/>
      <c r="M75" s="74"/>
      <c r="N75" s="73"/>
      <c r="O75" s="74"/>
      <c r="P75" s="74"/>
      <c r="Q75" s="74"/>
      <c r="R75" s="73"/>
      <c r="S75" s="73"/>
      <c r="T75" s="73"/>
      <c r="U75" s="73"/>
      <c r="V75" s="73"/>
      <c r="W75" s="143"/>
      <c r="X75" s="45" t="str">
        <f>IF(M75="","",'Pricing Details'!D65+'Pricing Details'!Q65)</f>
        <v/>
      </c>
      <c r="Y75" s="45" t="str">
        <f>IF(M75="","",'Pricing Details'!V65)</f>
        <v/>
      </c>
      <c r="Z75" s="43" t="str">
        <f>IF(M75="","",'Pricing Details'!X65)</f>
        <v/>
      </c>
      <c r="AA75" s="183" t="str">
        <f>'Pricing Details'!Z65</f>
        <v/>
      </c>
      <c r="AB75" s="178" t="str">
        <f>'Pricing Details'!AC65</f>
        <v/>
      </c>
      <c r="AC75" s="79"/>
      <c r="AD75" s="41" t="str">
        <f>IFERROR(_xlfn.XLOOKUP(K75,Collection[Display],Collection[Line])&amp;_xlfn.XLOOKUP(L75,Sleeve[Display],Sleeve[Sleeve]),"")</f>
        <v/>
      </c>
    </row>
    <row r="76" spans="1:30" s="41" customFormat="1" ht="30" customHeight="1" x14ac:dyDescent="0.2">
      <c r="A76" s="79"/>
      <c r="B76" s="70">
        <v>63</v>
      </c>
      <c r="C76" s="71"/>
      <c r="D76" s="71"/>
      <c r="E76" s="274"/>
      <c r="F76" s="214"/>
      <c r="G76" s="186"/>
      <c r="H76" s="74"/>
      <c r="I76" s="74"/>
      <c r="J76" s="74"/>
      <c r="K76" s="74"/>
      <c r="L76" s="73"/>
      <c r="M76" s="74"/>
      <c r="N76" s="73"/>
      <c r="O76" s="74"/>
      <c r="P76" s="74"/>
      <c r="Q76" s="74"/>
      <c r="R76" s="73"/>
      <c r="S76" s="73"/>
      <c r="T76" s="73"/>
      <c r="U76" s="73"/>
      <c r="V76" s="73"/>
      <c r="W76" s="143"/>
      <c r="X76" s="45" t="str">
        <f>IF(M76="","",'Pricing Details'!D66+'Pricing Details'!Q66)</f>
        <v/>
      </c>
      <c r="Y76" s="45" t="str">
        <f>IF(M76="","",'Pricing Details'!V66)</f>
        <v/>
      </c>
      <c r="Z76" s="43" t="str">
        <f>IF(M76="","",'Pricing Details'!X66)</f>
        <v/>
      </c>
      <c r="AA76" s="183" t="str">
        <f>'Pricing Details'!Z66</f>
        <v/>
      </c>
      <c r="AB76" s="178" t="str">
        <f>'Pricing Details'!AC66</f>
        <v/>
      </c>
      <c r="AC76" s="79"/>
      <c r="AD76" s="41" t="str">
        <f>IFERROR(_xlfn.XLOOKUP(K76,Collection[Display],Collection[Line])&amp;_xlfn.XLOOKUP(L76,Sleeve[Display],Sleeve[Sleeve]),"")</f>
        <v/>
      </c>
    </row>
    <row r="77" spans="1:30" s="41" customFormat="1" ht="30" customHeight="1" x14ac:dyDescent="0.2">
      <c r="A77" s="79"/>
      <c r="B77" s="70">
        <v>64</v>
      </c>
      <c r="C77" s="71"/>
      <c r="D77" s="71"/>
      <c r="E77" s="274"/>
      <c r="F77" s="214"/>
      <c r="G77" s="186"/>
      <c r="H77" s="74"/>
      <c r="I77" s="74"/>
      <c r="J77" s="74"/>
      <c r="K77" s="74"/>
      <c r="L77" s="73"/>
      <c r="M77" s="74"/>
      <c r="N77" s="73"/>
      <c r="O77" s="74"/>
      <c r="P77" s="74"/>
      <c r="Q77" s="74"/>
      <c r="R77" s="73"/>
      <c r="S77" s="73"/>
      <c r="T77" s="73"/>
      <c r="U77" s="73"/>
      <c r="V77" s="73"/>
      <c r="W77" s="143"/>
      <c r="X77" s="45" t="str">
        <f>IF(M77="","",'Pricing Details'!D67+'Pricing Details'!Q67)</f>
        <v/>
      </c>
      <c r="Y77" s="45" t="str">
        <f>IF(M77="","",'Pricing Details'!V67)</f>
        <v/>
      </c>
      <c r="Z77" s="43" t="str">
        <f>IF(M77="","",'Pricing Details'!X67)</f>
        <v/>
      </c>
      <c r="AA77" s="183" t="str">
        <f>'Pricing Details'!Z67</f>
        <v/>
      </c>
      <c r="AB77" s="178" t="str">
        <f>'Pricing Details'!AC67</f>
        <v/>
      </c>
      <c r="AC77" s="79"/>
      <c r="AD77" s="41" t="str">
        <f>IFERROR(_xlfn.XLOOKUP(K77,Collection[Display],Collection[Line])&amp;_xlfn.XLOOKUP(L77,Sleeve[Display],Sleeve[Sleeve]),"")</f>
        <v/>
      </c>
    </row>
    <row r="78" spans="1:30" s="41" customFormat="1" ht="30" customHeight="1" x14ac:dyDescent="0.2">
      <c r="A78" s="79"/>
      <c r="B78" s="70">
        <v>65</v>
      </c>
      <c r="C78" s="71"/>
      <c r="D78" s="71"/>
      <c r="E78" s="274"/>
      <c r="F78" s="214"/>
      <c r="G78" s="186"/>
      <c r="H78" s="74"/>
      <c r="I78" s="74"/>
      <c r="J78" s="74"/>
      <c r="K78" s="74"/>
      <c r="L78" s="73"/>
      <c r="M78" s="74"/>
      <c r="N78" s="73"/>
      <c r="O78" s="74"/>
      <c r="P78" s="74"/>
      <c r="Q78" s="74"/>
      <c r="R78" s="73"/>
      <c r="S78" s="73"/>
      <c r="T78" s="73"/>
      <c r="U78" s="73"/>
      <c r="V78" s="73"/>
      <c r="W78" s="143"/>
      <c r="X78" s="45" t="str">
        <f>IF(M78="","",'Pricing Details'!D68+'Pricing Details'!Q68)</f>
        <v/>
      </c>
      <c r="Y78" s="45" t="str">
        <f>IF(M78="","",'Pricing Details'!V68)</f>
        <v/>
      </c>
      <c r="Z78" s="43" t="str">
        <f>IF(M78="","",'Pricing Details'!X68)</f>
        <v/>
      </c>
      <c r="AA78" s="183" t="str">
        <f>'Pricing Details'!Z68</f>
        <v/>
      </c>
      <c r="AB78" s="178" t="str">
        <f>'Pricing Details'!AC68</f>
        <v/>
      </c>
      <c r="AC78" s="79"/>
      <c r="AD78" s="41" t="str">
        <f>IFERROR(_xlfn.XLOOKUP(K78,Collection[Display],Collection[Line])&amp;_xlfn.XLOOKUP(L78,Sleeve[Display],Sleeve[Sleeve]),"")</f>
        <v/>
      </c>
    </row>
    <row r="79" spans="1:30" s="41" customFormat="1" ht="30" customHeight="1" x14ac:dyDescent="0.2">
      <c r="A79" s="79"/>
      <c r="B79" s="70">
        <v>66</v>
      </c>
      <c r="C79" s="71"/>
      <c r="D79" s="71"/>
      <c r="E79" s="274"/>
      <c r="F79" s="214"/>
      <c r="G79" s="186"/>
      <c r="H79" s="74"/>
      <c r="I79" s="74"/>
      <c r="J79" s="74"/>
      <c r="K79" s="74"/>
      <c r="L79" s="73"/>
      <c r="M79" s="74"/>
      <c r="N79" s="73"/>
      <c r="O79" s="74"/>
      <c r="P79" s="74"/>
      <c r="Q79" s="74"/>
      <c r="R79" s="73"/>
      <c r="S79" s="73"/>
      <c r="T79" s="73"/>
      <c r="U79" s="73"/>
      <c r="V79" s="73"/>
      <c r="W79" s="143"/>
      <c r="X79" s="45" t="str">
        <f>IF(M79="","",'Pricing Details'!D69+'Pricing Details'!Q69)</f>
        <v/>
      </c>
      <c r="Y79" s="45" t="str">
        <f>IF(M79="","",'Pricing Details'!V69)</f>
        <v/>
      </c>
      <c r="Z79" s="43" t="str">
        <f>IF(M79="","",'Pricing Details'!X69)</f>
        <v/>
      </c>
      <c r="AA79" s="183" t="str">
        <f>'Pricing Details'!Z69</f>
        <v/>
      </c>
      <c r="AB79" s="178" t="str">
        <f>'Pricing Details'!AC69</f>
        <v/>
      </c>
      <c r="AC79" s="79"/>
      <c r="AD79" s="41" t="str">
        <f>IFERROR(_xlfn.XLOOKUP(K79,Collection[Display],Collection[Line])&amp;_xlfn.XLOOKUP(L79,Sleeve[Display],Sleeve[Sleeve]),"")</f>
        <v/>
      </c>
    </row>
    <row r="80" spans="1:30" s="41" customFormat="1" ht="30" customHeight="1" x14ac:dyDescent="0.2">
      <c r="A80" s="79"/>
      <c r="B80" s="70">
        <v>67</v>
      </c>
      <c r="C80" s="71"/>
      <c r="D80" s="71"/>
      <c r="E80" s="274"/>
      <c r="F80" s="214"/>
      <c r="G80" s="186"/>
      <c r="H80" s="74"/>
      <c r="I80" s="74"/>
      <c r="J80" s="74"/>
      <c r="K80" s="74"/>
      <c r="L80" s="73"/>
      <c r="M80" s="74"/>
      <c r="N80" s="73"/>
      <c r="O80" s="74"/>
      <c r="P80" s="74"/>
      <c r="Q80" s="74"/>
      <c r="R80" s="73"/>
      <c r="S80" s="73"/>
      <c r="T80" s="73"/>
      <c r="U80" s="73"/>
      <c r="V80" s="73"/>
      <c r="W80" s="143"/>
      <c r="X80" s="45" t="str">
        <f>IF(M80="","",'Pricing Details'!D70+'Pricing Details'!Q70)</f>
        <v/>
      </c>
      <c r="Y80" s="45" t="str">
        <f>IF(M80="","",'Pricing Details'!V70)</f>
        <v/>
      </c>
      <c r="Z80" s="43" t="str">
        <f>IF(M80="","",'Pricing Details'!X70)</f>
        <v/>
      </c>
      <c r="AA80" s="183" t="str">
        <f>'Pricing Details'!Z70</f>
        <v/>
      </c>
      <c r="AB80" s="178" t="str">
        <f>'Pricing Details'!AC70</f>
        <v/>
      </c>
      <c r="AC80" s="79"/>
      <c r="AD80" s="41" t="str">
        <f>IFERROR(_xlfn.XLOOKUP(K80,Collection[Display],Collection[Line])&amp;_xlfn.XLOOKUP(L80,Sleeve[Display],Sleeve[Sleeve]),"")</f>
        <v/>
      </c>
    </row>
    <row r="81" spans="1:30" s="41" customFormat="1" ht="30" customHeight="1" x14ac:dyDescent="0.2">
      <c r="A81" s="79"/>
      <c r="B81" s="70">
        <v>68</v>
      </c>
      <c r="C81" s="71"/>
      <c r="D81" s="71"/>
      <c r="E81" s="274"/>
      <c r="F81" s="214"/>
      <c r="G81" s="186"/>
      <c r="H81" s="74"/>
      <c r="I81" s="74"/>
      <c r="J81" s="74"/>
      <c r="K81" s="74"/>
      <c r="L81" s="73"/>
      <c r="M81" s="74"/>
      <c r="N81" s="73"/>
      <c r="O81" s="74"/>
      <c r="P81" s="74"/>
      <c r="Q81" s="74"/>
      <c r="R81" s="73"/>
      <c r="S81" s="73"/>
      <c r="T81" s="73"/>
      <c r="U81" s="73"/>
      <c r="V81" s="73"/>
      <c r="W81" s="143"/>
      <c r="X81" s="45" t="str">
        <f>IF(M81="","",'Pricing Details'!D71+'Pricing Details'!Q71)</f>
        <v/>
      </c>
      <c r="Y81" s="45" t="str">
        <f>IF(M81="","",'Pricing Details'!V71)</f>
        <v/>
      </c>
      <c r="Z81" s="43" t="str">
        <f>IF(M81="","",'Pricing Details'!X71)</f>
        <v/>
      </c>
      <c r="AA81" s="183" t="str">
        <f>'Pricing Details'!Z71</f>
        <v/>
      </c>
      <c r="AB81" s="178" t="str">
        <f>'Pricing Details'!AC71</f>
        <v/>
      </c>
      <c r="AC81" s="79"/>
      <c r="AD81" s="41" t="str">
        <f>IFERROR(_xlfn.XLOOKUP(K81,Collection[Display],Collection[Line])&amp;_xlfn.XLOOKUP(L81,Sleeve[Display],Sleeve[Sleeve]),"")</f>
        <v/>
      </c>
    </row>
    <row r="82" spans="1:30" s="41" customFormat="1" ht="30" customHeight="1" x14ac:dyDescent="0.2">
      <c r="A82" s="79"/>
      <c r="B82" s="70">
        <v>69</v>
      </c>
      <c r="C82" s="71"/>
      <c r="D82" s="71"/>
      <c r="E82" s="274"/>
      <c r="F82" s="214"/>
      <c r="G82" s="186"/>
      <c r="H82" s="74"/>
      <c r="I82" s="74"/>
      <c r="J82" s="74"/>
      <c r="K82" s="74"/>
      <c r="L82" s="73"/>
      <c r="M82" s="74"/>
      <c r="N82" s="73"/>
      <c r="O82" s="74"/>
      <c r="P82" s="74"/>
      <c r="Q82" s="74"/>
      <c r="R82" s="73"/>
      <c r="S82" s="73"/>
      <c r="T82" s="73"/>
      <c r="U82" s="73"/>
      <c r="V82" s="73"/>
      <c r="W82" s="143"/>
      <c r="X82" s="45" t="str">
        <f>IF(M82="","",'Pricing Details'!D72+'Pricing Details'!Q72)</f>
        <v/>
      </c>
      <c r="Y82" s="45" t="str">
        <f>IF(M82="","",'Pricing Details'!V72)</f>
        <v/>
      </c>
      <c r="Z82" s="43" t="str">
        <f>IF(M82="","",'Pricing Details'!X72)</f>
        <v/>
      </c>
      <c r="AA82" s="183" t="str">
        <f>'Pricing Details'!Z72</f>
        <v/>
      </c>
      <c r="AB82" s="178" t="str">
        <f>'Pricing Details'!AC72</f>
        <v/>
      </c>
      <c r="AC82" s="79"/>
      <c r="AD82" s="41" t="str">
        <f>IFERROR(_xlfn.XLOOKUP(K82,Collection[Display],Collection[Line])&amp;_xlfn.XLOOKUP(L82,Sleeve[Display],Sleeve[Sleeve]),"")</f>
        <v/>
      </c>
    </row>
    <row r="83" spans="1:30" s="41" customFormat="1" ht="30" customHeight="1" x14ac:dyDescent="0.2">
      <c r="A83" s="79"/>
      <c r="B83" s="70">
        <v>70</v>
      </c>
      <c r="C83" s="71"/>
      <c r="D83" s="71"/>
      <c r="E83" s="274"/>
      <c r="F83" s="214"/>
      <c r="G83" s="186"/>
      <c r="H83" s="74"/>
      <c r="I83" s="74"/>
      <c r="J83" s="74"/>
      <c r="K83" s="74"/>
      <c r="L83" s="73"/>
      <c r="M83" s="74"/>
      <c r="N83" s="73"/>
      <c r="O83" s="74"/>
      <c r="P83" s="74"/>
      <c r="Q83" s="74"/>
      <c r="R83" s="73"/>
      <c r="S83" s="73"/>
      <c r="T83" s="73"/>
      <c r="U83" s="73"/>
      <c r="V83" s="73"/>
      <c r="W83" s="143"/>
      <c r="X83" s="45" t="str">
        <f>IF(M83="","",'Pricing Details'!D73+'Pricing Details'!Q73)</f>
        <v/>
      </c>
      <c r="Y83" s="45" t="str">
        <f>IF(M83="","",'Pricing Details'!V73)</f>
        <v/>
      </c>
      <c r="Z83" s="43" t="str">
        <f>IF(M83="","",'Pricing Details'!X73)</f>
        <v/>
      </c>
      <c r="AA83" s="183" t="str">
        <f>'Pricing Details'!Z73</f>
        <v/>
      </c>
      <c r="AB83" s="178" t="str">
        <f>'Pricing Details'!AC73</f>
        <v/>
      </c>
      <c r="AC83" s="79"/>
      <c r="AD83" s="41" t="str">
        <f>IFERROR(_xlfn.XLOOKUP(K83,Collection[Display],Collection[Line])&amp;_xlfn.XLOOKUP(L83,Sleeve[Display],Sleeve[Sleeve]),"")</f>
        <v/>
      </c>
    </row>
    <row r="84" spans="1:30" s="41" customFormat="1" ht="30" customHeight="1" x14ac:dyDescent="0.2">
      <c r="A84" s="79"/>
      <c r="B84" s="70">
        <v>71</v>
      </c>
      <c r="C84" s="71"/>
      <c r="D84" s="71"/>
      <c r="E84" s="274"/>
      <c r="F84" s="214"/>
      <c r="G84" s="186"/>
      <c r="H84" s="74"/>
      <c r="I84" s="74"/>
      <c r="J84" s="74"/>
      <c r="K84" s="74"/>
      <c r="L84" s="73"/>
      <c r="M84" s="74"/>
      <c r="N84" s="73"/>
      <c r="O84" s="74"/>
      <c r="P84" s="74"/>
      <c r="Q84" s="74"/>
      <c r="R84" s="73"/>
      <c r="S84" s="73"/>
      <c r="T84" s="73"/>
      <c r="U84" s="73"/>
      <c r="V84" s="73"/>
      <c r="W84" s="143"/>
      <c r="X84" s="45" t="str">
        <f>IF(M84="","",'Pricing Details'!D74+'Pricing Details'!Q74)</f>
        <v/>
      </c>
      <c r="Y84" s="45" t="str">
        <f>IF(M84="","",'Pricing Details'!V74)</f>
        <v/>
      </c>
      <c r="Z84" s="43" t="str">
        <f>IF(M84="","",'Pricing Details'!X74)</f>
        <v/>
      </c>
      <c r="AA84" s="183" t="str">
        <f>'Pricing Details'!Z74</f>
        <v/>
      </c>
      <c r="AB84" s="178" t="str">
        <f>'Pricing Details'!AC74</f>
        <v/>
      </c>
      <c r="AC84" s="79"/>
      <c r="AD84" s="41" t="str">
        <f>IFERROR(_xlfn.XLOOKUP(K84,Collection[Display],Collection[Line])&amp;_xlfn.XLOOKUP(L84,Sleeve[Display],Sleeve[Sleeve]),"")</f>
        <v/>
      </c>
    </row>
    <row r="85" spans="1:30" s="41" customFormat="1" ht="30" customHeight="1" x14ac:dyDescent="0.2">
      <c r="A85" s="79"/>
      <c r="B85" s="70">
        <v>72</v>
      </c>
      <c r="C85" s="71"/>
      <c r="D85" s="71"/>
      <c r="E85" s="274"/>
      <c r="F85" s="214"/>
      <c r="G85" s="186"/>
      <c r="H85" s="74"/>
      <c r="I85" s="74"/>
      <c r="J85" s="74"/>
      <c r="K85" s="74"/>
      <c r="L85" s="73"/>
      <c r="M85" s="74"/>
      <c r="N85" s="73"/>
      <c r="O85" s="74"/>
      <c r="P85" s="74"/>
      <c r="Q85" s="74"/>
      <c r="R85" s="73"/>
      <c r="S85" s="73"/>
      <c r="T85" s="73"/>
      <c r="U85" s="73"/>
      <c r="V85" s="73"/>
      <c r="W85" s="143"/>
      <c r="X85" s="45" t="str">
        <f>IF(M85="","",'Pricing Details'!D75+'Pricing Details'!Q75)</f>
        <v/>
      </c>
      <c r="Y85" s="45" t="str">
        <f>IF(M85="","",'Pricing Details'!V75)</f>
        <v/>
      </c>
      <c r="Z85" s="43" t="str">
        <f>IF(M85="","",'Pricing Details'!X75)</f>
        <v/>
      </c>
      <c r="AA85" s="183" t="str">
        <f>'Pricing Details'!Z75</f>
        <v/>
      </c>
      <c r="AB85" s="178" t="str">
        <f>'Pricing Details'!AC75</f>
        <v/>
      </c>
      <c r="AC85" s="79"/>
      <c r="AD85" s="41" t="str">
        <f>IFERROR(_xlfn.XLOOKUP(K85,Collection[Display],Collection[Line])&amp;_xlfn.XLOOKUP(L85,Sleeve[Display],Sleeve[Sleeve]),"")</f>
        <v/>
      </c>
    </row>
    <row r="86" spans="1:30" s="41" customFormat="1" ht="30" customHeight="1" x14ac:dyDescent="0.2">
      <c r="A86" s="79"/>
      <c r="B86" s="70">
        <v>73</v>
      </c>
      <c r="C86" s="71"/>
      <c r="D86" s="71"/>
      <c r="E86" s="274"/>
      <c r="F86" s="214"/>
      <c r="G86" s="186"/>
      <c r="H86" s="74"/>
      <c r="I86" s="74"/>
      <c r="J86" s="74"/>
      <c r="K86" s="74"/>
      <c r="L86" s="73"/>
      <c r="M86" s="74"/>
      <c r="N86" s="73"/>
      <c r="O86" s="74"/>
      <c r="P86" s="74"/>
      <c r="Q86" s="74"/>
      <c r="R86" s="73"/>
      <c r="S86" s="73"/>
      <c r="T86" s="73"/>
      <c r="U86" s="73"/>
      <c r="V86" s="73"/>
      <c r="W86" s="143"/>
      <c r="X86" s="45" t="str">
        <f>IF(M86="","",'Pricing Details'!D76+'Pricing Details'!Q76)</f>
        <v/>
      </c>
      <c r="Y86" s="45" t="str">
        <f>IF(M86="","",'Pricing Details'!V76)</f>
        <v/>
      </c>
      <c r="Z86" s="43" t="str">
        <f>IF(M86="","",'Pricing Details'!X76)</f>
        <v/>
      </c>
      <c r="AA86" s="183" t="str">
        <f>'Pricing Details'!Z76</f>
        <v/>
      </c>
      <c r="AB86" s="178" t="str">
        <f>'Pricing Details'!AC76</f>
        <v/>
      </c>
      <c r="AC86" s="79"/>
      <c r="AD86" s="41" t="str">
        <f>IFERROR(_xlfn.XLOOKUP(K86,Collection[Display],Collection[Line])&amp;_xlfn.XLOOKUP(L86,Sleeve[Display],Sleeve[Sleeve]),"")</f>
        <v/>
      </c>
    </row>
    <row r="87" spans="1:30" s="41" customFormat="1" ht="30" customHeight="1" x14ac:dyDescent="0.2">
      <c r="A87" s="79"/>
      <c r="B87" s="70">
        <v>74</v>
      </c>
      <c r="C87" s="71"/>
      <c r="D87" s="71"/>
      <c r="E87" s="274"/>
      <c r="F87" s="214"/>
      <c r="G87" s="186"/>
      <c r="H87" s="74"/>
      <c r="I87" s="74"/>
      <c r="J87" s="74"/>
      <c r="K87" s="74"/>
      <c r="L87" s="73"/>
      <c r="M87" s="74"/>
      <c r="N87" s="73"/>
      <c r="O87" s="74"/>
      <c r="P87" s="74"/>
      <c r="Q87" s="74"/>
      <c r="R87" s="73"/>
      <c r="S87" s="73"/>
      <c r="T87" s="73"/>
      <c r="U87" s="73"/>
      <c r="V87" s="73"/>
      <c r="W87" s="143"/>
      <c r="X87" s="45" t="str">
        <f>IF(M87="","",'Pricing Details'!D77+'Pricing Details'!Q77)</f>
        <v/>
      </c>
      <c r="Y87" s="45" t="str">
        <f>IF(M87="","",'Pricing Details'!V77)</f>
        <v/>
      </c>
      <c r="Z87" s="43" t="str">
        <f>IF(M87="","",'Pricing Details'!X77)</f>
        <v/>
      </c>
      <c r="AA87" s="183" t="str">
        <f>'Pricing Details'!Z77</f>
        <v/>
      </c>
      <c r="AB87" s="178" t="str">
        <f>'Pricing Details'!AC77</f>
        <v/>
      </c>
      <c r="AC87" s="79"/>
      <c r="AD87" s="41" t="str">
        <f>IFERROR(_xlfn.XLOOKUP(K87,Collection[Display],Collection[Line])&amp;_xlfn.XLOOKUP(L87,Sleeve[Display],Sleeve[Sleeve]),"")</f>
        <v/>
      </c>
    </row>
    <row r="88" spans="1:30" s="41" customFormat="1" ht="30" customHeight="1" x14ac:dyDescent="0.2">
      <c r="A88" s="79"/>
      <c r="B88" s="70">
        <v>75</v>
      </c>
      <c r="C88" s="71"/>
      <c r="D88" s="71"/>
      <c r="E88" s="274"/>
      <c r="F88" s="214"/>
      <c r="G88" s="186"/>
      <c r="H88" s="74"/>
      <c r="I88" s="74"/>
      <c r="J88" s="74"/>
      <c r="K88" s="74"/>
      <c r="L88" s="73"/>
      <c r="M88" s="74"/>
      <c r="N88" s="73"/>
      <c r="O88" s="74"/>
      <c r="P88" s="74"/>
      <c r="Q88" s="74"/>
      <c r="R88" s="73"/>
      <c r="S88" s="73"/>
      <c r="T88" s="73"/>
      <c r="U88" s="73"/>
      <c r="V88" s="73"/>
      <c r="W88" s="143"/>
      <c r="X88" s="45" t="str">
        <f>IF(M88="","",'Pricing Details'!D78+'Pricing Details'!Q78)</f>
        <v/>
      </c>
      <c r="Y88" s="45" t="str">
        <f>IF(M88="","",'Pricing Details'!V78)</f>
        <v/>
      </c>
      <c r="Z88" s="43" t="str">
        <f>IF(M88="","",'Pricing Details'!X78)</f>
        <v/>
      </c>
      <c r="AA88" s="183" t="str">
        <f>'Pricing Details'!Z78</f>
        <v/>
      </c>
      <c r="AB88" s="178" t="str">
        <f>'Pricing Details'!AC78</f>
        <v/>
      </c>
      <c r="AC88" s="79"/>
      <c r="AD88" s="41" t="str">
        <f>IFERROR(_xlfn.XLOOKUP(K88,Collection[Display],Collection[Line])&amp;_xlfn.XLOOKUP(L88,Sleeve[Display],Sleeve[Sleeve]),"")</f>
        <v/>
      </c>
    </row>
    <row r="89" spans="1:30" s="41" customFormat="1" ht="30" customHeight="1" x14ac:dyDescent="0.2">
      <c r="A89" s="79"/>
      <c r="B89" s="70">
        <v>76</v>
      </c>
      <c r="C89" s="71"/>
      <c r="D89" s="71"/>
      <c r="E89" s="274"/>
      <c r="F89" s="214"/>
      <c r="G89" s="186"/>
      <c r="H89" s="74"/>
      <c r="I89" s="74"/>
      <c r="J89" s="74"/>
      <c r="K89" s="74"/>
      <c r="L89" s="73"/>
      <c r="M89" s="74"/>
      <c r="N89" s="73"/>
      <c r="O89" s="74"/>
      <c r="P89" s="74"/>
      <c r="Q89" s="74"/>
      <c r="R89" s="73"/>
      <c r="S89" s="73"/>
      <c r="T89" s="73"/>
      <c r="U89" s="73"/>
      <c r="V89" s="73"/>
      <c r="W89" s="143"/>
      <c r="X89" s="45" t="str">
        <f>IF(M89="","",'Pricing Details'!D79+'Pricing Details'!Q79)</f>
        <v/>
      </c>
      <c r="Y89" s="45" t="str">
        <f>IF(M89="","",'Pricing Details'!V79)</f>
        <v/>
      </c>
      <c r="Z89" s="43" t="str">
        <f>IF(M89="","",'Pricing Details'!X79)</f>
        <v/>
      </c>
      <c r="AA89" s="183" t="str">
        <f>'Pricing Details'!Z79</f>
        <v/>
      </c>
      <c r="AB89" s="178" t="str">
        <f>'Pricing Details'!AC79</f>
        <v/>
      </c>
      <c r="AC89" s="79"/>
      <c r="AD89" s="41" t="str">
        <f>IFERROR(_xlfn.XLOOKUP(K89,Collection[Display],Collection[Line])&amp;_xlfn.XLOOKUP(L89,Sleeve[Display],Sleeve[Sleeve]),"")</f>
        <v/>
      </c>
    </row>
    <row r="90" spans="1:30" s="41" customFormat="1" ht="30" customHeight="1" x14ac:dyDescent="0.2">
      <c r="A90" s="79"/>
      <c r="B90" s="70">
        <v>77</v>
      </c>
      <c r="C90" s="71"/>
      <c r="D90" s="71"/>
      <c r="E90" s="274"/>
      <c r="F90" s="214"/>
      <c r="G90" s="186"/>
      <c r="H90" s="74"/>
      <c r="I90" s="74"/>
      <c r="J90" s="74"/>
      <c r="K90" s="74"/>
      <c r="L90" s="73"/>
      <c r="M90" s="74"/>
      <c r="N90" s="73"/>
      <c r="O90" s="74"/>
      <c r="P90" s="74"/>
      <c r="Q90" s="74"/>
      <c r="R90" s="73"/>
      <c r="S90" s="73"/>
      <c r="T90" s="73"/>
      <c r="U90" s="73"/>
      <c r="V90" s="73"/>
      <c r="W90" s="143"/>
      <c r="X90" s="45" t="str">
        <f>IF(M90="","",'Pricing Details'!D80+'Pricing Details'!Q80)</f>
        <v/>
      </c>
      <c r="Y90" s="45" t="str">
        <f>IF(M90="","",'Pricing Details'!V80)</f>
        <v/>
      </c>
      <c r="Z90" s="43" t="str">
        <f>IF(M90="","",'Pricing Details'!X80)</f>
        <v/>
      </c>
      <c r="AA90" s="183" t="str">
        <f>'Pricing Details'!Z80</f>
        <v/>
      </c>
      <c r="AB90" s="178" t="str">
        <f>'Pricing Details'!AC80</f>
        <v/>
      </c>
      <c r="AC90" s="79"/>
      <c r="AD90" s="41" t="str">
        <f>IFERROR(_xlfn.XLOOKUP(K90,Collection[Display],Collection[Line])&amp;_xlfn.XLOOKUP(L90,Sleeve[Display],Sleeve[Sleeve]),"")</f>
        <v/>
      </c>
    </row>
    <row r="91" spans="1:30" s="41" customFormat="1" ht="30" customHeight="1" x14ac:dyDescent="0.2">
      <c r="A91" s="79"/>
      <c r="B91" s="70">
        <v>78</v>
      </c>
      <c r="C91" s="71"/>
      <c r="D91" s="71"/>
      <c r="E91" s="274"/>
      <c r="F91" s="214"/>
      <c r="G91" s="186"/>
      <c r="H91" s="74"/>
      <c r="I91" s="74"/>
      <c r="J91" s="74"/>
      <c r="K91" s="74"/>
      <c r="L91" s="73"/>
      <c r="M91" s="74"/>
      <c r="N91" s="73"/>
      <c r="O91" s="74"/>
      <c r="P91" s="74"/>
      <c r="Q91" s="74"/>
      <c r="R91" s="73"/>
      <c r="S91" s="73"/>
      <c r="T91" s="73"/>
      <c r="U91" s="73"/>
      <c r="V91" s="73"/>
      <c r="W91" s="143"/>
      <c r="X91" s="45" t="str">
        <f>IF(M91="","",'Pricing Details'!D81+'Pricing Details'!Q81)</f>
        <v/>
      </c>
      <c r="Y91" s="45" t="str">
        <f>IF(M91="","",'Pricing Details'!V81)</f>
        <v/>
      </c>
      <c r="Z91" s="43" t="str">
        <f>IF(M91="","",'Pricing Details'!X81)</f>
        <v/>
      </c>
      <c r="AA91" s="183" t="str">
        <f>'Pricing Details'!Z81</f>
        <v/>
      </c>
      <c r="AB91" s="178" t="str">
        <f>'Pricing Details'!AC81</f>
        <v/>
      </c>
      <c r="AC91" s="79"/>
      <c r="AD91" s="41" t="str">
        <f>IFERROR(_xlfn.XLOOKUP(K91,Collection[Display],Collection[Line])&amp;_xlfn.XLOOKUP(L91,Sleeve[Display],Sleeve[Sleeve]),"")</f>
        <v/>
      </c>
    </row>
    <row r="92" spans="1:30" s="41" customFormat="1" ht="30" customHeight="1" x14ac:dyDescent="0.2">
      <c r="A92" s="79"/>
      <c r="B92" s="70">
        <v>79</v>
      </c>
      <c r="C92" s="71"/>
      <c r="D92" s="71"/>
      <c r="E92" s="274"/>
      <c r="F92" s="214"/>
      <c r="G92" s="186"/>
      <c r="H92" s="74"/>
      <c r="I92" s="74"/>
      <c r="J92" s="74"/>
      <c r="K92" s="74"/>
      <c r="L92" s="73"/>
      <c r="M92" s="74"/>
      <c r="N92" s="73"/>
      <c r="O92" s="74"/>
      <c r="P92" s="74"/>
      <c r="Q92" s="74"/>
      <c r="R92" s="73"/>
      <c r="S92" s="73"/>
      <c r="T92" s="73"/>
      <c r="U92" s="73"/>
      <c r="V92" s="73"/>
      <c r="W92" s="143"/>
      <c r="X92" s="45" t="str">
        <f>IF(M92="","",'Pricing Details'!D82+'Pricing Details'!Q82)</f>
        <v/>
      </c>
      <c r="Y92" s="45" t="str">
        <f>IF(M92="","",'Pricing Details'!V82)</f>
        <v/>
      </c>
      <c r="Z92" s="43" t="str">
        <f>IF(M92="","",'Pricing Details'!X82)</f>
        <v/>
      </c>
      <c r="AA92" s="183" t="str">
        <f>'Pricing Details'!Z82</f>
        <v/>
      </c>
      <c r="AB92" s="178" t="str">
        <f>'Pricing Details'!AC82</f>
        <v/>
      </c>
      <c r="AC92" s="79"/>
      <c r="AD92" s="41" t="str">
        <f>IFERROR(_xlfn.XLOOKUP(K92,Collection[Display],Collection[Line])&amp;_xlfn.XLOOKUP(L92,Sleeve[Display],Sleeve[Sleeve]),"")</f>
        <v/>
      </c>
    </row>
    <row r="93" spans="1:30" s="41" customFormat="1" ht="30" customHeight="1" x14ac:dyDescent="0.2">
      <c r="A93" s="79"/>
      <c r="B93" s="70">
        <v>80</v>
      </c>
      <c r="C93" s="71"/>
      <c r="D93" s="71"/>
      <c r="E93" s="274"/>
      <c r="F93" s="214"/>
      <c r="G93" s="186"/>
      <c r="H93" s="74"/>
      <c r="I93" s="74"/>
      <c r="J93" s="74"/>
      <c r="K93" s="74"/>
      <c r="L93" s="73"/>
      <c r="M93" s="74"/>
      <c r="N93" s="73"/>
      <c r="O93" s="74"/>
      <c r="P93" s="74"/>
      <c r="Q93" s="74"/>
      <c r="R93" s="73"/>
      <c r="S93" s="73"/>
      <c r="T93" s="73"/>
      <c r="U93" s="73"/>
      <c r="V93" s="73"/>
      <c r="W93" s="143"/>
      <c r="X93" s="45" t="str">
        <f>IF(M93="","",'Pricing Details'!D83+'Pricing Details'!Q83)</f>
        <v/>
      </c>
      <c r="Y93" s="45" t="str">
        <f>IF(M93="","",'Pricing Details'!V83)</f>
        <v/>
      </c>
      <c r="Z93" s="43" t="str">
        <f>IF(M93="","",'Pricing Details'!X83)</f>
        <v/>
      </c>
      <c r="AA93" s="183" t="str">
        <f>'Pricing Details'!Z83</f>
        <v/>
      </c>
      <c r="AB93" s="178" t="str">
        <f>'Pricing Details'!AC83</f>
        <v/>
      </c>
      <c r="AC93" s="79"/>
      <c r="AD93" s="41" t="str">
        <f>IFERROR(_xlfn.XLOOKUP(K93,Collection[Display],Collection[Line])&amp;_xlfn.XLOOKUP(L93,Sleeve[Display],Sleeve[Sleeve]),"")</f>
        <v/>
      </c>
    </row>
    <row r="94" spans="1:30" s="41" customFormat="1" ht="30" customHeight="1" x14ac:dyDescent="0.2">
      <c r="A94" s="79"/>
      <c r="B94" s="70">
        <v>81</v>
      </c>
      <c r="C94" s="71"/>
      <c r="D94" s="71"/>
      <c r="E94" s="274"/>
      <c r="F94" s="214"/>
      <c r="G94" s="186"/>
      <c r="H94" s="74"/>
      <c r="I94" s="74"/>
      <c r="J94" s="74"/>
      <c r="K94" s="74"/>
      <c r="L94" s="73"/>
      <c r="M94" s="74"/>
      <c r="N94" s="73"/>
      <c r="O94" s="74"/>
      <c r="P94" s="74"/>
      <c r="Q94" s="74"/>
      <c r="R94" s="73"/>
      <c r="S94" s="73"/>
      <c r="T94" s="73"/>
      <c r="U94" s="73"/>
      <c r="V94" s="73"/>
      <c r="W94" s="143"/>
      <c r="X94" s="45" t="str">
        <f>IF(M94="","",'Pricing Details'!D84+'Pricing Details'!Q84)</f>
        <v/>
      </c>
      <c r="Y94" s="45" t="str">
        <f>IF(M94="","",'Pricing Details'!V84)</f>
        <v/>
      </c>
      <c r="Z94" s="43" t="str">
        <f>IF(M94="","",'Pricing Details'!X84)</f>
        <v/>
      </c>
      <c r="AA94" s="183" t="str">
        <f>'Pricing Details'!Z84</f>
        <v/>
      </c>
      <c r="AB94" s="178" t="str">
        <f>'Pricing Details'!AC84</f>
        <v/>
      </c>
      <c r="AC94" s="79"/>
      <c r="AD94" s="41" t="str">
        <f>IFERROR(_xlfn.XLOOKUP(K94,Collection[Display],Collection[Line])&amp;_xlfn.XLOOKUP(L94,Sleeve[Display],Sleeve[Sleeve]),"")</f>
        <v/>
      </c>
    </row>
    <row r="95" spans="1:30" s="41" customFormat="1" ht="30" customHeight="1" x14ac:dyDescent="0.2">
      <c r="A95" s="79"/>
      <c r="B95" s="70">
        <v>82</v>
      </c>
      <c r="C95" s="71"/>
      <c r="D95" s="71"/>
      <c r="E95" s="274"/>
      <c r="F95" s="214"/>
      <c r="G95" s="186"/>
      <c r="H95" s="74"/>
      <c r="I95" s="74"/>
      <c r="J95" s="74"/>
      <c r="K95" s="74"/>
      <c r="L95" s="73"/>
      <c r="M95" s="74"/>
      <c r="N95" s="73"/>
      <c r="O95" s="74"/>
      <c r="P95" s="74"/>
      <c r="Q95" s="74"/>
      <c r="R95" s="73"/>
      <c r="S95" s="73"/>
      <c r="T95" s="73"/>
      <c r="U95" s="73"/>
      <c r="V95" s="73"/>
      <c r="W95" s="143"/>
      <c r="X95" s="45" t="str">
        <f>IF(M95="","",'Pricing Details'!D85+'Pricing Details'!Q85)</f>
        <v/>
      </c>
      <c r="Y95" s="45" t="str">
        <f>IF(M95="","",'Pricing Details'!V85)</f>
        <v/>
      </c>
      <c r="Z95" s="43" t="str">
        <f>IF(M95="","",'Pricing Details'!X85)</f>
        <v/>
      </c>
      <c r="AA95" s="183" t="str">
        <f>'Pricing Details'!Z85</f>
        <v/>
      </c>
      <c r="AB95" s="178" t="str">
        <f>'Pricing Details'!AC85</f>
        <v/>
      </c>
      <c r="AC95" s="79"/>
      <c r="AD95" s="41" t="str">
        <f>IFERROR(_xlfn.XLOOKUP(K95,Collection[Display],Collection[Line])&amp;_xlfn.XLOOKUP(L95,Sleeve[Display],Sleeve[Sleeve]),"")</f>
        <v/>
      </c>
    </row>
    <row r="96" spans="1:30" s="41" customFormat="1" ht="30" customHeight="1" x14ac:dyDescent="0.2">
      <c r="A96" s="79"/>
      <c r="B96" s="70">
        <v>83</v>
      </c>
      <c r="C96" s="71"/>
      <c r="D96" s="71"/>
      <c r="E96" s="274"/>
      <c r="F96" s="214"/>
      <c r="G96" s="186"/>
      <c r="H96" s="74"/>
      <c r="I96" s="74"/>
      <c r="J96" s="74"/>
      <c r="K96" s="74"/>
      <c r="L96" s="73"/>
      <c r="M96" s="74"/>
      <c r="N96" s="73"/>
      <c r="O96" s="74"/>
      <c r="P96" s="74"/>
      <c r="Q96" s="74"/>
      <c r="R96" s="73"/>
      <c r="S96" s="73"/>
      <c r="T96" s="73"/>
      <c r="U96" s="73"/>
      <c r="V96" s="73"/>
      <c r="W96" s="143"/>
      <c r="X96" s="45" t="str">
        <f>IF(M96="","",'Pricing Details'!D86+'Pricing Details'!Q86)</f>
        <v/>
      </c>
      <c r="Y96" s="45" t="str">
        <f>IF(M96="","",'Pricing Details'!V86)</f>
        <v/>
      </c>
      <c r="Z96" s="43" t="str">
        <f>IF(M96="","",'Pricing Details'!X86)</f>
        <v/>
      </c>
      <c r="AA96" s="183" t="str">
        <f>'Pricing Details'!Z86</f>
        <v/>
      </c>
      <c r="AB96" s="178" t="str">
        <f>'Pricing Details'!AC86</f>
        <v/>
      </c>
      <c r="AC96" s="79"/>
      <c r="AD96" s="41" t="str">
        <f>IFERROR(_xlfn.XLOOKUP(K96,Collection[Display],Collection[Line])&amp;_xlfn.XLOOKUP(L96,Sleeve[Display],Sleeve[Sleeve]),"")</f>
        <v/>
      </c>
    </row>
    <row r="97" spans="1:30" s="41" customFormat="1" ht="30" customHeight="1" x14ac:dyDescent="0.2">
      <c r="A97" s="79"/>
      <c r="B97" s="70">
        <v>84</v>
      </c>
      <c r="C97" s="71"/>
      <c r="D97" s="71"/>
      <c r="E97" s="274"/>
      <c r="F97" s="214"/>
      <c r="G97" s="186"/>
      <c r="H97" s="74"/>
      <c r="I97" s="74"/>
      <c r="J97" s="74"/>
      <c r="K97" s="74"/>
      <c r="L97" s="73"/>
      <c r="M97" s="74"/>
      <c r="N97" s="73"/>
      <c r="O97" s="74"/>
      <c r="P97" s="74"/>
      <c r="Q97" s="74"/>
      <c r="R97" s="73"/>
      <c r="S97" s="73"/>
      <c r="T97" s="73"/>
      <c r="U97" s="73"/>
      <c r="V97" s="73"/>
      <c r="W97" s="143"/>
      <c r="X97" s="45" t="str">
        <f>IF(M97="","",'Pricing Details'!D87+'Pricing Details'!Q87)</f>
        <v/>
      </c>
      <c r="Y97" s="45" t="str">
        <f>IF(M97="","",'Pricing Details'!V87)</f>
        <v/>
      </c>
      <c r="Z97" s="43" t="str">
        <f>IF(M97="","",'Pricing Details'!X87)</f>
        <v/>
      </c>
      <c r="AA97" s="183" t="str">
        <f>'Pricing Details'!Z87</f>
        <v/>
      </c>
      <c r="AB97" s="178" t="str">
        <f>'Pricing Details'!AC87</f>
        <v/>
      </c>
      <c r="AC97" s="79"/>
      <c r="AD97" s="41" t="str">
        <f>IFERROR(_xlfn.XLOOKUP(K97,Collection[Display],Collection[Line])&amp;_xlfn.XLOOKUP(L97,Sleeve[Display],Sleeve[Sleeve]),"")</f>
        <v/>
      </c>
    </row>
    <row r="98" spans="1:30" s="41" customFormat="1" ht="30" customHeight="1" x14ac:dyDescent="0.2">
      <c r="A98" s="79"/>
      <c r="B98" s="70">
        <v>85</v>
      </c>
      <c r="C98" s="71"/>
      <c r="D98" s="71"/>
      <c r="E98" s="274"/>
      <c r="F98" s="214"/>
      <c r="G98" s="186"/>
      <c r="H98" s="74"/>
      <c r="I98" s="74"/>
      <c r="J98" s="74"/>
      <c r="K98" s="74"/>
      <c r="L98" s="73"/>
      <c r="M98" s="74"/>
      <c r="N98" s="73"/>
      <c r="O98" s="74"/>
      <c r="P98" s="74"/>
      <c r="Q98" s="74"/>
      <c r="R98" s="73"/>
      <c r="S98" s="73"/>
      <c r="T98" s="73"/>
      <c r="U98" s="73"/>
      <c r="V98" s="73"/>
      <c r="W98" s="143"/>
      <c r="X98" s="45" t="str">
        <f>IF(M98="","",'Pricing Details'!D88+'Pricing Details'!Q88)</f>
        <v/>
      </c>
      <c r="Y98" s="45" t="str">
        <f>IF(M98="","",'Pricing Details'!V88)</f>
        <v/>
      </c>
      <c r="Z98" s="43" t="str">
        <f>IF(M98="","",'Pricing Details'!X88)</f>
        <v/>
      </c>
      <c r="AA98" s="183" t="str">
        <f>'Pricing Details'!Z88</f>
        <v/>
      </c>
      <c r="AB98" s="178" t="str">
        <f>'Pricing Details'!AC88</f>
        <v/>
      </c>
      <c r="AC98" s="79"/>
      <c r="AD98" s="41" t="str">
        <f>IFERROR(_xlfn.XLOOKUP(K98,Collection[Display],Collection[Line])&amp;_xlfn.XLOOKUP(L98,Sleeve[Display],Sleeve[Sleeve]),"")</f>
        <v/>
      </c>
    </row>
    <row r="99" spans="1:30" s="41" customFormat="1" ht="30" customHeight="1" x14ac:dyDescent="0.2">
      <c r="A99" s="79"/>
      <c r="B99" s="70">
        <v>86</v>
      </c>
      <c r="C99" s="71"/>
      <c r="D99" s="71"/>
      <c r="E99" s="274"/>
      <c r="F99" s="214"/>
      <c r="G99" s="186"/>
      <c r="H99" s="74"/>
      <c r="I99" s="74"/>
      <c r="J99" s="74"/>
      <c r="K99" s="74"/>
      <c r="L99" s="73"/>
      <c r="M99" s="74"/>
      <c r="N99" s="73"/>
      <c r="O99" s="74"/>
      <c r="P99" s="74"/>
      <c r="Q99" s="74"/>
      <c r="R99" s="73"/>
      <c r="S99" s="73"/>
      <c r="T99" s="73"/>
      <c r="U99" s="73"/>
      <c r="V99" s="73"/>
      <c r="W99" s="143"/>
      <c r="X99" s="45" t="str">
        <f>IF(M99="","",'Pricing Details'!D89+'Pricing Details'!Q89)</f>
        <v/>
      </c>
      <c r="Y99" s="45" t="str">
        <f>IF(M99="","",'Pricing Details'!V89)</f>
        <v/>
      </c>
      <c r="Z99" s="43" t="str">
        <f>IF(M99="","",'Pricing Details'!X89)</f>
        <v/>
      </c>
      <c r="AA99" s="183" t="str">
        <f>'Pricing Details'!Z89</f>
        <v/>
      </c>
      <c r="AB99" s="178" t="str">
        <f>'Pricing Details'!AC89</f>
        <v/>
      </c>
      <c r="AC99" s="79"/>
      <c r="AD99" s="41" t="str">
        <f>IFERROR(_xlfn.XLOOKUP(K99,Collection[Display],Collection[Line])&amp;_xlfn.XLOOKUP(L99,Sleeve[Display],Sleeve[Sleeve]),"")</f>
        <v/>
      </c>
    </row>
    <row r="100" spans="1:30" s="41" customFormat="1" ht="30" customHeight="1" x14ac:dyDescent="0.2">
      <c r="A100" s="79"/>
      <c r="B100" s="70">
        <v>87</v>
      </c>
      <c r="C100" s="71"/>
      <c r="D100" s="71"/>
      <c r="E100" s="274"/>
      <c r="F100" s="214"/>
      <c r="G100" s="186"/>
      <c r="H100" s="74"/>
      <c r="I100" s="74"/>
      <c r="J100" s="74"/>
      <c r="K100" s="74"/>
      <c r="L100" s="73"/>
      <c r="M100" s="74"/>
      <c r="N100" s="73"/>
      <c r="O100" s="74"/>
      <c r="P100" s="74"/>
      <c r="Q100" s="74"/>
      <c r="R100" s="73"/>
      <c r="S100" s="73"/>
      <c r="T100" s="73"/>
      <c r="U100" s="73"/>
      <c r="V100" s="73"/>
      <c r="W100" s="143"/>
      <c r="X100" s="45" t="str">
        <f>IF(M100="","",'Pricing Details'!D90+'Pricing Details'!Q90)</f>
        <v/>
      </c>
      <c r="Y100" s="45" t="str">
        <f>IF(M100="","",'Pricing Details'!V90)</f>
        <v/>
      </c>
      <c r="Z100" s="43" t="str">
        <f>IF(M100="","",'Pricing Details'!X90)</f>
        <v/>
      </c>
      <c r="AA100" s="183" t="str">
        <f>'Pricing Details'!Z90</f>
        <v/>
      </c>
      <c r="AB100" s="178" t="str">
        <f>'Pricing Details'!AC90</f>
        <v/>
      </c>
      <c r="AC100" s="79"/>
      <c r="AD100" s="41" t="str">
        <f>IFERROR(_xlfn.XLOOKUP(K100,Collection[Display],Collection[Line])&amp;_xlfn.XLOOKUP(L100,Sleeve[Display],Sleeve[Sleeve]),"")</f>
        <v/>
      </c>
    </row>
    <row r="101" spans="1:30" s="41" customFormat="1" ht="30" customHeight="1" x14ac:dyDescent="0.2">
      <c r="A101" s="79"/>
      <c r="B101" s="70">
        <v>88</v>
      </c>
      <c r="C101" s="71"/>
      <c r="D101" s="71"/>
      <c r="E101" s="274"/>
      <c r="F101" s="214"/>
      <c r="G101" s="191"/>
      <c r="H101" s="74"/>
      <c r="I101" s="74"/>
      <c r="J101" s="74"/>
      <c r="K101" s="74"/>
      <c r="L101" s="73"/>
      <c r="M101" s="74"/>
      <c r="N101" s="71"/>
      <c r="O101" s="74"/>
      <c r="P101" s="74"/>
      <c r="Q101" s="74"/>
      <c r="R101" s="73"/>
      <c r="S101" s="73"/>
      <c r="T101" s="73"/>
      <c r="U101" s="73"/>
      <c r="V101" s="73"/>
      <c r="W101" s="143"/>
      <c r="X101" s="45" t="str">
        <f>IF(M101="","",'Pricing Details'!D91+'Pricing Details'!Q91)</f>
        <v/>
      </c>
      <c r="Y101" s="45" t="str">
        <f>IF(M101="","",'Pricing Details'!V91)</f>
        <v/>
      </c>
      <c r="Z101" s="43" t="str">
        <f>IF(M101="","",'Pricing Details'!X91)</f>
        <v/>
      </c>
      <c r="AA101" s="183" t="str">
        <f>'Pricing Details'!Z91</f>
        <v/>
      </c>
      <c r="AB101" s="178" t="str">
        <f>'Pricing Details'!AC91</f>
        <v/>
      </c>
      <c r="AC101" s="79"/>
      <c r="AD101" s="41" t="str">
        <f>IFERROR(_xlfn.XLOOKUP(K101,Collection[Display],Collection[Line])&amp;_xlfn.XLOOKUP(L101,Sleeve[Display],Sleeve[Sleeve]),"")</f>
        <v/>
      </c>
    </row>
    <row r="102" spans="1:30" s="41" customFormat="1" ht="30" customHeight="1" x14ac:dyDescent="0.2">
      <c r="A102" s="79"/>
      <c r="B102" s="70">
        <v>89</v>
      </c>
      <c r="C102" s="71"/>
      <c r="D102" s="71"/>
      <c r="E102" s="274"/>
      <c r="F102" s="214"/>
      <c r="G102" s="191"/>
      <c r="H102" s="74"/>
      <c r="I102" s="74"/>
      <c r="J102" s="74"/>
      <c r="K102" s="74"/>
      <c r="L102" s="73"/>
      <c r="M102" s="74"/>
      <c r="N102" s="71"/>
      <c r="O102" s="74"/>
      <c r="P102" s="74"/>
      <c r="Q102" s="74"/>
      <c r="R102" s="73"/>
      <c r="S102" s="73"/>
      <c r="T102" s="73"/>
      <c r="U102" s="73"/>
      <c r="V102" s="73"/>
      <c r="W102" s="143"/>
      <c r="X102" s="45" t="str">
        <f>IF(M102="","",'Pricing Details'!D92+'Pricing Details'!Q92)</f>
        <v/>
      </c>
      <c r="Y102" s="45" t="str">
        <f>IF(M102="","",'Pricing Details'!V92)</f>
        <v/>
      </c>
      <c r="Z102" s="43" t="str">
        <f>IF(M102="","",'Pricing Details'!X92)</f>
        <v/>
      </c>
      <c r="AA102" s="183" t="str">
        <f>'Pricing Details'!Z92</f>
        <v/>
      </c>
      <c r="AB102" s="178" t="str">
        <f>'Pricing Details'!AC92</f>
        <v/>
      </c>
      <c r="AC102" s="79"/>
      <c r="AD102" s="41" t="str">
        <f>IFERROR(_xlfn.XLOOKUP(K102,Collection[Display],Collection[Line])&amp;_xlfn.XLOOKUP(L102,Sleeve[Display],Sleeve[Sleeve]),"")</f>
        <v/>
      </c>
    </row>
    <row r="103" spans="1:30" s="41" customFormat="1" ht="30" customHeight="1" x14ac:dyDescent="0.2">
      <c r="A103" s="79"/>
      <c r="B103" s="70">
        <v>90</v>
      </c>
      <c r="C103" s="71"/>
      <c r="D103" s="71"/>
      <c r="E103" s="274"/>
      <c r="F103" s="214"/>
      <c r="G103" s="191"/>
      <c r="H103" s="74"/>
      <c r="I103" s="74"/>
      <c r="J103" s="74"/>
      <c r="K103" s="74"/>
      <c r="L103" s="73"/>
      <c r="M103" s="74"/>
      <c r="N103" s="71"/>
      <c r="O103" s="74"/>
      <c r="P103" s="74"/>
      <c r="Q103" s="74"/>
      <c r="R103" s="73"/>
      <c r="S103" s="73"/>
      <c r="T103" s="73"/>
      <c r="U103" s="73"/>
      <c r="V103" s="73"/>
      <c r="W103" s="143"/>
      <c r="X103" s="45" t="str">
        <f>IF(M103="","",'Pricing Details'!D93+'Pricing Details'!Q93)</f>
        <v/>
      </c>
      <c r="Y103" s="45" t="str">
        <f>IF(M103="","",'Pricing Details'!V93)</f>
        <v/>
      </c>
      <c r="Z103" s="43" t="str">
        <f>IF(M103="","",'Pricing Details'!X93)</f>
        <v/>
      </c>
      <c r="AA103" s="183" t="str">
        <f>'Pricing Details'!Z93</f>
        <v/>
      </c>
      <c r="AB103" s="178" t="str">
        <f>'Pricing Details'!AC93</f>
        <v/>
      </c>
      <c r="AC103" s="79"/>
      <c r="AD103" s="41" t="str">
        <f>IFERROR(_xlfn.XLOOKUP(K103,Collection[Display],Collection[Line])&amp;_xlfn.XLOOKUP(L103,Sleeve[Display],Sleeve[Sleeve]),"")</f>
        <v/>
      </c>
    </row>
    <row r="104" spans="1:30" s="41" customFormat="1" ht="30" customHeight="1" x14ac:dyDescent="0.2">
      <c r="A104" s="79"/>
      <c r="B104" s="70">
        <v>91</v>
      </c>
      <c r="C104" s="71"/>
      <c r="D104" s="71"/>
      <c r="E104" s="274"/>
      <c r="F104" s="214"/>
      <c r="G104" s="191"/>
      <c r="H104" s="74"/>
      <c r="I104" s="74"/>
      <c r="J104" s="74"/>
      <c r="K104" s="74"/>
      <c r="L104" s="73"/>
      <c r="M104" s="74"/>
      <c r="N104" s="71"/>
      <c r="O104" s="74"/>
      <c r="P104" s="74"/>
      <c r="Q104" s="74"/>
      <c r="R104" s="73"/>
      <c r="S104" s="73"/>
      <c r="T104" s="73"/>
      <c r="U104" s="73"/>
      <c r="V104" s="73"/>
      <c r="W104" s="143"/>
      <c r="X104" s="45" t="str">
        <f>IF(M104="","",'Pricing Details'!D94+'Pricing Details'!Q94)</f>
        <v/>
      </c>
      <c r="Y104" s="45" t="str">
        <f>IF(M104="","",'Pricing Details'!V94)</f>
        <v/>
      </c>
      <c r="Z104" s="43" t="str">
        <f>IF(M104="","",'Pricing Details'!X94)</f>
        <v/>
      </c>
      <c r="AA104" s="183" t="str">
        <f>'Pricing Details'!Z94</f>
        <v/>
      </c>
      <c r="AB104" s="178" t="str">
        <f>'Pricing Details'!AC94</f>
        <v/>
      </c>
      <c r="AC104" s="79"/>
      <c r="AD104" s="41" t="str">
        <f>IFERROR(_xlfn.XLOOKUP(K104,Collection[Display],Collection[Line])&amp;_xlfn.XLOOKUP(L104,Sleeve[Display],Sleeve[Sleeve]),"")</f>
        <v/>
      </c>
    </row>
    <row r="105" spans="1:30" s="41" customFormat="1" ht="30" customHeight="1" x14ac:dyDescent="0.2">
      <c r="A105" s="79"/>
      <c r="B105" s="70">
        <v>92</v>
      </c>
      <c r="C105" s="71"/>
      <c r="D105" s="71"/>
      <c r="E105" s="274"/>
      <c r="F105" s="214"/>
      <c r="G105" s="191"/>
      <c r="H105" s="74"/>
      <c r="I105" s="74"/>
      <c r="J105" s="74"/>
      <c r="K105" s="74"/>
      <c r="L105" s="73"/>
      <c r="M105" s="74"/>
      <c r="N105" s="71"/>
      <c r="O105" s="74"/>
      <c r="P105" s="74"/>
      <c r="Q105" s="74"/>
      <c r="R105" s="73"/>
      <c r="S105" s="73"/>
      <c r="T105" s="73"/>
      <c r="U105" s="73"/>
      <c r="V105" s="73"/>
      <c r="W105" s="143"/>
      <c r="X105" s="45" t="str">
        <f>IF(M105="","",'Pricing Details'!D95+'Pricing Details'!Q95)</f>
        <v/>
      </c>
      <c r="Y105" s="45" t="str">
        <f>IF(M105="","",'Pricing Details'!V95)</f>
        <v/>
      </c>
      <c r="Z105" s="43" t="str">
        <f>IF(M105="","",'Pricing Details'!X95)</f>
        <v/>
      </c>
      <c r="AA105" s="183" t="str">
        <f>'Pricing Details'!Z95</f>
        <v/>
      </c>
      <c r="AB105" s="178" t="str">
        <f>'Pricing Details'!AC95</f>
        <v/>
      </c>
      <c r="AC105" s="79"/>
      <c r="AD105" s="41" t="str">
        <f>IFERROR(_xlfn.XLOOKUP(K105,Collection[Display],Collection[Line])&amp;_xlfn.XLOOKUP(L105,Sleeve[Display],Sleeve[Sleeve]),"")</f>
        <v/>
      </c>
    </row>
    <row r="106" spans="1:30" s="41" customFormat="1" ht="30" customHeight="1" x14ac:dyDescent="0.2">
      <c r="A106" s="79"/>
      <c r="B106" s="70">
        <v>93</v>
      </c>
      <c r="C106" s="71"/>
      <c r="D106" s="71"/>
      <c r="E106" s="274"/>
      <c r="F106" s="214"/>
      <c r="G106" s="191"/>
      <c r="H106" s="74"/>
      <c r="I106" s="74"/>
      <c r="J106" s="74"/>
      <c r="K106" s="74"/>
      <c r="L106" s="73"/>
      <c r="M106" s="74"/>
      <c r="N106" s="71"/>
      <c r="O106" s="74"/>
      <c r="P106" s="74"/>
      <c r="Q106" s="74"/>
      <c r="R106" s="73"/>
      <c r="S106" s="73"/>
      <c r="T106" s="73"/>
      <c r="U106" s="73"/>
      <c r="V106" s="73"/>
      <c r="W106" s="143"/>
      <c r="X106" s="45" t="str">
        <f>IF(M106="","",'Pricing Details'!D96+'Pricing Details'!Q96)</f>
        <v/>
      </c>
      <c r="Y106" s="45" t="str">
        <f>IF(M106="","",'Pricing Details'!V96)</f>
        <v/>
      </c>
      <c r="Z106" s="43" t="str">
        <f>IF(M106="","",'Pricing Details'!X96)</f>
        <v/>
      </c>
      <c r="AA106" s="183" t="str">
        <f>'Pricing Details'!Z96</f>
        <v/>
      </c>
      <c r="AB106" s="178" t="str">
        <f>'Pricing Details'!AC96</f>
        <v/>
      </c>
      <c r="AC106" s="79"/>
      <c r="AD106" s="41" t="str">
        <f>IFERROR(_xlfn.XLOOKUP(K106,Collection[Display],Collection[Line])&amp;_xlfn.XLOOKUP(L106,Sleeve[Display],Sleeve[Sleeve]),"")</f>
        <v/>
      </c>
    </row>
    <row r="107" spans="1:30" s="41" customFormat="1" ht="30" customHeight="1" x14ac:dyDescent="0.2">
      <c r="A107" s="79"/>
      <c r="B107" s="70">
        <v>94</v>
      </c>
      <c r="C107" s="71"/>
      <c r="D107" s="71"/>
      <c r="E107" s="274"/>
      <c r="F107" s="214"/>
      <c r="G107" s="191"/>
      <c r="H107" s="74"/>
      <c r="I107" s="74"/>
      <c r="J107" s="74"/>
      <c r="K107" s="74"/>
      <c r="L107" s="73"/>
      <c r="M107" s="74"/>
      <c r="N107" s="71"/>
      <c r="O107" s="74"/>
      <c r="P107" s="74"/>
      <c r="Q107" s="74"/>
      <c r="R107" s="73"/>
      <c r="S107" s="73"/>
      <c r="T107" s="73"/>
      <c r="U107" s="73"/>
      <c r="V107" s="73"/>
      <c r="W107" s="143"/>
      <c r="X107" s="45" t="str">
        <f>IF(M107="","",'Pricing Details'!D97+'Pricing Details'!Q97)</f>
        <v/>
      </c>
      <c r="Y107" s="45" t="str">
        <f>IF(M107="","",'Pricing Details'!V97)</f>
        <v/>
      </c>
      <c r="Z107" s="43" t="str">
        <f>IF(M107="","",'Pricing Details'!X97)</f>
        <v/>
      </c>
      <c r="AA107" s="183" t="str">
        <f>'Pricing Details'!Z97</f>
        <v/>
      </c>
      <c r="AB107" s="178" t="str">
        <f>'Pricing Details'!AC97</f>
        <v/>
      </c>
      <c r="AC107" s="79"/>
      <c r="AD107" s="41" t="str">
        <f>IFERROR(_xlfn.XLOOKUP(K107,Collection[Display],Collection[Line])&amp;_xlfn.XLOOKUP(L107,Sleeve[Display],Sleeve[Sleeve]),"")</f>
        <v/>
      </c>
    </row>
    <row r="108" spans="1:30" s="41" customFormat="1" ht="30" customHeight="1" x14ac:dyDescent="0.2">
      <c r="A108" s="79"/>
      <c r="B108" s="70">
        <v>95</v>
      </c>
      <c r="C108" s="71"/>
      <c r="D108" s="71"/>
      <c r="E108" s="274"/>
      <c r="F108" s="214"/>
      <c r="G108" s="191"/>
      <c r="H108" s="74"/>
      <c r="I108" s="74"/>
      <c r="J108" s="74"/>
      <c r="K108" s="74"/>
      <c r="L108" s="73"/>
      <c r="M108" s="74"/>
      <c r="N108" s="71"/>
      <c r="O108" s="74"/>
      <c r="P108" s="74"/>
      <c r="Q108" s="74"/>
      <c r="R108" s="73"/>
      <c r="S108" s="73"/>
      <c r="T108" s="73"/>
      <c r="U108" s="73"/>
      <c r="V108" s="73"/>
      <c r="W108" s="143"/>
      <c r="X108" s="45" t="str">
        <f>IF(M108="","",'Pricing Details'!D98+'Pricing Details'!Q98)</f>
        <v/>
      </c>
      <c r="Y108" s="45" t="str">
        <f>IF(M108="","",'Pricing Details'!V98)</f>
        <v/>
      </c>
      <c r="Z108" s="43" t="str">
        <f>IF(M108="","",'Pricing Details'!X98)</f>
        <v/>
      </c>
      <c r="AA108" s="183" t="str">
        <f>'Pricing Details'!Z98</f>
        <v/>
      </c>
      <c r="AB108" s="178" t="str">
        <f>'Pricing Details'!AC98</f>
        <v/>
      </c>
      <c r="AC108" s="79"/>
      <c r="AD108" s="41" t="str">
        <f>IFERROR(_xlfn.XLOOKUP(K108,Collection[Display],Collection[Line])&amp;_xlfn.XLOOKUP(L108,Sleeve[Display],Sleeve[Sleeve]),"")</f>
        <v/>
      </c>
    </row>
    <row r="109" spans="1:30" s="41" customFormat="1" ht="30" customHeight="1" x14ac:dyDescent="0.2">
      <c r="A109" s="79"/>
      <c r="B109" s="70">
        <v>96</v>
      </c>
      <c r="C109" s="71"/>
      <c r="D109" s="71"/>
      <c r="E109" s="274"/>
      <c r="F109" s="214"/>
      <c r="G109" s="191"/>
      <c r="H109" s="74"/>
      <c r="I109" s="74"/>
      <c r="J109" s="74"/>
      <c r="K109" s="74"/>
      <c r="L109" s="73"/>
      <c r="M109" s="74"/>
      <c r="N109" s="71"/>
      <c r="O109" s="74"/>
      <c r="P109" s="74"/>
      <c r="Q109" s="74"/>
      <c r="R109" s="73"/>
      <c r="S109" s="73"/>
      <c r="T109" s="73"/>
      <c r="U109" s="73"/>
      <c r="V109" s="73"/>
      <c r="W109" s="143"/>
      <c r="X109" s="45" t="str">
        <f>IF(M109="","",'Pricing Details'!D99+'Pricing Details'!Q99)</f>
        <v/>
      </c>
      <c r="Y109" s="45" t="str">
        <f>IF(M109="","",'Pricing Details'!V99)</f>
        <v/>
      </c>
      <c r="Z109" s="43" t="str">
        <f>IF(M109="","",'Pricing Details'!X99)</f>
        <v/>
      </c>
      <c r="AA109" s="183" t="str">
        <f>'Pricing Details'!Z99</f>
        <v/>
      </c>
      <c r="AB109" s="178" t="str">
        <f>'Pricing Details'!AC99</f>
        <v/>
      </c>
      <c r="AC109" s="79"/>
      <c r="AD109" s="41" t="str">
        <f>IFERROR(_xlfn.XLOOKUP(K109,Collection[Display],Collection[Line])&amp;_xlfn.XLOOKUP(L109,Sleeve[Display],Sleeve[Sleeve]),"")</f>
        <v/>
      </c>
    </row>
    <row r="110" spans="1:30" s="41" customFormat="1" ht="30" customHeight="1" x14ac:dyDescent="0.2">
      <c r="A110" s="79"/>
      <c r="B110" s="70">
        <v>97</v>
      </c>
      <c r="C110" s="71"/>
      <c r="D110" s="71"/>
      <c r="E110" s="274"/>
      <c r="F110" s="214"/>
      <c r="G110" s="191"/>
      <c r="H110" s="74"/>
      <c r="I110" s="74"/>
      <c r="J110" s="74"/>
      <c r="K110" s="74"/>
      <c r="L110" s="73"/>
      <c r="M110" s="74"/>
      <c r="N110" s="71"/>
      <c r="O110" s="74"/>
      <c r="P110" s="74"/>
      <c r="Q110" s="74"/>
      <c r="R110" s="73"/>
      <c r="S110" s="73"/>
      <c r="T110" s="73"/>
      <c r="U110" s="73"/>
      <c r="V110" s="73"/>
      <c r="W110" s="143"/>
      <c r="X110" s="45" t="str">
        <f>IF(M110="","",'Pricing Details'!D100+'Pricing Details'!Q100)</f>
        <v/>
      </c>
      <c r="Y110" s="45" t="str">
        <f>IF(M110="","",'Pricing Details'!V100)</f>
        <v/>
      </c>
      <c r="Z110" s="43" t="str">
        <f>IF(M110="","",'Pricing Details'!X100)</f>
        <v/>
      </c>
      <c r="AA110" s="183" t="str">
        <f>'Pricing Details'!Z100</f>
        <v/>
      </c>
      <c r="AB110" s="178" t="str">
        <f>'Pricing Details'!AC100</f>
        <v/>
      </c>
      <c r="AC110" s="79"/>
      <c r="AD110" s="41" t="str">
        <f>IFERROR(_xlfn.XLOOKUP(K110,Collection[Display],Collection[Line])&amp;_xlfn.XLOOKUP(L110,Sleeve[Display],Sleeve[Sleeve]),"")</f>
        <v/>
      </c>
    </row>
    <row r="111" spans="1:30" s="41" customFormat="1" ht="30" customHeight="1" x14ac:dyDescent="0.2">
      <c r="A111" s="79"/>
      <c r="B111" s="70">
        <v>98</v>
      </c>
      <c r="C111" s="71"/>
      <c r="D111" s="71"/>
      <c r="E111" s="274"/>
      <c r="F111" s="214"/>
      <c r="G111" s="191"/>
      <c r="H111" s="74"/>
      <c r="I111" s="74"/>
      <c r="J111" s="74"/>
      <c r="K111" s="74"/>
      <c r="L111" s="73"/>
      <c r="M111" s="74"/>
      <c r="N111" s="71"/>
      <c r="O111" s="74"/>
      <c r="P111" s="74"/>
      <c r="Q111" s="74"/>
      <c r="R111" s="73"/>
      <c r="S111" s="73"/>
      <c r="T111" s="73"/>
      <c r="U111" s="73"/>
      <c r="V111" s="73"/>
      <c r="W111" s="143"/>
      <c r="X111" s="45" t="str">
        <f>IF(M111="","",'Pricing Details'!D101+'Pricing Details'!Q101)</f>
        <v/>
      </c>
      <c r="Y111" s="45" t="str">
        <f>IF(M111="","",'Pricing Details'!V101)</f>
        <v/>
      </c>
      <c r="Z111" s="43" t="str">
        <f>IF(M111="","",'Pricing Details'!X101)</f>
        <v/>
      </c>
      <c r="AA111" s="183" t="str">
        <f>'Pricing Details'!Z101</f>
        <v/>
      </c>
      <c r="AB111" s="178" t="str">
        <f>'Pricing Details'!AC101</f>
        <v/>
      </c>
      <c r="AC111" s="79"/>
      <c r="AD111" s="41" t="str">
        <f>IFERROR(_xlfn.XLOOKUP(K111,Collection[Display],Collection[Line])&amp;_xlfn.XLOOKUP(L111,Sleeve[Display],Sleeve[Sleeve]),"")</f>
        <v/>
      </c>
    </row>
    <row r="112" spans="1:30" s="41" customFormat="1" ht="30" customHeight="1" x14ac:dyDescent="0.2">
      <c r="A112" s="79"/>
      <c r="B112" s="70">
        <v>99</v>
      </c>
      <c r="C112" s="71"/>
      <c r="D112" s="71"/>
      <c r="E112" s="274"/>
      <c r="F112" s="214"/>
      <c r="G112" s="191"/>
      <c r="H112" s="74"/>
      <c r="I112" s="74"/>
      <c r="J112" s="74"/>
      <c r="K112" s="74"/>
      <c r="L112" s="73"/>
      <c r="M112" s="74"/>
      <c r="N112" s="71"/>
      <c r="O112" s="74"/>
      <c r="P112" s="74"/>
      <c r="Q112" s="74"/>
      <c r="R112" s="73"/>
      <c r="S112" s="73"/>
      <c r="T112" s="73"/>
      <c r="U112" s="73"/>
      <c r="V112" s="73"/>
      <c r="W112" s="143"/>
      <c r="X112" s="45" t="str">
        <f>IF(M112="","",'Pricing Details'!D102+'Pricing Details'!Q102)</f>
        <v/>
      </c>
      <c r="Y112" s="45" t="str">
        <f>IF(M112="","",'Pricing Details'!V102)</f>
        <v/>
      </c>
      <c r="Z112" s="43" t="str">
        <f>IF(M112="","",'Pricing Details'!X102)</f>
        <v/>
      </c>
      <c r="AA112" s="183" t="str">
        <f>'Pricing Details'!Z102</f>
        <v/>
      </c>
      <c r="AB112" s="178" t="str">
        <f>'Pricing Details'!AC102</f>
        <v/>
      </c>
      <c r="AC112" s="79"/>
      <c r="AD112" s="41" t="str">
        <f>IFERROR(_xlfn.XLOOKUP(K112,Collection[Display],Collection[Line])&amp;_xlfn.XLOOKUP(L112,Sleeve[Display],Sleeve[Sleeve]),"")</f>
        <v/>
      </c>
    </row>
    <row r="113" spans="1:30" s="41" customFormat="1" ht="30" customHeight="1" x14ac:dyDescent="0.2">
      <c r="A113" s="79"/>
      <c r="B113" s="70">
        <v>100</v>
      </c>
      <c r="C113" s="71"/>
      <c r="D113" s="71"/>
      <c r="E113" s="274"/>
      <c r="F113" s="214"/>
      <c r="G113" s="191"/>
      <c r="H113" s="74"/>
      <c r="I113" s="74"/>
      <c r="J113" s="74"/>
      <c r="K113" s="74"/>
      <c r="L113" s="73"/>
      <c r="M113" s="74"/>
      <c r="N113" s="71"/>
      <c r="O113" s="74"/>
      <c r="P113" s="74"/>
      <c r="Q113" s="74"/>
      <c r="R113" s="73"/>
      <c r="S113" s="73"/>
      <c r="T113" s="73"/>
      <c r="U113" s="73"/>
      <c r="V113" s="73"/>
      <c r="W113" s="143"/>
      <c r="X113" s="45" t="str">
        <f>IF(M113="","",'Pricing Details'!D103+'Pricing Details'!Q103)</f>
        <v/>
      </c>
      <c r="Y113" s="45" t="str">
        <f>IF(M113="","",'Pricing Details'!V103)</f>
        <v/>
      </c>
      <c r="Z113" s="43" t="str">
        <f>IF(M113="","",'Pricing Details'!X103)</f>
        <v/>
      </c>
      <c r="AA113" s="183" t="str">
        <f>'Pricing Details'!Z103</f>
        <v/>
      </c>
      <c r="AB113" s="178" t="str">
        <f>'Pricing Details'!AC103</f>
        <v/>
      </c>
      <c r="AC113" s="79"/>
      <c r="AD113" s="41" t="str">
        <f>IFERROR(_xlfn.XLOOKUP(K113,Collection[Display],Collection[Line])&amp;_xlfn.XLOOKUP(L113,Sleeve[Display],Sleeve[Sleeve]),"")</f>
        <v/>
      </c>
    </row>
    <row r="114" spans="1:30" s="41" customFormat="1" ht="30" customHeight="1" x14ac:dyDescent="0.2">
      <c r="A114" s="79"/>
      <c r="B114" s="70">
        <v>101</v>
      </c>
      <c r="C114" s="71"/>
      <c r="D114" s="71"/>
      <c r="E114" s="274"/>
      <c r="F114" s="214"/>
      <c r="G114" s="191"/>
      <c r="H114" s="74"/>
      <c r="I114" s="74"/>
      <c r="J114" s="74"/>
      <c r="K114" s="74"/>
      <c r="L114" s="73"/>
      <c r="M114" s="74"/>
      <c r="N114" s="71"/>
      <c r="O114" s="74"/>
      <c r="P114" s="74"/>
      <c r="Q114" s="74"/>
      <c r="R114" s="73"/>
      <c r="S114" s="73"/>
      <c r="T114" s="73"/>
      <c r="U114" s="73"/>
      <c r="V114" s="73"/>
      <c r="W114" s="143"/>
      <c r="X114" s="45" t="str">
        <f>IF(M114="","",'Pricing Details'!D104+'Pricing Details'!Q104)</f>
        <v/>
      </c>
      <c r="Y114" s="45" t="str">
        <f>IF(M114="","",'Pricing Details'!V104)</f>
        <v/>
      </c>
      <c r="Z114" s="43" t="str">
        <f>IF(M114="","",'Pricing Details'!X104)</f>
        <v/>
      </c>
      <c r="AA114" s="183" t="str">
        <f>'Pricing Details'!Z104</f>
        <v/>
      </c>
      <c r="AB114" s="178" t="str">
        <f>'Pricing Details'!AC104</f>
        <v/>
      </c>
      <c r="AC114" s="79"/>
      <c r="AD114" s="41" t="str">
        <f>IFERROR(_xlfn.XLOOKUP(K114,Collection[Display],Collection[Line])&amp;_xlfn.XLOOKUP(L114,Sleeve[Display],Sleeve[Sleeve]),"")</f>
        <v/>
      </c>
    </row>
    <row r="115" spans="1:30" s="41" customFormat="1" ht="30" customHeight="1" x14ac:dyDescent="0.2">
      <c r="A115" s="79"/>
      <c r="B115" s="70">
        <v>102</v>
      </c>
      <c r="C115" s="71"/>
      <c r="D115" s="71"/>
      <c r="E115" s="274"/>
      <c r="F115" s="214"/>
      <c r="G115" s="191"/>
      <c r="H115" s="74"/>
      <c r="I115" s="74"/>
      <c r="J115" s="74"/>
      <c r="K115" s="74"/>
      <c r="L115" s="73"/>
      <c r="M115" s="74"/>
      <c r="N115" s="71"/>
      <c r="O115" s="74"/>
      <c r="P115" s="74"/>
      <c r="Q115" s="74"/>
      <c r="R115" s="73"/>
      <c r="S115" s="73"/>
      <c r="T115" s="73"/>
      <c r="U115" s="73"/>
      <c r="V115" s="73"/>
      <c r="W115" s="143"/>
      <c r="X115" s="45" t="str">
        <f>IF(M115="","",'Pricing Details'!D105+'Pricing Details'!Q105)</f>
        <v/>
      </c>
      <c r="Y115" s="45" t="str">
        <f>IF(M115="","",'Pricing Details'!V105)</f>
        <v/>
      </c>
      <c r="Z115" s="43" t="str">
        <f>IF(M115="","",'Pricing Details'!X105)</f>
        <v/>
      </c>
      <c r="AA115" s="183" t="str">
        <f>'Pricing Details'!Z105</f>
        <v/>
      </c>
      <c r="AB115" s="178" t="str">
        <f>'Pricing Details'!AC105</f>
        <v/>
      </c>
      <c r="AC115" s="79"/>
      <c r="AD115" s="41" t="str">
        <f>IFERROR(_xlfn.XLOOKUP(K115,Collection[Display],Collection[Line])&amp;_xlfn.XLOOKUP(L115,Sleeve[Display],Sleeve[Sleeve]),"")</f>
        <v/>
      </c>
    </row>
    <row r="116" spans="1:30" s="41" customFormat="1" ht="30" customHeight="1" x14ac:dyDescent="0.2">
      <c r="A116" s="79"/>
      <c r="B116" s="70">
        <v>103</v>
      </c>
      <c r="C116" s="71"/>
      <c r="D116" s="71"/>
      <c r="E116" s="274"/>
      <c r="F116" s="214"/>
      <c r="G116" s="191"/>
      <c r="H116" s="74"/>
      <c r="I116" s="74"/>
      <c r="J116" s="74"/>
      <c r="K116" s="74"/>
      <c r="L116" s="73"/>
      <c r="M116" s="74"/>
      <c r="N116" s="71"/>
      <c r="O116" s="74"/>
      <c r="P116" s="74"/>
      <c r="Q116" s="74"/>
      <c r="R116" s="73"/>
      <c r="S116" s="73"/>
      <c r="T116" s="73"/>
      <c r="U116" s="73"/>
      <c r="V116" s="73"/>
      <c r="W116" s="143"/>
      <c r="X116" s="45" t="str">
        <f>IF(M116="","",'Pricing Details'!D106+'Pricing Details'!Q106)</f>
        <v/>
      </c>
      <c r="Y116" s="45" t="str">
        <f>IF(M116="","",'Pricing Details'!V106)</f>
        <v/>
      </c>
      <c r="Z116" s="43" t="str">
        <f>IF(M116="","",'Pricing Details'!X106)</f>
        <v/>
      </c>
      <c r="AA116" s="183" t="str">
        <f>'Pricing Details'!Z106</f>
        <v/>
      </c>
      <c r="AB116" s="178" t="str">
        <f>'Pricing Details'!AC106</f>
        <v/>
      </c>
      <c r="AC116" s="79"/>
      <c r="AD116" s="41" t="str">
        <f>IFERROR(_xlfn.XLOOKUP(K116,Collection[Display],Collection[Line])&amp;_xlfn.XLOOKUP(L116,Sleeve[Display],Sleeve[Sleeve]),"")</f>
        <v/>
      </c>
    </row>
    <row r="117" spans="1:30" s="41" customFormat="1" ht="30" customHeight="1" x14ac:dyDescent="0.2">
      <c r="A117" s="79"/>
      <c r="B117" s="70">
        <v>104</v>
      </c>
      <c r="C117" s="71"/>
      <c r="D117" s="71"/>
      <c r="E117" s="274"/>
      <c r="F117" s="214"/>
      <c r="G117" s="191"/>
      <c r="H117" s="74"/>
      <c r="I117" s="74"/>
      <c r="J117" s="74"/>
      <c r="K117" s="74"/>
      <c r="L117" s="73"/>
      <c r="M117" s="74"/>
      <c r="N117" s="71"/>
      <c r="O117" s="74"/>
      <c r="P117" s="74"/>
      <c r="Q117" s="74"/>
      <c r="R117" s="73"/>
      <c r="S117" s="73"/>
      <c r="T117" s="73"/>
      <c r="U117" s="73"/>
      <c r="V117" s="73"/>
      <c r="W117" s="143"/>
      <c r="X117" s="45" t="str">
        <f>IF(M117="","",'Pricing Details'!D107+'Pricing Details'!Q107)</f>
        <v/>
      </c>
      <c r="Y117" s="45" t="str">
        <f>IF(M117="","",'Pricing Details'!V107)</f>
        <v/>
      </c>
      <c r="Z117" s="43" t="str">
        <f>IF(M117="","",'Pricing Details'!X107)</f>
        <v/>
      </c>
      <c r="AA117" s="183" t="str">
        <f>'Pricing Details'!Z107</f>
        <v/>
      </c>
      <c r="AB117" s="178" t="str">
        <f>'Pricing Details'!AC107</f>
        <v/>
      </c>
      <c r="AC117" s="79"/>
      <c r="AD117" s="41" t="str">
        <f>IFERROR(_xlfn.XLOOKUP(K117,Collection[Display],Collection[Line])&amp;_xlfn.XLOOKUP(L117,Sleeve[Display],Sleeve[Sleeve]),"")</f>
        <v/>
      </c>
    </row>
    <row r="118" spans="1:30" s="41" customFormat="1" ht="30" customHeight="1" x14ac:dyDescent="0.2">
      <c r="A118" s="79"/>
      <c r="B118" s="70">
        <v>105</v>
      </c>
      <c r="C118" s="71"/>
      <c r="D118" s="71"/>
      <c r="E118" s="274"/>
      <c r="F118" s="214"/>
      <c r="G118" s="191"/>
      <c r="H118" s="74"/>
      <c r="I118" s="74"/>
      <c r="J118" s="74"/>
      <c r="K118" s="74"/>
      <c r="L118" s="73"/>
      <c r="M118" s="74"/>
      <c r="N118" s="71"/>
      <c r="O118" s="74"/>
      <c r="P118" s="74"/>
      <c r="Q118" s="74"/>
      <c r="R118" s="73"/>
      <c r="S118" s="73"/>
      <c r="T118" s="73"/>
      <c r="U118" s="73"/>
      <c r="V118" s="73"/>
      <c r="W118" s="143"/>
      <c r="X118" s="45" t="str">
        <f>IF(M118="","",'Pricing Details'!D108+'Pricing Details'!Q108)</f>
        <v/>
      </c>
      <c r="Y118" s="45" t="str">
        <f>IF(M118="","",'Pricing Details'!V108)</f>
        <v/>
      </c>
      <c r="Z118" s="43" t="str">
        <f>IF(M118="","",'Pricing Details'!X108)</f>
        <v/>
      </c>
      <c r="AA118" s="183" t="str">
        <f>'Pricing Details'!Z108</f>
        <v/>
      </c>
      <c r="AB118" s="178" t="str">
        <f>'Pricing Details'!AC108</f>
        <v/>
      </c>
      <c r="AC118" s="79"/>
      <c r="AD118" s="41" t="str">
        <f>IFERROR(_xlfn.XLOOKUP(K118,Collection[Display],Collection[Line])&amp;_xlfn.XLOOKUP(L118,Sleeve[Display],Sleeve[Sleeve]),"")</f>
        <v/>
      </c>
    </row>
    <row r="119" spans="1:30" s="41" customFormat="1" ht="30" customHeight="1" x14ac:dyDescent="0.2">
      <c r="A119" s="79"/>
      <c r="B119" s="70">
        <v>106</v>
      </c>
      <c r="C119" s="71"/>
      <c r="D119" s="71"/>
      <c r="E119" s="274"/>
      <c r="F119" s="214"/>
      <c r="G119" s="191"/>
      <c r="H119" s="74"/>
      <c r="I119" s="74"/>
      <c r="J119" s="74"/>
      <c r="K119" s="74"/>
      <c r="L119" s="73"/>
      <c r="M119" s="74"/>
      <c r="N119" s="71"/>
      <c r="O119" s="74"/>
      <c r="P119" s="74"/>
      <c r="Q119" s="74"/>
      <c r="R119" s="73"/>
      <c r="S119" s="73"/>
      <c r="T119" s="73"/>
      <c r="U119" s="73"/>
      <c r="V119" s="73"/>
      <c r="W119" s="143"/>
      <c r="X119" s="45" t="str">
        <f>IF(M119="","",'Pricing Details'!D109+'Pricing Details'!Q109)</f>
        <v/>
      </c>
      <c r="Y119" s="45" t="str">
        <f>IF(M119="","",'Pricing Details'!V109)</f>
        <v/>
      </c>
      <c r="Z119" s="43" t="str">
        <f>IF(M119="","",'Pricing Details'!X109)</f>
        <v/>
      </c>
      <c r="AA119" s="183" t="str">
        <f>'Pricing Details'!Z109</f>
        <v/>
      </c>
      <c r="AB119" s="178" t="str">
        <f>'Pricing Details'!AC109</f>
        <v/>
      </c>
      <c r="AC119" s="79"/>
      <c r="AD119" s="41" t="str">
        <f>IFERROR(_xlfn.XLOOKUP(K119,Collection[Display],Collection[Line])&amp;_xlfn.XLOOKUP(L119,Sleeve[Display],Sleeve[Sleeve]),"")</f>
        <v/>
      </c>
    </row>
    <row r="120" spans="1:30" s="41" customFormat="1" ht="30" customHeight="1" x14ac:dyDescent="0.2">
      <c r="A120" s="79"/>
      <c r="B120" s="70">
        <v>107</v>
      </c>
      <c r="C120" s="71"/>
      <c r="D120" s="71"/>
      <c r="E120" s="274"/>
      <c r="F120" s="214"/>
      <c r="G120" s="191"/>
      <c r="H120" s="74"/>
      <c r="I120" s="74"/>
      <c r="J120" s="74"/>
      <c r="K120" s="74"/>
      <c r="L120" s="73"/>
      <c r="M120" s="74"/>
      <c r="N120" s="71"/>
      <c r="O120" s="74"/>
      <c r="P120" s="74"/>
      <c r="Q120" s="74"/>
      <c r="R120" s="73"/>
      <c r="S120" s="73"/>
      <c r="T120" s="73"/>
      <c r="U120" s="73"/>
      <c r="V120" s="73"/>
      <c r="W120" s="143"/>
      <c r="X120" s="45" t="str">
        <f>IF(M120="","",'Pricing Details'!D110+'Pricing Details'!Q110)</f>
        <v/>
      </c>
      <c r="Y120" s="45" t="str">
        <f>IF(M120="","",'Pricing Details'!V110)</f>
        <v/>
      </c>
      <c r="Z120" s="43" t="str">
        <f>IF(M120="","",'Pricing Details'!X110)</f>
        <v/>
      </c>
      <c r="AA120" s="183" t="str">
        <f>'Pricing Details'!Z110</f>
        <v/>
      </c>
      <c r="AB120" s="178" t="str">
        <f>'Pricing Details'!AC110</f>
        <v/>
      </c>
      <c r="AC120" s="79"/>
      <c r="AD120" s="41" t="str">
        <f>IFERROR(_xlfn.XLOOKUP(K120,Collection[Display],Collection[Line])&amp;_xlfn.XLOOKUP(L120,Sleeve[Display],Sleeve[Sleeve]),"")</f>
        <v/>
      </c>
    </row>
    <row r="121" spans="1:30" s="41" customFormat="1" ht="30" customHeight="1" x14ac:dyDescent="0.2">
      <c r="A121" s="79"/>
      <c r="B121" s="70">
        <v>108</v>
      </c>
      <c r="C121" s="71"/>
      <c r="D121" s="71"/>
      <c r="E121" s="274"/>
      <c r="F121" s="214"/>
      <c r="G121" s="191"/>
      <c r="H121" s="74"/>
      <c r="I121" s="74"/>
      <c r="J121" s="74"/>
      <c r="K121" s="74"/>
      <c r="L121" s="73"/>
      <c r="M121" s="74"/>
      <c r="N121" s="71"/>
      <c r="O121" s="74"/>
      <c r="P121" s="74"/>
      <c r="Q121" s="74"/>
      <c r="R121" s="73"/>
      <c r="S121" s="73"/>
      <c r="T121" s="73"/>
      <c r="U121" s="73"/>
      <c r="V121" s="73"/>
      <c r="W121" s="143"/>
      <c r="X121" s="45" t="str">
        <f>IF(M121="","",'Pricing Details'!D111+'Pricing Details'!Q111)</f>
        <v/>
      </c>
      <c r="Y121" s="45" t="str">
        <f>IF(M121="","",'Pricing Details'!V111)</f>
        <v/>
      </c>
      <c r="Z121" s="43" t="str">
        <f>IF(M121="","",'Pricing Details'!X111)</f>
        <v/>
      </c>
      <c r="AA121" s="183" t="str">
        <f>'Pricing Details'!Z111</f>
        <v/>
      </c>
      <c r="AB121" s="178" t="str">
        <f>'Pricing Details'!AC111</f>
        <v/>
      </c>
      <c r="AC121" s="79"/>
      <c r="AD121" s="41" t="str">
        <f>IFERROR(_xlfn.XLOOKUP(K121,Collection[Display],Collection[Line])&amp;_xlfn.XLOOKUP(L121,Sleeve[Display],Sleeve[Sleeve]),"")</f>
        <v/>
      </c>
    </row>
    <row r="122" spans="1:30" s="41" customFormat="1" ht="30" customHeight="1" x14ac:dyDescent="0.2">
      <c r="A122" s="79"/>
      <c r="B122" s="70">
        <v>109</v>
      </c>
      <c r="C122" s="71"/>
      <c r="D122" s="71"/>
      <c r="E122" s="274"/>
      <c r="F122" s="214"/>
      <c r="G122" s="191"/>
      <c r="H122" s="74"/>
      <c r="I122" s="74"/>
      <c r="J122" s="74"/>
      <c r="K122" s="74"/>
      <c r="L122" s="73"/>
      <c r="M122" s="74"/>
      <c r="N122" s="71"/>
      <c r="O122" s="74"/>
      <c r="P122" s="74"/>
      <c r="Q122" s="74"/>
      <c r="R122" s="73"/>
      <c r="S122" s="73"/>
      <c r="T122" s="73"/>
      <c r="U122" s="73"/>
      <c r="V122" s="73"/>
      <c r="W122" s="143"/>
      <c r="X122" s="45" t="str">
        <f>IF(M122="","",'Pricing Details'!D112+'Pricing Details'!Q112)</f>
        <v/>
      </c>
      <c r="Y122" s="45" t="str">
        <f>IF(M122="","",'Pricing Details'!V112)</f>
        <v/>
      </c>
      <c r="Z122" s="43" t="str">
        <f>IF(M122="","",'Pricing Details'!X112)</f>
        <v/>
      </c>
      <c r="AA122" s="183" t="str">
        <f>'Pricing Details'!Z112</f>
        <v/>
      </c>
      <c r="AB122" s="178" t="str">
        <f>'Pricing Details'!AC112</f>
        <v/>
      </c>
      <c r="AC122" s="79"/>
      <c r="AD122" s="41" t="str">
        <f>IFERROR(_xlfn.XLOOKUP(K122,Collection[Display],Collection[Line])&amp;_xlfn.XLOOKUP(L122,Sleeve[Display],Sleeve[Sleeve]),"")</f>
        <v/>
      </c>
    </row>
    <row r="123" spans="1:30" s="41" customFormat="1" ht="30" customHeight="1" x14ac:dyDescent="0.2">
      <c r="A123" s="79"/>
      <c r="B123" s="70">
        <v>110</v>
      </c>
      <c r="C123" s="71"/>
      <c r="D123" s="71"/>
      <c r="E123" s="274"/>
      <c r="F123" s="214"/>
      <c r="G123" s="191"/>
      <c r="H123" s="74"/>
      <c r="I123" s="74"/>
      <c r="J123" s="74"/>
      <c r="K123" s="74"/>
      <c r="L123" s="73"/>
      <c r="M123" s="74"/>
      <c r="N123" s="71"/>
      <c r="O123" s="74"/>
      <c r="P123" s="74"/>
      <c r="Q123" s="74"/>
      <c r="R123" s="73"/>
      <c r="S123" s="73"/>
      <c r="T123" s="73"/>
      <c r="U123" s="73"/>
      <c r="V123" s="73"/>
      <c r="W123" s="143"/>
      <c r="X123" s="45" t="str">
        <f>IF(M123="","",'Pricing Details'!D113+'Pricing Details'!Q113)</f>
        <v/>
      </c>
      <c r="Y123" s="45" t="str">
        <f>IF(M123="","",'Pricing Details'!V113)</f>
        <v/>
      </c>
      <c r="Z123" s="43" t="str">
        <f>IF(M123="","",'Pricing Details'!X113)</f>
        <v/>
      </c>
      <c r="AA123" s="183" t="str">
        <f>'Pricing Details'!Z113</f>
        <v/>
      </c>
      <c r="AB123" s="178" t="str">
        <f>'Pricing Details'!AC113</f>
        <v/>
      </c>
      <c r="AC123" s="79"/>
      <c r="AD123" s="41" t="str">
        <f>IFERROR(_xlfn.XLOOKUP(K123,Collection[Display],Collection[Line])&amp;_xlfn.XLOOKUP(L123,Sleeve[Display],Sleeve[Sleeve]),"")</f>
        <v/>
      </c>
    </row>
    <row r="124" spans="1:30" s="41" customFormat="1" ht="30" customHeight="1" x14ac:dyDescent="0.2">
      <c r="A124" s="79"/>
      <c r="B124" s="70">
        <v>111</v>
      </c>
      <c r="C124" s="71"/>
      <c r="D124" s="71"/>
      <c r="E124" s="274"/>
      <c r="F124" s="214"/>
      <c r="G124" s="191"/>
      <c r="H124" s="74"/>
      <c r="I124" s="74"/>
      <c r="J124" s="74"/>
      <c r="K124" s="74"/>
      <c r="L124" s="73"/>
      <c r="M124" s="74"/>
      <c r="N124" s="71"/>
      <c r="O124" s="74"/>
      <c r="P124" s="74"/>
      <c r="Q124" s="74"/>
      <c r="R124" s="73"/>
      <c r="S124" s="73"/>
      <c r="T124" s="73"/>
      <c r="U124" s="73"/>
      <c r="V124" s="73"/>
      <c r="W124" s="143"/>
      <c r="X124" s="45" t="str">
        <f>IF(M124="","",'Pricing Details'!D114+'Pricing Details'!Q114)</f>
        <v/>
      </c>
      <c r="Y124" s="45" t="str">
        <f>IF(M124="","",'Pricing Details'!V114)</f>
        <v/>
      </c>
      <c r="Z124" s="43" t="str">
        <f>IF(M124="","",'Pricing Details'!X114)</f>
        <v/>
      </c>
      <c r="AA124" s="183" t="str">
        <f>'Pricing Details'!Z114</f>
        <v/>
      </c>
      <c r="AB124" s="178" t="str">
        <f>'Pricing Details'!AC114</f>
        <v/>
      </c>
      <c r="AC124" s="79"/>
      <c r="AD124" s="41" t="str">
        <f>IFERROR(_xlfn.XLOOKUP(K124,Collection[Display],Collection[Line])&amp;_xlfn.XLOOKUP(L124,Sleeve[Display],Sleeve[Sleeve]),"")</f>
        <v/>
      </c>
    </row>
    <row r="125" spans="1:30" s="41" customFormat="1" ht="30" customHeight="1" x14ac:dyDescent="0.2">
      <c r="A125" s="79"/>
      <c r="B125" s="70">
        <v>112</v>
      </c>
      <c r="C125" s="71"/>
      <c r="D125" s="71"/>
      <c r="E125" s="274"/>
      <c r="F125" s="214"/>
      <c r="G125" s="191"/>
      <c r="H125" s="74"/>
      <c r="I125" s="74"/>
      <c r="J125" s="74"/>
      <c r="K125" s="74"/>
      <c r="L125" s="73"/>
      <c r="M125" s="74"/>
      <c r="N125" s="71"/>
      <c r="O125" s="74"/>
      <c r="P125" s="74"/>
      <c r="Q125" s="74"/>
      <c r="R125" s="73"/>
      <c r="S125" s="73"/>
      <c r="T125" s="73"/>
      <c r="U125" s="73"/>
      <c r="V125" s="73"/>
      <c r="W125" s="143"/>
      <c r="X125" s="45" t="str">
        <f>IF(M125="","",'Pricing Details'!D115+'Pricing Details'!Q115)</f>
        <v/>
      </c>
      <c r="Y125" s="45" t="str">
        <f>IF(M125="","",'Pricing Details'!V115)</f>
        <v/>
      </c>
      <c r="Z125" s="43" t="str">
        <f>IF(M125="","",'Pricing Details'!X115)</f>
        <v/>
      </c>
      <c r="AA125" s="183" t="str">
        <f>'Pricing Details'!Z115</f>
        <v/>
      </c>
      <c r="AB125" s="178" t="str">
        <f>'Pricing Details'!AC115</f>
        <v/>
      </c>
      <c r="AC125" s="79"/>
      <c r="AD125" s="41" t="str">
        <f>IFERROR(_xlfn.XLOOKUP(K125,Collection[Display],Collection[Line])&amp;_xlfn.XLOOKUP(L125,Sleeve[Display],Sleeve[Sleeve]),"")</f>
        <v/>
      </c>
    </row>
    <row r="126" spans="1:30" s="41" customFormat="1" ht="30" customHeight="1" x14ac:dyDescent="0.2">
      <c r="A126" s="79"/>
      <c r="B126" s="70">
        <v>113</v>
      </c>
      <c r="C126" s="71"/>
      <c r="D126" s="71"/>
      <c r="E126" s="274"/>
      <c r="F126" s="214"/>
      <c r="G126" s="191"/>
      <c r="H126" s="74"/>
      <c r="I126" s="74"/>
      <c r="J126" s="74"/>
      <c r="K126" s="74"/>
      <c r="L126" s="73"/>
      <c r="M126" s="74"/>
      <c r="N126" s="71"/>
      <c r="O126" s="74"/>
      <c r="P126" s="74"/>
      <c r="Q126" s="74"/>
      <c r="R126" s="73"/>
      <c r="S126" s="73"/>
      <c r="T126" s="73"/>
      <c r="U126" s="73"/>
      <c r="V126" s="73"/>
      <c r="W126" s="143"/>
      <c r="X126" s="45" t="str">
        <f>IF(M126="","",'Pricing Details'!D116+'Pricing Details'!Q116)</f>
        <v/>
      </c>
      <c r="Y126" s="45" t="str">
        <f>IF(M126="","",'Pricing Details'!V116)</f>
        <v/>
      </c>
      <c r="Z126" s="43" t="str">
        <f>IF(M126="","",'Pricing Details'!X116)</f>
        <v/>
      </c>
      <c r="AA126" s="183" t="str">
        <f>'Pricing Details'!Z116</f>
        <v/>
      </c>
      <c r="AB126" s="178" t="str">
        <f>'Pricing Details'!AC116</f>
        <v/>
      </c>
      <c r="AC126" s="79"/>
      <c r="AD126" s="41" t="str">
        <f>IFERROR(_xlfn.XLOOKUP(K126,Collection[Display],Collection[Line])&amp;_xlfn.XLOOKUP(L126,Sleeve[Display],Sleeve[Sleeve]),"")</f>
        <v/>
      </c>
    </row>
    <row r="127" spans="1:30" s="41" customFormat="1" ht="30" customHeight="1" x14ac:dyDescent="0.2">
      <c r="A127" s="79"/>
      <c r="B127" s="70">
        <v>114</v>
      </c>
      <c r="C127" s="71"/>
      <c r="D127" s="71"/>
      <c r="E127" s="274"/>
      <c r="F127" s="214"/>
      <c r="G127" s="191"/>
      <c r="H127" s="74"/>
      <c r="I127" s="74"/>
      <c r="J127" s="74"/>
      <c r="K127" s="74"/>
      <c r="L127" s="73"/>
      <c r="M127" s="74"/>
      <c r="N127" s="71"/>
      <c r="O127" s="74"/>
      <c r="P127" s="74"/>
      <c r="Q127" s="74"/>
      <c r="R127" s="73"/>
      <c r="S127" s="73"/>
      <c r="T127" s="73"/>
      <c r="U127" s="73"/>
      <c r="V127" s="73"/>
      <c r="W127" s="143"/>
      <c r="X127" s="45" t="str">
        <f>IF(M127="","",'Pricing Details'!D117+'Pricing Details'!Q117)</f>
        <v/>
      </c>
      <c r="Y127" s="45" t="str">
        <f>IF(M127="","",'Pricing Details'!V117)</f>
        <v/>
      </c>
      <c r="Z127" s="43" t="str">
        <f>IF(M127="","",'Pricing Details'!X117)</f>
        <v/>
      </c>
      <c r="AA127" s="183" t="str">
        <f>'Pricing Details'!Z117</f>
        <v/>
      </c>
      <c r="AB127" s="178" t="str">
        <f>'Pricing Details'!AC117</f>
        <v/>
      </c>
      <c r="AC127" s="79"/>
      <c r="AD127" s="41" t="str">
        <f>IFERROR(_xlfn.XLOOKUP(K127,Collection[Display],Collection[Line])&amp;_xlfn.XLOOKUP(L127,Sleeve[Display],Sleeve[Sleeve]),"")</f>
        <v/>
      </c>
    </row>
    <row r="128" spans="1:30" s="41" customFormat="1" ht="30" customHeight="1" x14ac:dyDescent="0.2">
      <c r="A128" s="79"/>
      <c r="B128" s="70">
        <v>115</v>
      </c>
      <c r="C128" s="71"/>
      <c r="D128" s="71"/>
      <c r="E128" s="274"/>
      <c r="F128" s="214"/>
      <c r="G128" s="191"/>
      <c r="H128" s="74"/>
      <c r="I128" s="74"/>
      <c r="J128" s="74"/>
      <c r="K128" s="74"/>
      <c r="L128" s="73"/>
      <c r="M128" s="74"/>
      <c r="N128" s="71"/>
      <c r="O128" s="74"/>
      <c r="P128" s="74"/>
      <c r="Q128" s="74"/>
      <c r="R128" s="73"/>
      <c r="S128" s="73"/>
      <c r="T128" s="73"/>
      <c r="U128" s="73"/>
      <c r="V128" s="73"/>
      <c r="W128" s="143"/>
      <c r="X128" s="45" t="str">
        <f>IF(M128="","",'Pricing Details'!D118+'Pricing Details'!Q118)</f>
        <v/>
      </c>
      <c r="Y128" s="45" t="str">
        <f>IF(M128="","",'Pricing Details'!V118)</f>
        <v/>
      </c>
      <c r="Z128" s="43" t="str">
        <f>IF(M128="","",'Pricing Details'!X118)</f>
        <v/>
      </c>
      <c r="AA128" s="183" t="str">
        <f>'Pricing Details'!Z118</f>
        <v/>
      </c>
      <c r="AB128" s="178" t="str">
        <f>'Pricing Details'!AC118</f>
        <v/>
      </c>
      <c r="AC128" s="79"/>
      <c r="AD128" s="41" t="str">
        <f>IFERROR(_xlfn.XLOOKUP(K128,Collection[Display],Collection[Line])&amp;_xlfn.XLOOKUP(L128,Sleeve[Display],Sleeve[Sleeve]),"")</f>
        <v/>
      </c>
    </row>
    <row r="129" spans="1:30" s="41" customFormat="1" ht="30" customHeight="1" x14ac:dyDescent="0.2">
      <c r="A129" s="79"/>
      <c r="B129" s="70">
        <v>116</v>
      </c>
      <c r="C129" s="71"/>
      <c r="D129" s="71"/>
      <c r="E129" s="274"/>
      <c r="F129" s="214"/>
      <c r="G129" s="191"/>
      <c r="H129" s="74"/>
      <c r="I129" s="74"/>
      <c r="J129" s="74"/>
      <c r="K129" s="74"/>
      <c r="L129" s="73"/>
      <c r="M129" s="74"/>
      <c r="N129" s="71"/>
      <c r="O129" s="74"/>
      <c r="P129" s="74"/>
      <c r="Q129" s="74"/>
      <c r="R129" s="73"/>
      <c r="S129" s="73"/>
      <c r="T129" s="73"/>
      <c r="U129" s="73"/>
      <c r="V129" s="73"/>
      <c r="W129" s="143"/>
      <c r="X129" s="45" t="str">
        <f>IF(M129="","",'Pricing Details'!D119+'Pricing Details'!Q119)</f>
        <v/>
      </c>
      <c r="Y129" s="45" t="str">
        <f>IF(M129="","",'Pricing Details'!V119)</f>
        <v/>
      </c>
      <c r="Z129" s="43" t="str">
        <f>IF(M129="","",'Pricing Details'!X119)</f>
        <v/>
      </c>
      <c r="AA129" s="183" t="str">
        <f>'Pricing Details'!Z119</f>
        <v/>
      </c>
      <c r="AB129" s="178" t="str">
        <f>'Pricing Details'!AC119</f>
        <v/>
      </c>
      <c r="AC129" s="79"/>
      <c r="AD129" s="41" t="str">
        <f>IFERROR(_xlfn.XLOOKUP(K129,Collection[Display],Collection[Line])&amp;_xlfn.XLOOKUP(L129,Sleeve[Display],Sleeve[Sleeve]),"")</f>
        <v/>
      </c>
    </row>
    <row r="130" spans="1:30" s="41" customFormat="1" ht="30" customHeight="1" x14ac:dyDescent="0.2">
      <c r="A130" s="79"/>
      <c r="B130" s="70">
        <v>117</v>
      </c>
      <c r="C130" s="71"/>
      <c r="D130" s="71"/>
      <c r="E130" s="274"/>
      <c r="F130" s="214"/>
      <c r="G130" s="191"/>
      <c r="H130" s="74"/>
      <c r="I130" s="74"/>
      <c r="J130" s="74"/>
      <c r="K130" s="74"/>
      <c r="L130" s="73"/>
      <c r="M130" s="74"/>
      <c r="N130" s="71"/>
      <c r="O130" s="74"/>
      <c r="P130" s="74"/>
      <c r="Q130" s="74"/>
      <c r="R130" s="73"/>
      <c r="S130" s="73"/>
      <c r="T130" s="73"/>
      <c r="U130" s="73"/>
      <c r="V130" s="73"/>
      <c r="W130" s="143"/>
      <c r="X130" s="45" t="str">
        <f>IF(M130="","",'Pricing Details'!D120+'Pricing Details'!Q120)</f>
        <v/>
      </c>
      <c r="Y130" s="45" t="str">
        <f>IF(M130="","",'Pricing Details'!V120)</f>
        <v/>
      </c>
      <c r="Z130" s="43" t="str">
        <f>IF(M130="","",'Pricing Details'!X120)</f>
        <v/>
      </c>
      <c r="AA130" s="183" t="str">
        <f>'Pricing Details'!Z120</f>
        <v/>
      </c>
      <c r="AB130" s="178" t="str">
        <f>'Pricing Details'!AC120</f>
        <v/>
      </c>
      <c r="AC130" s="79"/>
      <c r="AD130" s="41" t="str">
        <f>IFERROR(_xlfn.XLOOKUP(K130,Collection[Display],Collection[Line])&amp;_xlfn.XLOOKUP(L130,Sleeve[Display],Sleeve[Sleeve]),"")</f>
        <v/>
      </c>
    </row>
    <row r="131" spans="1:30" s="41" customFormat="1" ht="30" customHeight="1" x14ac:dyDescent="0.2">
      <c r="A131" s="79"/>
      <c r="B131" s="70">
        <v>118</v>
      </c>
      <c r="C131" s="71"/>
      <c r="D131" s="71"/>
      <c r="E131" s="274"/>
      <c r="F131" s="214"/>
      <c r="G131" s="191"/>
      <c r="H131" s="74"/>
      <c r="I131" s="74"/>
      <c r="J131" s="74"/>
      <c r="K131" s="74"/>
      <c r="L131" s="73"/>
      <c r="M131" s="74"/>
      <c r="N131" s="71"/>
      <c r="O131" s="74"/>
      <c r="P131" s="74"/>
      <c r="Q131" s="74"/>
      <c r="R131" s="73"/>
      <c r="S131" s="73"/>
      <c r="T131" s="73"/>
      <c r="U131" s="73"/>
      <c r="V131" s="73"/>
      <c r="W131" s="143"/>
      <c r="X131" s="45" t="str">
        <f>IF(M131="","",'Pricing Details'!D121+'Pricing Details'!Q121)</f>
        <v/>
      </c>
      <c r="Y131" s="45" t="str">
        <f>IF(M131="","",'Pricing Details'!V121)</f>
        <v/>
      </c>
      <c r="Z131" s="43" t="str">
        <f>IF(M131="","",'Pricing Details'!X121)</f>
        <v/>
      </c>
      <c r="AA131" s="183" t="str">
        <f>'Pricing Details'!Z121</f>
        <v/>
      </c>
      <c r="AB131" s="178" t="str">
        <f>'Pricing Details'!AC121</f>
        <v/>
      </c>
      <c r="AC131" s="79"/>
      <c r="AD131" s="41" t="str">
        <f>IFERROR(_xlfn.XLOOKUP(K131,Collection[Display],Collection[Line])&amp;_xlfn.XLOOKUP(L131,Sleeve[Display],Sleeve[Sleeve]),"")</f>
        <v/>
      </c>
    </row>
    <row r="132" spans="1:30" s="41" customFormat="1" ht="30" customHeight="1" x14ac:dyDescent="0.2">
      <c r="A132" s="79"/>
      <c r="B132" s="70">
        <v>119</v>
      </c>
      <c r="C132" s="71"/>
      <c r="D132" s="71"/>
      <c r="E132" s="274"/>
      <c r="F132" s="214"/>
      <c r="G132" s="191"/>
      <c r="H132" s="74"/>
      <c r="I132" s="74"/>
      <c r="J132" s="74"/>
      <c r="K132" s="74"/>
      <c r="L132" s="73"/>
      <c r="M132" s="74"/>
      <c r="N132" s="71"/>
      <c r="O132" s="74"/>
      <c r="P132" s="74"/>
      <c r="Q132" s="74"/>
      <c r="R132" s="73"/>
      <c r="S132" s="73"/>
      <c r="T132" s="73"/>
      <c r="U132" s="73"/>
      <c r="V132" s="73"/>
      <c r="W132" s="143"/>
      <c r="X132" s="45" t="str">
        <f>IF(M132="","",'Pricing Details'!D122+'Pricing Details'!Q122)</f>
        <v/>
      </c>
      <c r="Y132" s="45" t="str">
        <f>IF(M132="","",'Pricing Details'!V122)</f>
        <v/>
      </c>
      <c r="Z132" s="43" t="str">
        <f>IF(M132="","",'Pricing Details'!X122)</f>
        <v/>
      </c>
      <c r="AA132" s="183" t="str">
        <f>'Pricing Details'!Z122</f>
        <v/>
      </c>
      <c r="AB132" s="178" t="str">
        <f>'Pricing Details'!AC122</f>
        <v/>
      </c>
      <c r="AC132" s="79"/>
      <c r="AD132" s="41" t="str">
        <f>IFERROR(_xlfn.XLOOKUP(K132,Collection[Display],Collection[Line])&amp;_xlfn.XLOOKUP(L132,Sleeve[Display],Sleeve[Sleeve]),"")</f>
        <v/>
      </c>
    </row>
    <row r="133" spans="1:30" s="41" customFormat="1" ht="30" customHeight="1" x14ac:dyDescent="0.2">
      <c r="A133" s="79"/>
      <c r="B133" s="70">
        <v>120</v>
      </c>
      <c r="C133" s="71"/>
      <c r="D133" s="71"/>
      <c r="E133" s="274"/>
      <c r="F133" s="214"/>
      <c r="G133" s="191"/>
      <c r="H133" s="74"/>
      <c r="I133" s="74"/>
      <c r="J133" s="74"/>
      <c r="K133" s="74"/>
      <c r="L133" s="73"/>
      <c r="M133" s="74"/>
      <c r="N133" s="71"/>
      <c r="O133" s="74"/>
      <c r="P133" s="74"/>
      <c r="Q133" s="74"/>
      <c r="R133" s="73"/>
      <c r="S133" s="73"/>
      <c r="T133" s="73"/>
      <c r="U133" s="73"/>
      <c r="V133" s="73"/>
      <c r="W133" s="143"/>
      <c r="X133" s="45" t="str">
        <f>IF(M133="","",'Pricing Details'!D123+'Pricing Details'!Q123)</f>
        <v/>
      </c>
      <c r="Y133" s="45" t="str">
        <f>IF(M133="","",'Pricing Details'!V123)</f>
        <v/>
      </c>
      <c r="Z133" s="43" t="str">
        <f>IF(M133="","",'Pricing Details'!X123)</f>
        <v/>
      </c>
      <c r="AA133" s="183" t="str">
        <f>'Pricing Details'!Z123</f>
        <v/>
      </c>
      <c r="AB133" s="178" t="str">
        <f>'Pricing Details'!AC123</f>
        <v/>
      </c>
      <c r="AC133" s="79"/>
      <c r="AD133" s="41" t="str">
        <f>IFERROR(_xlfn.XLOOKUP(K133,Collection[Display],Collection[Line])&amp;_xlfn.XLOOKUP(L133,Sleeve[Display],Sleeve[Sleeve]),"")</f>
        <v/>
      </c>
    </row>
    <row r="134" spans="1:30" s="41" customFormat="1" ht="30" customHeight="1" x14ac:dyDescent="0.2">
      <c r="A134" s="79"/>
      <c r="B134" s="70">
        <v>121</v>
      </c>
      <c r="C134" s="71"/>
      <c r="D134" s="71"/>
      <c r="E134" s="274"/>
      <c r="F134" s="214"/>
      <c r="G134" s="191"/>
      <c r="H134" s="74"/>
      <c r="I134" s="74"/>
      <c r="J134" s="74"/>
      <c r="K134" s="74"/>
      <c r="L134" s="73"/>
      <c r="M134" s="74"/>
      <c r="N134" s="71"/>
      <c r="O134" s="74"/>
      <c r="P134" s="74"/>
      <c r="Q134" s="74"/>
      <c r="R134" s="73"/>
      <c r="S134" s="73"/>
      <c r="T134" s="73"/>
      <c r="U134" s="73"/>
      <c r="V134" s="73"/>
      <c r="W134" s="143"/>
      <c r="X134" s="45" t="str">
        <f>IF(M134="","",'Pricing Details'!D124+'Pricing Details'!Q124)</f>
        <v/>
      </c>
      <c r="Y134" s="45" t="str">
        <f>IF(M134="","",'Pricing Details'!V124)</f>
        <v/>
      </c>
      <c r="Z134" s="43" t="str">
        <f>IF(M134="","",'Pricing Details'!X124)</f>
        <v/>
      </c>
      <c r="AA134" s="183" t="str">
        <f>'Pricing Details'!Z124</f>
        <v/>
      </c>
      <c r="AB134" s="178" t="str">
        <f>'Pricing Details'!AC124</f>
        <v/>
      </c>
      <c r="AC134" s="79"/>
      <c r="AD134" s="41" t="str">
        <f>IFERROR(_xlfn.XLOOKUP(K134,Collection[Display],Collection[Line])&amp;_xlfn.XLOOKUP(L134,Sleeve[Display],Sleeve[Sleeve]),"")</f>
        <v/>
      </c>
    </row>
    <row r="135" spans="1:30" s="41" customFormat="1" ht="30" customHeight="1" x14ac:dyDescent="0.2">
      <c r="A135" s="79"/>
      <c r="B135" s="70">
        <v>122</v>
      </c>
      <c r="C135" s="71"/>
      <c r="D135" s="71"/>
      <c r="E135" s="274"/>
      <c r="F135" s="214"/>
      <c r="G135" s="191"/>
      <c r="H135" s="74"/>
      <c r="I135" s="74"/>
      <c r="J135" s="74"/>
      <c r="K135" s="74"/>
      <c r="L135" s="73"/>
      <c r="M135" s="74"/>
      <c r="N135" s="71"/>
      <c r="O135" s="74"/>
      <c r="P135" s="74"/>
      <c r="Q135" s="74"/>
      <c r="R135" s="73"/>
      <c r="S135" s="73"/>
      <c r="T135" s="73"/>
      <c r="U135" s="73"/>
      <c r="V135" s="73"/>
      <c r="W135" s="143"/>
      <c r="X135" s="45" t="str">
        <f>IF(M135="","",'Pricing Details'!D125+'Pricing Details'!Q125)</f>
        <v/>
      </c>
      <c r="Y135" s="45" t="str">
        <f>IF(M135="","",'Pricing Details'!V125)</f>
        <v/>
      </c>
      <c r="Z135" s="43" t="str">
        <f>IF(M135="","",'Pricing Details'!X125)</f>
        <v/>
      </c>
      <c r="AA135" s="183" t="str">
        <f>'Pricing Details'!Z125</f>
        <v/>
      </c>
      <c r="AB135" s="178" t="str">
        <f>'Pricing Details'!AC125</f>
        <v/>
      </c>
      <c r="AC135" s="79"/>
      <c r="AD135" s="41" t="str">
        <f>IFERROR(_xlfn.XLOOKUP(K135,Collection[Display],Collection[Line])&amp;_xlfn.XLOOKUP(L135,Sleeve[Display],Sleeve[Sleeve]),"")</f>
        <v/>
      </c>
    </row>
    <row r="136" spans="1:30" s="41" customFormat="1" ht="30" customHeight="1" x14ac:dyDescent="0.2">
      <c r="A136" s="79"/>
      <c r="B136" s="70">
        <v>123</v>
      </c>
      <c r="C136" s="71"/>
      <c r="D136" s="71"/>
      <c r="E136" s="274"/>
      <c r="F136" s="214"/>
      <c r="G136" s="191"/>
      <c r="H136" s="74"/>
      <c r="I136" s="74"/>
      <c r="J136" s="74"/>
      <c r="K136" s="74"/>
      <c r="L136" s="73"/>
      <c r="M136" s="74"/>
      <c r="N136" s="71"/>
      <c r="O136" s="74"/>
      <c r="P136" s="74"/>
      <c r="Q136" s="74"/>
      <c r="R136" s="73"/>
      <c r="S136" s="73"/>
      <c r="T136" s="73"/>
      <c r="U136" s="73"/>
      <c r="V136" s="73"/>
      <c r="W136" s="143"/>
      <c r="X136" s="45" t="str">
        <f>IF(M136="","",'Pricing Details'!D126+'Pricing Details'!Q126)</f>
        <v/>
      </c>
      <c r="Y136" s="45" t="str">
        <f>IF(M136="","",'Pricing Details'!V126)</f>
        <v/>
      </c>
      <c r="Z136" s="43" t="str">
        <f>IF(M136="","",'Pricing Details'!X126)</f>
        <v/>
      </c>
      <c r="AA136" s="183" t="str">
        <f>'Pricing Details'!Z126</f>
        <v/>
      </c>
      <c r="AB136" s="178" t="str">
        <f>'Pricing Details'!AC126</f>
        <v/>
      </c>
      <c r="AC136" s="79"/>
      <c r="AD136" s="41" t="str">
        <f>IFERROR(_xlfn.XLOOKUP(K136,Collection[Display],Collection[Line])&amp;_xlfn.XLOOKUP(L136,Sleeve[Display],Sleeve[Sleeve]),"")</f>
        <v/>
      </c>
    </row>
    <row r="137" spans="1:30" s="41" customFormat="1" ht="30" customHeight="1" x14ac:dyDescent="0.2">
      <c r="A137" s="79"/>
      <c r="B137" s="70">
        <v>124</v>
      </c>
      <c r="C137" s="71"/>
      <c r="D137" s="71"/>
      <c r="E137" s="274"/>
      <c r="F137" s="214"/>
      <c r="G137" s="191"/>
      <c r="H137" s="74"/>
      <c r="I137" s="74"/>
      <c r="J137" s="74"/>
      <c r="K137" s="74"/>
      <c r="L137" s="73"/>
      <c r="M137" s="74"/>
      <c r="N137" s="71"/>
      <c r="O137" s="74"/>
      <c r="P137" s="74"/>
      <c r="Q137" s="74"/>
      <c r="R137" s="73"/>
      <c r="S137" s="73"/>
      <c r="T137" s="73"/>
      <c r="U137" s="73"/>
      <c r="V137" s="73"/>
      <c r="W137" s="143"/>
      <c r="X137" s="45" t="str">
        <f>IF(M137="","",'Pricing Details'!D127+'Pricing Details'!Q127)</f>
        <v/>
      </c>
      <c r="Y137" s="45" t="str">
        <f>IF(M137="","",'Pricing Details'!V127)</f>
        <v/>
      </c>
      <c r="Z137" s="43" t="str">
        <f>IF(M137="","",'Pricing Details'!X127)</f>
        <v/>
      </c>
      <c r="AA137" s="183" t="str">
        <f>'Pricing Details'!Z127</f>
        <v/>
      </c>
      <c r="AB137" s="178" t="str">
        <f>'Pricing Details'!AC127</f>
        <v/>
      </c>
      <c r="AC137" s="79"/>
      <c r="AD137" s="41" t="str">
        <f>IFERROR(_xlfn.XLOOKUP(K137,Collection[Display],Collection[Line])&amp;_xlfn.XLOOKUP(L137,Sleeve[Display],Sleeve[Sleeve]),"")</f>
        <v/>
      </c>
    </row>
    <row r="138" spans="1:30" s="41" customFormat="1" ht="30" customHeight="1" x14ac:dyDescent="0.2">
      <c r="A138" s="79"/>
      <c r="B138" s="70">
        <v>125</v>
      </c>
      <c r="C138" s="71"/>
      <c r="D138" s="71"/>
      <c r="E138" s="274"/>
      <c r="F138" s="214"/>
      <c r="G138" s="191"/>
      <c r="H138" s="74"/>
      <c r="I138" s="74"/>
      <c r="J138" s="74"/>
      <c r="K138" s="74"/>
      <c r="L138" s="73"/>
      <c r="M138" s="74"/>
      <c r="N138" s="71"/>
      <c r="O138" s="74"/>
      <c r="P138" s="74"/>
      <c r="Q138" s="74"/>
      <c r="R138" s="73"/>
      <c r="S138" s="73"/>
      <c r="T138" s="73"/>
      <c r="U138" s="73"/>
      <c r="V138" s="73"/>
      <c r="W138" s="143"/>
      <c r="X138" s="45" t="str">
        <f>IF(M138="","",'Pricing Details'!D128+'Pricing Details'!Q128)</f>
        <v/>
      </c>
      <c r="Y138" s="45" t="str">
        <f>IF(M138="","",'Pricing Details'!V128)</f>
        <v/>
      </c>
      <c r="Z138" s="43" t="str">
        <f>IF(M138="","",'Pricing Details'!X128)</f>
        <v/>
      </c>
      <c r="AA138" s="183" t="str">
        <f>'Pricing Details'!Z128</f>
        <v/>
      </c>
      <c r="AB138" s="178" t="str">
        <f>'Pricing Details'!AC128</f>
        <v/>
      </c>
      <c r="AC138" s="79"/>
      <c r="AD138" s="41" t="str">
        <f>IFERROR(_xlfn.XLOOKUP(K138,Collection[Display],Collection[Line])&amp;_xlfn.XLOOKUP(L138,Sleeve[Display],Sleeve[Sleeve]),"")</f>
        <v/>
      </c>
    </row>
    <row r="139" spans="1:30" s="41" customFormat="1" ht="30" customHeight="1" x14ac:dyDescent="0.2">
      <c r="A139" s="79"/>
      <c r="B139" s="70">
        <v>126</v>
      </c>
      <c r="C139" s="71"/>
      <c r="D139" s="71"/>
      <c r="E139" s="274"/>
      <c r="F139" s="214"/>
      <c r="G139" s="191"/>
      <c r="H139" s="74"/>
      <c r="I139" s="74"/>
      <c r="J139" s="74"/>
      <c r="K139" s="74"/>
      <c r="L139" s="73"/>
      <c r="M139" s="74"/>
      <c r="N139" s="71"/>
      <c r="O139" s="74"/>
      <c r="P139" s="74"/>
      <c r="Q139" s="74"/>
      <c r="R139" s="73"/>
      <c r="S139" s="73"/>
      <c r="T139" s="73"/>
      <c r="U139" s="73"/>
      <c r="V139" s="73"/>
      <c r="W139" s="143"/>
      <c r="X139" s="45" t="str">
        <f>IF(M139="","",'Pricing Details'!D129+'Pricing Details'!Q129)</f>
        <v/>
      </c>
      <c r="Y139" s="45" t="str">
        <f>IF(M139="","",'Pricing Details'!V129)</f>
        <v/>
      </c>
      <c r="Z139" s="43" t="str">
        <f>IF(M139="","",'Pricing Details'!X129)</f>
        <v/>
      </c>
      <c r="AA139" s="183" t="str">
        <f>'Pricing Details'!Z129</f>
        <v/>
      </c>
      <c r="AB139" s="178" t="str">
        <f>'Pricing Details'!AC129</f>
        <v/>
      </c>
      <c r="AC139" s="79"/>
      <c r="AD139" s="41" t="str">
        <f>IFERROR(_xlfn.XLOOKUP(K139,Collection[Display],Collection[Line])&amp;_xlfn.XLOOKUP(L139,Sleeve[Display],Sleeve[Sleeve]),"")</f>
        <v/>
      </c>
    </row>
    <row r="140" spans="1:30" s="41" customFormat="1" ht="30" customHeight="1" x14ac:dyDescent="0.2">
      <c r="A140" s="79"/>
      <c r="B140" s="70">
        <v>127</v>
      </c>
      <c r="C140" s="71"/>
      <c r="D140" s="71"/>
      <c r="E140" s="274"/>
      <c r="F140" s="214"/>
      <c r="G140" s="191"/>
      <c r="H140" s="74"/>
      <c r="I140" s="74"/>
      <c r="J140" s="74"/>
      <c r="K140" s="74"/>
      <c r="L140" s="73"/>
      <c r="M140" s="74"/>
      <c r="N140" s="71"/>
      <c r="O140" s="74"/>
      <c r="P140" s="74"/>
      <c r="Q140" s="74"/>
      <c r="R140" s="73"/>
      <c r="S140" s="73"/>
      <c r="T140" s="73"/>
      <c r="U140" s="73"/>
      <c r="V140" s="73"/>
      <c r="W140" s="143"/>
      <c r="X140" s="45" t="str">
        <f>IF(M140="","",'Pricing Details'!D130+'Pricing Details'!Q130)</f>
        <v/>
      </c>
      <c r="Y140" s="45" t="str">
        <f>IF(M140="","",'Pricing Details'!V130)</f>
        <v/>
      </c>
      <c r="Z140" s="43" t="str">
        <f>IF(M140="","",'Pricing Details'!X130)</f>
        <v/>
      </c>
      <c r="AA140" s="183" t="str">
        <f>'Pricing Details'!Z130</f>
        <v/>
      </c>
      <c r="AB140" s="178" t="str">
        <f>'Pricing Details'!AC130</f>
        <v/>
      </c>
      <c r="AC140" s="79"/>
      <c r="AD140" s="41" t="str">
        <f>IFERROR(_xlfn.XLOOKUP(K140,Collection[Display],Collection[Line])&amp;_xlfn.XLOOKUP(L140,Sleeve[Display],Sleeve[Sleeve]),"")</f>
        <v/>
      </c>
    </row>
    <row r="141" spans="1:30" s="41" customFormat="1" ht="30" customHeight="1" x14ac:dyDescent="0.2">
      <c r="A141" s="79"/>
      <c r="B141" s="70">
        <v>128</v>
      </c>
      <c r="C141" s="71"/>
      <c r="D141" s="71"/>
      <c r="E141" s="274"/>
      <c r="F141" s="214"/>
      <c r="G141" s="191"/>
      <c r="H141" s="74"/>
      <c r="I141" s="74"/>
      <c r="J141" s="74"/>
      <c r="K141" s="74"/>
      <c r="L141" s="73"/>
      <c r="M141" s="74"/>
      <c r="N141" s="71"/>
      <c r="O141" s="74"/>
      <c r="P141" s="74"/>
      <c r="Q141" s="74"/>
      <c r="R141" s="73"/>
      <c r="S141" s="73"/>
      <c r="T141" s="73"/>
      <c r="U141" s="73"/>
      <c r="V141" s="73"/>
      <c r="W141" s="143"/>
      <c r="X141" s="45" t="str">
        <f>IF(M141="","",'Pricing Details'!D131+'Pricing Details'!Q131)</f>
        <v/>
      </c>
      <c r="Y141" s="45" t="str">
        <f>IF(M141="","",'Pricing Details'!V131)</f>
        <v/>
      </c>
      <c r="Z141" s="43" t="str">
        <f>IF(M141="","",'Pricing Details'!X131)</f>
        <v/>
      </c>
      <c r="AA141" s="183" t="str">
        <f>'Pricing Details'!Z131</f>
        <v/>
      </c>
      <c r="AB141" s="178" t="str">
        <f>'Pricing Details'!AC131</f>
        <v/>
      </c>
      <c r="AC141" s="79"/>
      <c r="AD141" s="41" t="str">
        <f>IFERROR(_xlfn.XLOOKUP(K141,Collection[Display],Collection[Line])&amp;_xlfn.XLOOKUP(L141,Sleeve[Display],Sleeve[Sleeve]),"")</f>
        <v/>
      </c>
    </row>
    <row r="142" spans="1:30" s="41" customFormat="1" ht="30" customHeight="1" x14ac:dyDescent="0.2">
      <c r="A142" s="79"/>
      <c r="B142" s="70">
        <v>129</v>
      </c>
      <c r="C142" s="71"/>
      <c r="D142" s="71"/>
      <c r="E142" s="274"/>
      <c r="F142" s="214"/>
      <c r="G142" s="191"/>
      <c r="H142" s="74"/>
      <c r="I142" s="74"/>
      <c r="J142" s="74"/>
      <c r="K142" s="74"/>
      <c r="L142" s="73"/>
      <c r="M142" s="74"/>
      <c r="N142" s="71"/>
      <c r="O142" s="74"/>
      <c r="P142" s="74"/>
      <c r="Q142" s="74"/>
      <c r="R142" s="73"/>
      <c r="S142" s="73"/>
      <c r="T142" s="73"/>
      <c r="U142" s="73"/>
      <c r="V142" s="73"/>
      <c r="W142" s="143"/>
      <c r="X142" s="45" t="str">
        <f>IF(M142="","",'Pricing Details'!D132+'Pricing Details'!Q132)</f>
        <v/>
      </c>
      <c r="Y142" s="45" t="str">
        <f>IF(M142="","",'Pricing Details'!V132)</f>
        <v/>
      </c>
      <c r="Z142" s="43" t="str">
        <f>IF(M142="","",'Pricing Details'!X132)</f>
        <v/>
      </c>
      <c r="AA142" s="183" t="str">
        <f>'Pricing Details'!Z132</f>
        <v/>
      </c>
      <c r="AB142" s="178" t="str">
        <f>'Pricing Details'!AC132</f>
        <v/>
      </c>
      <c r="AC142" s="79"/>
      <c r="AD142" s="41" t="str">
        <f>IFERROR(_xlfn.XLOOKUP(K142,Collection[Display],Collection[Line])&amp;_xlfn.XLOOKUP(L142,Sleeve[Display],Sleeve[Sleeve]),"")</f>
        <v/>
      </c>
    </row>
    <row r="143" spans="1:30" s="41" customFormat="1" ht="30" customHeight="1" x14ac:dyDescent="0.2">
      <c r="A143" s="79"/>
      <c r="B143" s="70">
        <v>130</v>
      </c>
      <c r="C143" s="71"/>
      <c r="D143" s="71"/>
      <c r="E143" s="274"/>
      <c r="F143" s="214"/>
      <c r="G143" s="191"/>
      <c r="H143" s="74"/>
      <c r="I143" s="74"/>
      <c r="J143" s="74"/>
      <c r="K143" s="74"/>
      <c r="L143" s="73"/>
      <c r="M143" s="74"/>
      <c r="N143" s="71"/>
      <c r="O143" s="74"/>
      <c r="P143" s="74"/>
      <c r="Q143" s="74"/>
      <c r="R143" s="73"/>
      <c r="S143" s="73"/>
      <c r="T143" s="73"/>
      <c r="U143" s="73"/>
      <c r="V143" s="73"/>
      <c r="W143" s="143"/>
      <c r="X143" s="45" t="str">
        <f>IF(M143="","",'Pricing Details'!D133+'Pricing Details'!Q133)</f>
        <v/>
      </c>
      <c r="Y143" s="45" t="str">
        <f>IF(M143="","",'Pricing Details'!V133)</f>
        <v/>
      </c>
      <c r="Z143" s="43" t="str">
        <f>IF(M143="","",'Pricing Details'!X133)</f>
        <v/>
      </c>
      <c r="AA143" s="183" t="str">
        <f>'Pricing Details'!Z133</f>
        <v/>
      </c>
      <c r="AB143" s="178" t="str">
        <f>'Pricing Details'!AC133</f>
        <v/>
      </c>
      <c r="AC143" s="79"/>
      <c r="AD143" s="41" t="str">
        <f>IFERROR(_xlfn.XLOOKUP(K143,Collection[Display],Collection[Line])&amp;_xlfn.XLOOKUP(L143,Sleeve[Display],Sleeve[Sleeve]),"")</f>
        <v/>
      </c>
    </row>
    <row r="144" spans="1:30" s="41" customFormat="1" ht="30" customHeight="1" x14ac:dyDescent="0.2">
      <c r="A144" s="79"/>
      <c r="B144" s="70">
        <v>131</v>
      </c>
      <c r="C144" s="71"/>
      <c r="D144" s="71"/>
      <c r="E144" s="274"/>
      <c r="F144" s="214"/>
      <c r="G144" s="191"/>
      <c r="H144" s="74"/>
      <c r="I144" s="74"/>
      <c r="J144" s="74"/>
      <c r="K144" s="74"/>
      <c r="L144" s="73"/>
      <c r="M144" s="74"/>
      <c r="N144" s="71"/>
      <c r="O144" s="74"/>
      <c r="P144" s="74"/>
      <c r="Q144" s="74"/>
      <c r="R144" s="73"/>
      <c r="S144" s="73"/>
      <c r="T144" s="73"/>
      <c r="U144" s="73"/>
      <c r="V144" s="73"/>
      <c r="W144" s="143"/>
      <c r="X144" s="45" t="str">
        <f>IF(M144="","",'Pricing Details'!D134+'Pricing Details'!Q134)</f>
        <v/>
      </c>
      <c r="Y144" s="45" t="str">
        <f>IF(M144="","",'Pricing Details'!V134)</f>
        <v/>
      </c>
      <c r="Z144" s="43" t="str">
        <f>IF(M144="","",'Pricing Details'!X134)</f>
        <v/>
      </c>
      <c r="AA144" s="183" t="str">
        <f>'Pricing Details'!Z134</f>
        <v/>
      </c>
      <c r="AB144" s="178" t="str">
        <f>'Pricing Details'!AC134</f>
        <v/>
      </c>
      <c r="AC144" s="79"/>
      <c r="AD144" s="41" t="str">
        <f>IFERROR(_xlfn.XLOOKUP(K144,Collection[Display],Collection[Line])&amp;_xlfn.XLOOKUP(L144,Sleeve[Display],Sleeve[Sleeve]),"")</f>
        <v/>
      </c>
    </row>
    <row r="145" spans="1:30" s="41" customFormat="1" ht="30" customHeight="1" x14ac:dyDescent="0.2">
      <c r="A145" s="79"/>
      <c r="B145" s="70">
        <v>132</v>
      </c>
      <c r="C145" s="71"/>
      <c r="D145" s="71"/>
      <c r="E145" s="274"/>
      <c r="F145" s="214"/>
      <c r="G145" s="191"/>
      <c r="H145" s="74"/>
      <c r="I145" s="74"/>
      <c r="J145" s="74"/>
      <c r="K145" s="74"/>
      <c r="L145" s="73"/>
      <c r="M145" s="74"/>
      <c r="N145" s="71"/>
      <c r="O145" s="74"/>
      <c r="P145" s="74"/>
      <c r="Q145" s="74"/>
      <c r="R145" s="73"/>
      <c r="S145" s="73"/>
      <c r="T145" s="73"/>
      <c r="U145" s="73"/>
      <c r="V145" s="73"/>
      <c r="W145" s="143"/>
      <c r="X145" s="45" t="str">
        <f>IF(M145="","",'Pricing Details'!D135+'Pricing Details'!Q135)</f>
        <v/>
      </c>
      <c r="Y145" s="45" t="str">
        <f>IF(M145="","",'Pricing Details'!V135)</f>
        <v/>
      </c>
      <c r="Z145" s="43" t="str">
        <f>IF(M145="","",'Pricing Details'!X135)</f>
        <v/>
      </c>
      <c r="AA145" s="183" t="str">
        <f>'Pricing Details'!Z135</f>
        <v/>
      </c>
      <c r="AB145" s="178" t="str">
        <f>'Pricing Details'!AC135</f>
        <v/>
      </c>
      <c r="AC145" s="79"/>
      <c r="AD145" s="41" t="str">
        <f>IFERROR(_xlfn.XLOOKUP(K145,Collection[Display],Collection[Line])&amp;_xlfn.XLOOKUP(L145,Sleeve[Display],Sleeve[Sleeve]),"")</f>
        <v/>
      </c>
    </row>
    <row r="146" spans="1:30" s="41" customFormat="1" ht="30" customHeight="1" x14ac:dyDescent="0.2">
      <c r="A146" s="79"/>
      <c r="B146" s="70">
        <v>133</v>
      </c>
      <c r="C146" s="71"/>
      <c r="D146" s="71"/>
      <c r="E146" s="274"/>
      <c r="F146" s="214"/>
      <c r="G146" s="191"/>
      <c r="H146" s="74"/>
      <c r="I146" s="74"/>
      <c r="J146" s="74"/>
      <c r="K146" s="74"/>
      <c r="L146" s="73"/>
      <c r="M146" s="74"/>
      <c r="N146" s="71"/>
      <c r="O146" s="74"/>
      <c r="P146" s="74"/>
      <c r="Q146" s="74"/>
      <c r="R146" s="73"/>
      <c r="S146" s="73"/>
      <c r="T146" s="73"/>
      <c r="U146" s="73"/>
      <c r="V146" s="73"/>
      <c r="W146" s="143"/>
      <c r="X146" s="45" t="str">
        <f>IF(M146="","",'Pricing Details'!D136+'Pricing Details'!Q136)</f>
        <v/>
      </c>
      <c r="Y146" s="45" t="str">
        <f>IF(M146="","",'Pricing Details'!V136)</f>
        <v/>
      </c>
      <c r="Z146" s="43" t="str">
        <f>IF(M146="","",'Pricing Details'!X136)</f>
        <v/>
      </c>
      <c r="AA146" s="183" t="str">
        <f>'Pricing Details'!Z136</f>
        <v/>
      </c>
      <c r="AB146" s="178" t="str">
        <f>'Pricing Details'!AC136</f>
        <v/>
      </c>
      <c r="AC146" s="79"/>
      <c r="AD146" s="41" t="str">
        <f>IFERROR(_xlfn.XLOOKUP(K146,Collection[Display],Collection[Line])&amp;_xlfn.XLOOKUP(L146,Sleeve[Display],Sleeve[Sleeve]),"")</f>
        <v/>
      </c>
    </row>
    <row r="147" spans="1:30" s="41" customFormat="1" ht="30" customHeight="1" x14ac:dyDescent="0.2">
      <c r="A147" s="79"/>
      <c r="B147" s="70">
        <v>134</v>
      </c>
      <c r="C147" s="71"/>
      <c r="D147" s="71"/>
      <c r="E147" s="274"/>
      <c r="F147" s="214"/>
      <c r="G147" s="191"/>
      <c r="H147" s="74"/>
      <c r="I147" s="74"/>
      <c r="J147" s="74"/>
      <c r="K147" s="74"/>
      <c r="L147" s="73"/>
      <c r="M147" s="74"/>
      <c r="N147" s="71"/>
      <c r="O147" s="74"/>
      <c r="P147" s="74"/>
      <c r="Q147" s="74"/>
      <c r="R147" s="73"/>
      <c r="S147" s="73"/>
      <c r="T147" s="73"/>
      <c r="U147" s="73"/>
      <c r="V147" s="73"/>
      <c r="W147" s="143"/>
      <c r="X147" s="45" t="str">
        <f>IF(M147="","",'Pricing Details'!D137+'Pricing Details'!Q137)</f>
        <v/>
      </c>
      <c r="Y147" s="45" t="str">
        <f>IF(M147="","",'Pricing Details'!V137)</f>
        <v/>
      </c>
      <c r="Z147" s="43" t="str">
        <f>IF(M147="","",'Pricing Details'!X137)</f>
        <v/>
      </c>
      <c r="AA147" s="183" t="str">
        <f>'Pricing Details'!Z137</f>
        <v/>
      </c>
      <c r="AB147" s="178" t="str">
        <f>'Pricing Details'!AC137</f>
        <v/>
      </c>
      <c r="AC147" s="79"/>
      <c r="AD147" s="41" t="str">
        <f>IFERROR(_xlfn.XLOOKUP(K147,Collection[Display],Collection[Line])&amp;_xlfn.XLOOKUP(L147,Sleeve[Display],Sleeve[Sleeve]),"")</f>
        <v/>
      </c>
    </row>
    <row r="148" spans="1:30" s="41" customFormat="1" ht="30" customHeight="1" x14ac:dyDescent="0.2">
      <c r="A148" s="79"/>
      <c r="B148" s="70">
        <v>135</v>
      </c>
      <c r="C148" s="71"/>
      <c r="D148" s="71"/>
      <c r="E148" s="274"/>
      <c r="F148" s="214"/>
      <c r="G148" s="191"/>
      <c r="H148" s="74"/>
      <c r="I148" s="74"/>
      <c r="J148" s="74"/>
      <c r="K148" s="74"/>
      <c r="L148" s="73"/>
      <c r="M148" s="74"/>
      <c r="N148" s="71"/>
      <c r="O148" s="74"/>
      <c r="P148" s="74"/>
      <c r="Q148" s="74"/>
      <c r="R148" s="73"/>
      <c r="S148" s="73"/>
      <c r="T148" s="73"/>
      <c r="U148" s="73"/>
      <c r="V148" s="73"/>
      <c r="W148" s="143"/>
      <c r="X148" s="45" t="str">
        <f>IF(M148="","",'Pricing Details'!D138+'Pricing Details'!Q138)</f>
        <v/>
      </c>
      <c r="Y148" s="45" t="str">
        <f>IF(M148="","",'Pricing Details'!V138)</f>
        <v/>
      </c>
      <c r="Z148" s="43" t="str">
        <f>IF(M148="","",'Pricing Details'!X138)</f>
        <v/>
      </c>
      <c r="AA148" s="183" t="str">
        <f>'Pricing Details'!Z138</f>
        <v/>
      </c>
      <c r="AB148" s="178" t="str">
        <f>'Pricing Details'!AC138</f>
        <v/>
      </c>
      <c r="AC148" s="79"/>
      <c r="AD148" s="41" t="str">
        <f>IFERROR(_xlfn.XLOOKUP(K148,Collection[Display],Collection[Line])&amp;_xlfn.XLOOKUP(L148,Sleeve[Display],Sleeve[Sleeve]),"")</f>
        <v/>
      </c>
    </row>
    <row r="149" spans="1:30" s="41" customFormat="1" ht="30" customHeight="1" x14ac:dyDescent="0.2">
      <c r="A149" s="79"/>
      <c r="B149" s="70">
        <v>136</v>
      </c>
      <c r="C149" s="71"/>
      <c r="D149" s="71"/>
      <c r="E149" s="274"/>
      <c r="F149" s="214"/>
      <c r="G149" s="191"/>
      <c r="H149" s="74"/>
      <c r="I149" s="74"/>
      <c r="J149" s="74"/>
      <c r="K149" s="74"/>
      <c r="L149" s="73"/>
      <c r="M149" s="74"/>
      <c r="N149" s="71"/>
      <c r="O149" s="74"/>
      <c r="P149" s="74"/>
      <c r="Q149" s="74"/>
      <c r="R149" s="73"/>
      <c r="S149" s="73"/>
      <c r="T149" s="73"/>
      <c r="U149" s="73"/>
      <c r="V149" s="73"/>
      <c r="W149" s="143"/>
      <c r="X149" s="45" t="str">
        <f>IF(M149="","",'Pricing Details'!D139+'Pricing Details'!Q139)</f>
        <v/>
      </c>
      <c r="Y149" s="45" t="str">
        <f>IF(M149="","",'Pricing Details'!V139)</f>
        <v/>
      </c>
      <c r="Z149" s="43" t="str">
        <f>IF(M149="","",'Pricing Details'!X139)</f>
        <v/>
      </c>
      <c r="AA149" s="183" t="str">
        <f>'Pricing Details'!Z139</f>
        <v/>
      </c>
      <c r="AB149" s="178" t="str">
        <f>'Pricing Details'!AC139</f>
        <v/>
      </c>
      <c r="AC149" s="79"/>
      <c r="AD149" s="41" t="str">
        <f>IFERROR(_xlfn.XLOOKUP(K149,Collection[Display],Collection[Line])&amp;_xlfn.XLOOKUP(L149,Sleeve[Display],Sleeve[Sleeve]),"")</f>
        <v/>
      </c>
    </row>
    <row r="150" spans="1:30" s="41" customFormat="1" ht="30" customHeight="1" x14ac:dyDescent="0.2">
      <c r="A150" s="79"/>
      <c r="B150" s="70">
        <v>137</v>
      </c>
      <c r="C150" s="71"/>
      <c r="D150" s="71"/>
      <c r="E150" s="274"/>
      <c r="F150" s="214"/>
      <c r="G150" s="191"/>
      <c r="H150" s="74"/>
      <c r="I150" s="74"/>
      <c r="J150" s="74"/>
      <c r="K150" s="74"/>
      <c r="L150" s="73"/>
      <c r="M150" s="74"/>
      <c r="N150" s="71"/>
      <c r="O150" s="74"/>
      <c r="P150" s="74"/>
      <c r="Q150" s="74"/>
      <c r="R150" s="73"/>
      <c r="S150" s="73"/>
      <c r="T150" s="73"/>
      <c r="U150" s="73"/>
      <c r="V150" s="73"/>
      <c r="W150" s="143"/>
      <c r="X150" s="45" t="str">
        <f>IF(M150="","",'Pricing Details'!D140+'Pricing Details'!Q140)</f>
        <v/>
      </c>
      <c r="Y150" s="45" t="str">
        <f>IF(M150="","",'Pricing Details'!V140)</f>
        <v/>
      </c>
      <c r="Z150" s="43" t="str">
        <f>IF(M150="","",'Pricing Details'!X140)</f>
        <v/>
      </c>
      <c r="AA150" s="183" t="str">
        <f>'Pricing Details'!Z140</f>
        <v/>
      </c>
      <c r="AB150" s="178" t="str">
        <f>'Pricing Details'!AC140</f>
        <v/>
      </c>
      <c r="AC150" s="79"/>
      <c r="AD150" s="41" t="str">
        <f>IFERROR(_xlfn.XLOOKUP(K150,Collection[Display],Collection[Line])&amp;_xlfn.XLOOKUP(L150,Sleeve[Display],Sleeve[Sleeve]),"")</f>
        <v/>
      </c>
    </row>
    <row r="151" spans="1:30" s="41" customFormat="1" ht="30" customHeight="1" x14ac:dyDescent="0.2">
      <c r="A151" s="79"/>
      <c r="B151" s="70">
        <v>138</v>
      </c>
      <c r="C151" s="71"/>
      <c r="D151" s="71"/>
      <c r="E151" s="274"/>
      <c r="F151" s="214"/>
      <c r="G151" s="191"/>
      <c r="H151" s="74"/>
      <c r="I151" s="74"/>
      <c r="J151" s="74"/>
      <c r="K151" s="74"/>
      <c r="L151" s="73"/>
      <c r="M151" s="74"/>
      <c r="N151" s="71"/>
      <c r="O151" s="74"/>
      <c r="P151" s="74"/>
      <c r="Q151" s="74"/>
      <c r="R151" s="73"/>
      <c r="S151" s="73"/>
      <c r="T151" s="73"/>
      <c r="U151" s="73"/>
      <c r="V151" s="73"/>
      <c r="W151" s="143"/>
      <c r="X151" s="45" t="str">
        <f>IF(M151="","",'Pricing Details'!D141+'Pricing Details'!Q141)</f>
        <v/>
      </c>
      <c r="Y151" s="45" t="str">
        <f>IF(M151="","",'Pricing Details'!V141)</f>
        <v/>
      </c>
      <c r="Z151" s="43" t="str">
        <f>IF(M151="","",'Pricing Details'!X141)</f>
        <v/>
      </c>
      <c r="AA151" s="183" t="str">
        <f>'Pricing Details'!Z141</f>
        <v/>
      </c>
      <c r="AB151" s="178" t="str">
        <f>'Pricing Details'!AC141</f>
        <v/>
      </c>
      <c r="AC151" s="79"/>
      <c r="AD151" s="41" t="str">
        <f>IFERROR(_xlfn.XLOOKUP(K151,Collection[Display],Collection[Line])&amp;_xlfn.XLOOKUP(L151,Sleeve[Display],Sleeve[Sleeve]),"")</f>
        <v/>
      </c>
    </row>
    <row r="152" spans="1:30" s="41" customFormat="1" ht="30" customHeight="1" x14ac:dyDescent="0.2">
      <c r="A152" s="79"/>
      <c r="B152" s="70">
        <v>139</v>
      </c>
      <c r="C152" s="71"/>
      <c r="D152" s="71"/>
      <c r="E152" s="274"/>
      <c r="F152" s="214"/>
      <c r="G152" s="191"/>
      <c r="H152" s="74"/>
      <c r="I152" s="74"/>
      <c r="J152" s="74"/>
      <c r="K152" s="74"/>
      <c r="L152" s="73"/>
      <c r="M152" s="74"/>
      <c r="N152" s="71"/>
      <c r="O152" s="74"/>
      <c r="P152" s="74"/>
      <c r="Q152" s="74"/>
      <c r="R152" s="73"/>
      <c r="S152" s="73"/>
      <c r="T152" s="73"/>
      <c r="U152" s="73"/>
      <c r="V152" s="73"/>
      <c r="W152" s="143"/>
      <c r="X152" s="45" t="str">
        <f>IF(M152="","",'Pricing Details'!D142+'Pricing Details'!Q142)</f>
        <v/>
      </c>
      <c r="Y152" s="45" t="str">
        <f>IF(M152="","",'Pricing Details'!V142)</f>
        <v/>
      </c>
      <c r="Z152" s="43" t="str">
        <f>IF(M152="","",'Pricing Details'!X142)</f>
        <v/>
      </c>
      <c r="AA152" s="183" t="str">
        <f>'Pricing Details'!Z142</f>
        <v/>
      </c>
      <c r="AB152" s="178" t="str">
        <f>'Pricing Details'!AC142</f>
        <v/>
      </c>
      <c r="AC152" s="79"/>
      <c r="AD152" s="41" t="str">
        <f>IFERROR(_xlfn.XLOOKUP(K152,Collection[Display],Collection[Line])&amp;_xlfn.XLOOKUP(L152,Sleeve[Display],Sleeve[Sleeve]),"")</f>
        <v/>
      </c>
    </row>
    <row r="153" spans="1:30" s="41" customFormat="1" ht="30" customHeight="1" x14ac:dyDescent="0.2">
      <c r="A153" s="79"/>
      <c r="B153" s="70">
        <v>140</v>
      </c>
      <c r="C153" s="71"/>
      <c r="D153" s="71"/>
      <c r="E153" s="274"/>
      <c r="F153" s="214"/>
      <c r="G153" s="191"/>
      <c r="H153" s="74"/>
      <c r="I153" s="74"/>
      <c r="J153" s="74"/>
      <c r="K153" s="74"/>
      <c r="L153" s="73"/>
      <c r="M153" s="74"/>
      <c r="N153" s="71"/>
      <c r="O153" s="74"/>
      <c r="P153" s="74"/>
      <c r="Q153" s="74"/>
      <c r="R153" s="73"/>
      <c r="S153" s="73"/>
      <c r="T153" s="73"/>
      <c r="U153" s="73"/>
      <c r="V153" s="73"/>
      <c r="W153" s="143"/>
      <c r="X153" s="45" t="str">
        <f>IF(M153="","",'Pricing Details'!D143+'Pricing Details'!Q143)</f>
        <v/>
      </c>
      <c r="Y153" s="45" t="str">
        <f>IF(M153="","",'Pricing Details'!V143)</f>
        <v/>
      </c>
      <c r="Z153" s="43" t="str">
        <f>IF(M153="","",'Pricing Details'!X143)</f>
        <v/>
      </c>
      <c r="AA153" s="183" t="str">
        <f>'Pricing Details'!Z143</f>
        <v/>
      </c>
      <c r="AB153" s="178" t="str">
        <f>'Pricing Details'!AC143</f>
        <v/>
      </c>
      <c r="AC153" s="79"/>
      <c r="AD153" s="41" t="str">
        <f>IFERROR(_xlfn.XLOOKUP(K153,Collection[Display],Collection[Line])&amp;_xlfn.XLOOKUP(L153,Sleeve[Display],Sleeve[Sleeve]),"")</f>
        <v/>
      </c>
    </row>
    <row r="154" spans="1:30" s="41" customFormat="1" ht="30" customHeight="1" x14ac:dyDescent="0.2">
      <c r="A154" s="79"/>
      <c r="B154" s="70">
        <v>141</v>
      </c>
      <c r="C154" s="71"/>
      <c r="D154" s="71"/>
      <c r="E154" s="274"/>
      <c r="F154" s="214"/>
      <c r="G154" s="191"/>
      <c r="H154" s="74"/>
      <c r="I154" s="74"/>
      <c r="J154" s="74"/>
      <c r="K154" s="74"/>
      <c r="L154" s="73"/>
      <c r="M154" s="74"/>
      <c r="N154" s="71"/>
      <c r="O154" s="74"/>
      <c r="P154" s="74"/>
      <c r="Q154" s="74"/>
      <c r="R154" s="73"/>
      <c r="S154" s="73"/>
      <c r="T154" s="73"/>
      <c r="U154" s="73"/>
      <c r="V154" s="73"/>
      <c r="W154" s="143"/>
      <c r="X154" s="45" t="str">
        <f>IF(M154="","",'Pricing Details'!D144+'Pricing Details'!Q144)</f>
        <v/>
      </c>
      <c r="Y154" s="45" t="str">
        <f>IF(M154="","",'Pricing Details'!V144)</f>
        <v/>
      </c>
      <c r="Z154" s="43" t="str">
        <f>IF(M154="","",'Pricing Details'!X144)</f>
        <v/>
      </c>
      <c r="AA154" s="183" t="str">
        <f>'Pricing Details'!Z144</f>
        <v/>
      </c>
      <c r="AB154" s="178" t="str">
        <f>'Pricing Details'!AC144</f>
        <v/>
      </c>
      <c r="AC154" s="79"/>
      <c r="AD154" s="41" t="str">
        <f>IFERROR(_xlfn.XLOOKUP(K154,Collection[Display],Collection[Line])&amp;_xlfn.XLOOKUP(L154,Sleeve[Display],Sleeve[Sleeve]),"")</f>
        <v/>
      </c>
    </row>
    <row r="155" spans="1:30" s="41" customFormat="1" ht="30" customHeight="1" x14ac:dyDescent="0.2">
      <c r="A155" s="79"/>
      <c r="B155" s="70">
        <v>142</v>
      </c>
      <c r="C155" s="71"/>
      <c r="D155" s="71"/>
      <c r="E155" s="274"/>
      <c r="F155" s="214"/>
      <c r="G155" s="191"/>
      <c r="H155" s="74"/>
      <c r="I155" s="74"/>
      <c r="J155" s="74"/>
      <c r="K155" s="74"/>
      <c r="L155" s="73"/>
      <c r="M155" s="74"/>
      <c r="N155" s="71"/>
      <c r="O155" s="74"/>
      <c r="P155" s="74"/>
      <c r="Q155" s="74"/>
      <c r="R155" s="73"/>
      <c r="S155" s="73"/>
      <c r="T155" s="73"/>
      <c r="U155" s="73"/>
      <c r="V155" s="73"/>
      <c r="W155" s="143"/>
      <c r="X155" s="45" t="str">
        <f>IF(M155="","",'Pricing Details'!D145+'Pricing Details'!Q145)</f>
        <v/>
      </c>
      <c r="Y155" s="45" t="str">
        <f>IF(M155="","",'Pricing Details'!V145)</f>
        <v/>
      </c>
      <c r="Z155" s="43" t="str">
        <f>IF(M155="","",'Pricing Details'!X145)</f>
        <v/>
      </c>
      <c r="AA155" s="183" t="str">
        <f>'Pricing Details'!Z145</f>
        <v/>
      </c>
      <c r="AB155" s="178" t="str">
        <f>'Pricing Details'!AC145</f>
        <v/>
      </c>
      <c r="AC155" s="79"/>
      <c r="AD155" s="41" t="str">
        <f>IFERROR(_xlfn.XLOOKUP(K155,Collection[Display],Collection[Line])&amp;_xlfn.XLOOKUP(L155,Sleeve[Display],Sleeve[Sleeve]),"")</f>
        <v/>
      </c>
    </row>
    <row r="156" spans="1:30" s="41" customFormat="1" ht="30" customHeight="1" x14ac:dyDescent="0.2">
      <c r="A156" s="79"/>
      <c r="B156" s="70">
        <v>143</v>
      </c>
      <c r="C156" s="71"/>
      <c r="D156" s="71"/>
      <c r="E156" s="274"/>
      <c r="F156" s="214"/>
      <c r="G156" s="191"/>
      <c r="H156" s="74"/>
      <c r="I156" s="74"/>
      <c r="J156" s="74"/>
      <c r="K156" s="74"/>
      <c r="L156" s="73"/>
      <c r="M156" s="74"/>
      <c r="N156" s="71"/>
      <c r="O156" s="74"/>
      <c r="P156" s="74"/>
      <c r="Q156" s="74"/>
      <c r="R156" s="73"/>
      <c r="S156" s="73"/>
      <c r="T156" s="73"/>
      <c r="U156" s="73"/>
      <c r="V156" s="73"/>
      <c r="W156" s="143"/>
      <c r="X156" s="45" t="str">
        <f>IF(M156="","",'Pricing Details'!D146+'Pricing Details'!Q146)</f>
        <v/>
      </c>
      <c r="Y156" s="45" t="str">
        <f>IF(M156="","",'Pricing Details'!V146)</f>
        <v/>
      </c>
      <c r="Z156" s="43" t="str">
        <f>IF(M156="","",'Pricing Details'!X146)</f>
        <v/>
      </c>
      <c r="AA156" s="183" t="str">
        <f>'Pricing Details'!Z146</f>
        <v/>
      </c>
      <c r="AB156" s="178" t="str">
        <f>'Pricing Details'!AC146</f>
        <v/>
      </c>
      <c r="AC156" s="79"/>
      <c r="AD156" s="41" t="str">
        <f>IFERROR(_xlfn.XLOOKUP(K156,Collection[Display],Collection[Line])&amp;_xlfn.XLOOKUP(L156,Sleeve[Display],Sleeve[Sleeve]),"")</f>
        <v/>
      </c>
    </row>
    <row r="157" spans="1:30" s="41" customFormat="1" ht="30" customHeight="1" x14ac:dyDescent="0.2">
      <c r="A157" s="79"/>
      <c r="B157" s="70">
        <v>144</v>
      </c>
      <c r="C157" s="71"/>
      <c r="D157" s="71"/>
      <c r="E157" s="274"/>
      <c r="F157" s="214"/>
      <c r="G157" s="191"/>
      <c r="H157" s="74"/>
      <c r="I157" s="74"/>
      <c r="J157" s="74"/>
      <c r="K157" s="74"/>
      <c r="L157" s="73"/>
      <c r="M157" s="74"/>
      <c r="N157" s="71"/>
      <c r="O157" s="74"/>
      <c r="P157" s="74"/>
      <c r="Q157" s="74"/>
      <c r="R157" s="73"/>
      <c r="S157" s="73"/>
      <c r="T157" s="73"/>
      <c r="U157" s="73"/>
      <c r="V157" s="73"/>
      <c r="W157" s="143"/>
      <c r="X157" s="45" t="str">
        <f>IF(M157="","",'Pricing Details'!D147+'Pricing Details'!Q147)</f>
        <v/>
      </c>
      <c r="Y157" s="45" t="str">
        <f>IF(M157="","",'Pricing Details'!V147)</f>
        <v/>
      </c>
      <c r="Z157" s="43" t="str">
        <f>IF(M157="","",'Pricing Details'!X147)</f>
        <v/>
      </c>
      <c r="AA157" s="183" t="str">
        <f>'Pricing Details'!Z147</f>
        <v/>
      </c>
      <c r="AB157" s="178" t="str">
        <f>'Pricing Details'!AC147</f>
        <v/>
      </c>
      <c r="AC157" s="79"/>
      <c r="AD157" s="41" t="str">
        <f>IFERROR(_xlfn.XLOOKUP(K157,Collection[Display],Collection[Line])&amp;_xlfn.XLOOKUP(L157,Sleeve[Display],Sleeve[Sleeve]),"")</f>
        <v/>
      </c>
    </row>
    <row r="158" spans="1:30" s="41" customFormat="1" ht="30" customHeight="1" x14ac:dyDescent="0.2">
      <c r="A158" s="79"/>
      <c r="B158" s="70">
        <v>145</v>
      </c>
      <c r="C158" s="71"/>
      <c r="D158" s="71"/>
      <c r="E158" s="274"/>
      <c r="F158" s="214"/>
      <c r="G158" s="191"/>
      <c r="H158" s="74"/>
      <c r="I158" s="74"/>
      <c r="J158" s="74"/>
      <c r="K158" s="74"/>
      <c r="L158" s="73"/>
      <c r="M158" s="74"/>
      <c r="N158" s="71"/>
      <c r="O158" s="74"/>
      <c r="P158" s="74"/>
      <c r="Q158" s="74"/>
      <c r="R158" s="73"/>
      <c r="S158" s="73"/>
      <c r="T158" s="73"/>
      <c r="U158" s="73"/>
      <c r="V158" s="73"/>
      <c r="W158" s="143"/>
      <c r="X158" s="45" t="str">
        <f>IF(M158="","",'Pricing Details'!D148+'Pricing Details'!Q148)</f>
        <v/>
      </c>
      <c r="Y158" s="45" t="str">
        <f>IF(M158="","",'Pricing Details'!V148)</f>
        <v/>
      </c>
      <c r="Z158" s="43" t="str">
        <f>IF(M158="","",'Pricing Details'!X148)</f>
        <v/>
      </c>
      <c r="AA158" s="183" t="str">
        <f>'Pricing Details'!Z148</f>
        <v/>
      </c>
      <c r="AB158" s="178" t="str">
        <f>'Pricing Details'!AC148</f>
        <v/>
      </c>
      <c r="AC158" s="79"/>
      <c r="AD158" s="41" t="str">
        <f>IFERROR(_xlfn.XLOOKUP(K158,Collection[Display],Collection[Line])&amp;_xlfn.XLOOKUP(L158,Sleeve[Display],Sleeve[Sleeve]),"")</f>
        <v/>
      </c>
    </row>
    <row r="159" spans="1:30" s="41" customFormat="1" ht="30" customHeight="1" x14ac:dyDescent="0.2">
      <c r="A159" s="79"/>
      <c r="B159" s="70">
        <v>146</v>
      </c>
      <c r="C159" s="71"/>
      <c r="D159" s="71"/>
      <c r="E159" s="274"/>
      <c r="F159" s="214"/>
      <c r="G159" s="191"/>
      <c r="H159" s="74"/>
      <c r="I159" s="74"/>
      <c r="J159" s="74"/>
      <c r="K159" s="74"/>
      <c r="L159" s="73"/>
      <c r="M159" s="74"/>
      <c r="N159" s="71"/>
      <c r="O159" s="74"/>
      <c r="P159" s="74"/>
      <c r="Q159" s="74"/>
      <c r="R159" s="73"/>
      <c r="S159" s="73"/>
      <c r="T159" s="73"/>
      <c r="U159" s="73"/>
      <c r="V159" s="73"/>
      <c r="W159" s="143"/>
      <c r="X159" s="45" t="str">
        <f>IF(M159="","",'Pricing Details'!D149+'Pricing Details'!Q149)</f>
        <v/>
      </c>
      <c r="Y159" s="45" t="str">
        <f>IF(M159="","",'Pricing Details'!V149)</f>
        <v/>
      </c>
      <c r="Z159" s="43" t="str">
        <f>IF(M159="","",'Pricing Details'!X149)</f>
        <v/>
      </c>
      <c r="AA159" s="183" t="str">
        <f>'Pricing Details'!Z149</f>
        <v/>
      </c>
      <c r="AB159" s="178" t="str">
        <f>'Pricing Details'!AC149</f>
        <v/>
      </c>
      <c r="AC159" s="79"/>
      <c r="AD159" s="41" t="str">
        <f>IFERROR(_xlfn.XLOOKUP(K159,Collection[Display],Collection[Line])&amp;_xlfn.XLOOKUP(L159,Sleeve[Display],Sleeve[Sleeve]),"")</f>
        <v/>
      </c>
    </row>
    <row r="160" spans="1:30" s="41" customFormat="1" ht="30" customHeight="1" x14ac:dyDescent="0.2">
      <c r="A160" s="79"/>
      <c r="B160" s="70">
        <v>147</v>
      </c>
      <c r="C160" s="71"/>
      <c r="D160" s="71"/>
      <c r="E160" s="274"/>
      <c r="F160" s="214"/>
      <c r="G160" s="191"/>
      <c r="H160" s="74"/>
      <c r="I160" s="74"/>
      <c r="J160" s="74"/>
      <c r="K160" s="74"/>
      <c r="L160" s="73"/>
      <c r="M160" s="74"/>
      <c r="N160" s="71"/>
      <c r="O160" s="74"/>
      <c r="P160" s="74"/>
      <c r="Q160" s="74"/>
      <c r="R160" s="73"/>
      <c r="S160" s="73"/>
      <c r="T160" s="73"/>
      <c r="U160" s="73"/>
      <c r="V160" s="73"/>
      <c r="W160" s="143"/>
      <c r="X160" s="45" t="str">
        <f>IF(M160="","",'Pricing Details'!D150+'Pricing Details'!Q150)</f>
        <v/>
      </c>
      <c r="Y160" s="45" t="str">
        <f>IF(M160="","",'Pricing Details'!V150)</f>
        <v/>
      </c>
      <c r="Z160" s="43" t="str">
        <f>IF(M160="","",'Pricing Details'!X150)</f>
        <v/>
      </c>
      <c r="AA160" s="183" t="str">
        <f>'Pricing Details'!Z150</f>
        <v/>
      </c>
      <c r="AB160" s="178" t="str">
        <f>'Pricing Details'!AC150</f>
        <v/>
      </c>
      <c r="AC160" s="79"/>
      <c r="AD160" s="41" t="str">
        <f>IFERROR(_xlfn.XLOOKUP(K160,Collection[Display],Collection[Line])&amp;_xlfn.XLOOKUP(L160,Sleeve[Display],Sleeve[Sleeve]),"")</f>
        <v/>
      </c>
    </row>
    <row r="161" spans="1:30" s="41" customFormat="1" ht="30" customHeight="1" x14ac:dyDescent="0.2">
      <c r="A161" s="79"/>
      <c r="B161" s="70">
        <v>148</v>
      </c>
      <c r="C161" s="71"/>
      <c r="D161" s="71"/>
      <c r="E161" s="274"/>
      <c r="F161" s="214"/>
      <c r="G161" s="191"/>
      <c r="H161" s="74"/>
      <c r="I161" s="74"/>
      <c r="J161" s="74"/>
      <c r="K161" s="74"/>
      <c r="L161" s="73"/>
      <c r="M161" s="74"/>
      <c r="N161" s="71"/>
      <c r="O161" s="74"/>
      <c r="P161" s="74"/>
      <c r="Q161" s="74"/>
      <c r="R161" s="73"/>
      <c r="S161" s="73"/>
      <c r="T161" s="73"/>
      <c r="U161" s="73"/>
      <c r="V161" s="73"/>
      <c r="W161" s="143"/>
      <c r="X161" s="45" t="str">
        <f>IF(M161="","",'Pricing Details'!D151+'Pricing Details'!Q151)</f>
        <v/>
      </c>
      <c r="Y161" s="45" t="str">
        <f>IF(M161="","",'Pricing Details'!V151)</f>
        <v/>
      </c>
      <c r="Z161" s="43" t="str">
        <f>IF(M161="","",'Pricing Details'!X151)</f>
        <v/>
      </c>
      <c r="AA161" s="183" t="str">
        <f>'Pricing Details'!Z151</f>
        <v/>
      </c>
      <c r="AB161" s="178" t="str">
        <f>'Pricing Details'!AC151</f>
        <v/>
      </c>
      <c r="AC161" s="79"/>
      <c r="AD161" s="41" t="str">
        <f>IFERROR(_xlfn.XLOOKUP(K161,Collection[Display],Collection[Line])&amp;_xlfn.XLOOKUP(L161,Sleeve[Display],Sleeve[Sleeve]),"")</f>
        <v/>
      </c>
    </row>
    <row r="162" spans="1:30" s="41" customFormat="1" ht="30" customHeight="1" x14ac:dyDescent="0.2">
      <c r="A162" s="79"/>
      <c r="B162" s="70">
        <v>149</v>
      </c>
      <c r="C162" s="71"/>
      <c r="D162" s="71"/>
      <c r="E162" s="274"/>
      <c r="F162" s="214"/>
      <c r="G162" s="191"/>
      <c r="H162" s="74"/>
      <c r="I162" s="74"/>
      <c r="J162" s="74"/>
      <c r="K162" s="74"/>
      <c r="L162" s="73"/>
      <c r="M162" s="74"/>
      <c r="N162" s="71"/>
      <c r="O162" s="74"/>
      <c r="P162" s="74"/>
      <c r="Q162" s="74"/>
      <c r="R162" s="73"/>
      <c r="S162" s="73"/>
      <c r="T162" s="73"/>
      <c r="U162" s="73"/>
      <c r="V162" s="73"/>
      <c r="W162" s="143"/>
      <c r="X162" s="45" t="str">
        <f>IF(M162="","",'Pricing Details'!D152+'Pricing Details'!Q152)</f>
        <v/>
      </c>
      <c r="Y162" s="45" t="str">
        <f>IF(M162="","",'Pricing Details'!V152)</f>
        <v/>
      </c>
      <c r="Z162" s="43" t="str">
        <f>IF(M162="","",'Pricing Details'!X152)</f>
        <v/>
      </c>
      <c r="AA162" s="183" t="str">
        <f>'Pricing Details'!Z152</f>
        <v/>
      </c>
      <c r="AB162" s="178" t="str">
        <f>'Pricing Details'!AC152</f>
        <v/>
      </c>
      <c r="AC162" s="79"/>
      <c r="AD162" s="41" t="str">
        <f>IFERROR(_xlfn.XLOOKUP(K162,Collection[Display],Collection[Line])&amp;_xlfn.XLOOKUP(L162,Sleeve[Display],Sleeve[Sleeve]),"")</f>
        <v/>
      </c>
    </row>
    <row r="163" spans="1:30" s="41" customFormat="1" ht="30" customHeight="1" x14ac:dyDescent="0.2">
      <c r="A163" s="79"/>
      <c r="B163" s="70">
        <v>150</v>
      </c>
      <c r="C163" s="71"/>
      <c r="D163" s="71"/>
      <c r="E163" s="274"/>
      <c r="F163" s="214"/>
      <c r="G163" s="191"/>
      <c r="H163" s="74"/>
      <c r="I163" s="74"/>
      <c r="J163" s="74"/>
      <c r="K163" s="74"/>
      <c r="L163" s="73"/>
      <c r="M163" s="74"/>
      <c r="N163" s="71"/>
      <c r="O163" s="74"/>
      <c r="P163" s="74"/>
      <c r="Q163" s="74"/>
      <c r="R163" s="73"/>
      <c r="S163" s="73"/>
      <c r="T163" s="73"/>
      <c r="U163" s="73"/>
      <c r="V163" s="73"/>
      <c r="W163" s="143"/>
      <c r="X163" s="45" t="str">
        <f>IF(M163="","",'Pricing Details'!D153+'Pricing Details'!Q153)</f>
        <v/>
      </c>
      <c r="Y163" s="45" t="str">
        <f>IF(M163="","",'Pricing Details'!V153)</f>
        <v/>
      </c>
      <c r="Z163" s="43" t="str">
        <f>IF(M163="","",'Pricing Details'!X153)</f>
        <v/>
      </c>
      <c r="AA163" s="183" t="str">
        <f>'Pricing Details'!Z153</f>
        <v/>
      </c>
      <c r="AB163" s="178" t="str">
        <f>'Pricing Details'!AC153</f>
        <v/>
      </c>
      <c r="AC163" s="79"/>
      <c r="AD163" s="41" t="str">
        <f>IFERROR(_xlfn.XLOOKUP(K163,Collection[Display],Collection[Line])&amp;_xlfn.XLOOKUP(L163,Sleeve[Display],Sleeve[Sleeve]),"")</f>
        <v/>
      </c>
    </row>
    <row r="164" spans="1:30" s="41" customFormat="1" ht="30" customHeight="1" x14ac:dyDescent="0.2">
      <c r="A164" s="79"/>
      <c r="B164" s="70">
        <v>151</v>
      </c>
      <c r="C164" s="71"/>
      <c r="D164" s="71"/>
      <c r="E164" s="274"/>
      <c r="F164" s="214"/>
      <c r="G164" s="191"/>
      <c r="H164" s="74"/>
      <c r="I164" s="74"/>
      <c r="J164" s="74"/>
      <c r="K164" s="74"/>
      <c r="L164" s="73"/>
      <c r="M164" s="74"/>
      <c r="N164" s="71"/>
      <c r="O164" s="74"/>
      <c r="P164" s="74"/>
      <c r="Q164" s="74"/>
      <c r="R164" s="73"/>
      <c r="S164" s="73"/>
      <c r="T164" s="73"/>
      <c r="U164" s="73"/>
      <c r="V164" s="73"/>
      <c r="W164" s="143"/>
      <c r="X164" s="45" t="str">
        <f>IF(M164="","",'Pricing Details'!D154+'Pricing Details'!Q154)</f>
        <v/>
      </c>
      <c r="Y164" s="45" t="str">
        <f>IF(M164="","",'Pricing Details'!V154)</f>
        <v/>
      </c>
      <c r="Z164" s="43" t="str">
        <f>IF(M164="","",'Pricing Details'!X154)</f>
        <v/>
      </c>
      <c r="AA164" s="183" t="str">
        <f>'Pricing Details'!Z154</f>
        <v/>
      </c>
      <c r="AB164" s="178" t="str">
        <f>'Pricing Details'!AC154</f>
        <v/>
      </c>
      <c r="AC164" s="79"/>
      <c r="AD164" s="41" t="str">
        <f>IFERROR(_xlfn.XLOOKUP(K164,Collection[Display],Collection[Line])&amp;_xlfn.XLOOKUP(L164,Sleeve[Display],Sleeve[Sleeve]),"")</f>
        <v/>
      </c>
    </row>
    <row r="165" spans="1:30" s="41" customFormat="1" ht="30" customHeight="1" x14ac:dyDescent="0.2">
      <c r="A165" s="79"/>
      <c r="B165" s="70">
        <v>152</v>
      </c>
      <c r="C165" s="71"/>
      <c r="D165" s="71"/>
      <c r="E165" s="274"/>
      <c r="F165" s="214"/>
      <c r="G165" s="191"/>
      <c r="H165" s="74"/>
      <c r="I165" s="74"/>
      <c r="J165" s="74"/>
      <c r="K165" s="74"/>
      <c r="L165" s="73"/>
      <c r="M165" s="74"/>
      <c r="N165" s="71"/>
      <c r="O165" s="74"/>
      <c r="P165" s="74"/>
      <c r="Q165" s="74"/>
      <c r="R165" s="73"/>
      <c r="S165" s="73"/>
      <c r="T165" s="73"/>
      <c r="U165" s="73"/>
      <c r="V165" s="73"/>
      <c r="W165" s="143"/>
      <c r="X165" s="45" t="str">
        <f>IF(M165="","",'Pricing Details'!D155+'Pricing Details'!Q155)</f>
        <v/>
      </c>
      <c r="Y165" s="45" t="str">
        <f>IF(M165="","",'Pricing Details'!V155)</f>
        <v/>
      </c>
      <c r="Z165" s="43" t="str">
        <f>IF(M165="","",'Pricing Details'!X155)</f>
        <v/>
      </c>
      <c r="AA165" s="183" t="str">
        <f>'Pricing Details'!Z155</f>
        <v/>
      </c>
      <c r="AB165" s="178" t="str">
        <f>'Pricing Details'!AC155</f>
        <v/>
      </c>
      <c r="AC165" s="79"/>
      <c r="AD165" s="41" t="str">
        <f>IFERROR(_xlfn.XLOOKUP(K165,Collection[Display],Collection[Line])&amp;_xlfn.XLOOKUP(L165,Sleeve[Display],Sleeve[Sleeve]),"")</f>
        <v/>
      </c>
    </row>
    <row r="166" spans="1:30" s="41" customFormat="1" ht="30" customHeight="1" x14ac:dyDescent="0.2">
      <c r="A166" s="79"/>
      <c r="B166" s="70">
        <v>153</v>
      </c>
      <c r="C166" s="71"/>
      <c r="D166" s="71"/>
      <c r="E166" s="274"/>
      <c r="F166" s="214"/>
      <c r="G166" s="191"/>
      <c r="H166" s="74"/>
      <c r="I166" s="74"/>
      <c r="J166" s="74"/>
      <c r="K166" s="74"/>
      <c r="L166" s="73"/>
      <c r="M166" s="74"/>
      <c r="N166" s="71"/>
      <c r="O166" s="74"/>
      <c r="P166" s="74"/>
      <c r="Q166" s="74"/>
      <c r="R166" s="73"/>
      <c r="S166" s="73"/>
      <c r="T166" s="73"/>
      <c r="U166" s="73"/>
      <c r="V166" s="73"/>
      <c r="W166" s="143"/>
      <c r="X166" s="45" t="str">
        <f>IF(M166="","",'Pricing Details'!D156+'Pricing Details'!Q156)</f>
        <v/>
      </c>
      <c r="Y166" s="45" t="str">
        <f>IF(M166="","",'Pricing Details'!V156)</f>
        <v/>
      </c>
      <c r="Z166" s="43" t="str">
        <f>IF(M166="","",'Pricing Details'!X156)</f>
        <v/>
      </c>
      <c r="AA166" s="183" t="str">
        <f>'Pricing Details'!Z156</f>
        <v/>
      </c>
      <c r="AB166" s="178" t="str">
        <f>'Pricing Details'!AC156</f>
        <v/>
      </c>
      <c r="AC166" s="79"/>
      <c r="AD166" s="41" t="str">
        <f>IFERROR(_xlfn.XLOOKUP(K166,Collection[Display],Collection[Line])&amp;_xlfn.XLOOKUP(L166,Sleeve[Display],Sleeve[Sleeve]),"")</f>
        <v/>
      </c>
    </row>
    <row r="167" spans="1:30" s="41" customFormat="1" ht="30" customHeight="1" x14ac:dyDescent="0.2">
      <c r="A167" s="79"/>
      <c r="B167" s="70">
        <v>154</v>
      </c>
      <c r="C167" s="71"/>
      <c r="D167" s="71"/>
      <c r="E167" s="274"/>
      <c r="F167" s="214"/>
      <c r="G167" s="191"/>
      <c r="H167" s="74"/>
      <c r="I167" s="74"/>
      <c r="J167" s="74"/>
      <c r="K167" s="74"/>
      <c r="L167" s="73"/>
      <c r="M167" s="74"/>
      <c r="N167" s="71"/>
      <c r="O167" s="74"/>
      <c r="P167" s="74"/>
      <c r="Q167" s="74"/>
      <c r="R167" s="73"/>
      <c r="S167" s="73"/>
      <c r="T167" s="73"/>
      <c r="U167" s="73"/>
      <c r="V167" s="73"/>
      <c r="W167" s="143"/>
      <c r="X167" s="45" t="str">
        <f>IF(M167="","",'Pricing Details'!D157+'Pricing Details'!Q157)</f>
        <v/>
      </c>
      <c r="Y167" s="45" t="str">
        <f>IF(M167="","",'Pricing Details'!V157)</f>
        <v/>
      </c>
      <c r="Z167" s="43" t="str">
        <f>IF(M167="","",'Pricing Details'!X157)</f>
        <v/>
      </c>
      <c r="AA167" s="183" t="str">
        <f>'Pricing Details'!Z157</f>
        <v/>
      </c>
      <c r="AB167" s="178" t="str">
        <f>'Pricing Details'!AC157</f>
        <v/>
      </c>
      <c r="AC167" s="79"/>
      <c r="AD167" s="41" t="str">
        <f>IFERROR(_xlfn.XLOOKUP(K167,Collection[Display],Collection[Line])&amp;_xlfn.XLOOKUP(L167,Sleeve[Display],Sleeve[Sleeve]),"")</f>
        <v/>
      </c>
    </row>
    <row r="168" spans="1:30" s="41" customFormat="1" ht="30" customHeight="1" x14ac:dyDescent="0.2">
      <c r="A168" s="79"/>
      <c r="B168" s="70">
        <v>155</v>
      </c>
      <c r="C168" s="71"/>
      <c r="D168" s="71"/>
      <c r="E168" s="274"/>
      <c r="F168" s="214"/>
      <c r="G168" s="191"/>
      <c r="H168" s="74"/>
      <c r="I168" s="74"/>
      <c r="J168" s="74"/>
      <c r="K168" s="74"/>
      <c r="L168" s="73"/>
      <c r="M168" s="74"/>
      <c r="N168" s="71"/>
      <c r="O168" s="74"/>
      <c r="P168" s="74"/>
      <c r="Q168" s="74"/>
      <c r="R168" s="73"/>
      <c r="S168" s="73"/>
      <c r="T168" s="73"/>
      <c r="U168" s="73"/>
      <c r="V168" s="73"/>
      <c r="W168" s="143"/>
      <c r="X168" s="45" t="str">
        <f>IF(M168="","",'Pricing Details'!D158+'Pricing Details'!Q158)</f>
        <v/>
      </c>
      <c r="Y168" s="45" t="str">
        <f>IF(M168="","",'Pricing Details'!V158)</f>
        <v/>
      </c>
      <c r="Z168" s="43" t="str">
        <f>IF(M168="","",'Pricing Details'!X158)</f>
        <v/>
      </c>
      <c r="AA168" s="183" t="str">
        <f>'Pricing Details'!Z158</f>
        <v/>
      </c>
      <c r="AB168" s="178" t="str">
        <f>'Pricing Details'!AC158</f>
        <v/>
      </c>
      <c r="AC168" s="79"/>
      <c r="AD168" s="41" t="str">
        <f>IFERROR(_xlfn.XLOOKUP(K168,Collection[Display],Collection[Line])&amp;_xlfn.XLOOKUP(L168,Sleeve[Display],Sleeve[Sleeve]),"")</f>
        <v/>
      </c>
    </row>
    <row r="169" spans="1:30" s="41" customFormat="1" ht="30" customHeight="1" x14ac:dyDescent="0.2">
      <c r="A169" s="79"/>
      <c r="B169" s="70">
        <v>156</v>
      </c>
      <c r="C169" s="71"/>
      <c r="D169" s="71"/>
      <c r="E169" s="274"/>
      <c r="F169" s="214"/>
      <c r="G169" s="191"/>
      <c r="H169" s="74"/>
      <c r="I169" s="74"/>
      <c r="J169" s="74"/>
      <c r="K169" s="74"/>
      <c r="L169" s="73"/>
      <c r="M169" s="74"/>
      <c r="N169" s="71"/>
      <c r="O169" s="74"/>
      <c r="P169" s="74"/>
      <c r="Q169" s="74"/>
      <c r="R169" s="73"/>
      <c r="S169" s="73"/>
      <c r="T169" s="73"/>
      <c r="U169" s="73"/>
      <c r="V169" s="73"/>
      <c r="W169" s="143"/>
      <c r="X169" s="45" t="str">
        <f>IF(M169="","",'Pricing Details'!D159+'Pricing Details'!Q159)</f>
        <v/>
      </c>
      <c r="Y169" s="45" t="str">
        <f>IF(M169="","",'Pricing Details'!V159)</f>
        <v/>
      </c>
      <c r="Z169" s="43" t="str">
        <f>IF(M169="","",'Pricing Details'!X159)</f>
        <v/>
      </c>
      <c r="AA169" s="183" t="str">
        <f>'Pricing Details'!Z159</f>
        <v/>
      </c>
      <c r="AB169" s="178" t="str">
        <f>'Pricing Details'!AC159</f>
        <v/>
      </c>
      <c r="AC169" s="79"/>
      <c r="AD169" s="41" t="str">
        <f>IFERROR(_xlfn.XLOOKUP(K169,Collection[Display],Collection[Line])&amp;_xlfn.XLOOKUP(L169,Sleeve[Display],Sleeve[Sleeve]),"")</f>
        <v/>
      </c>
    </row>
    <row r="170" spans="1:30" s="41" customFormat="1" ht="30" customHeight="1" x14ac:dyDescent="0.2">
      <c r="A170" s="79"/>
      <c r="B170" s="70">
        <v>157</v>
      </c>
      <c r="C170" s="71"/>
      <c r="D170" s="71"/>
      <c r="E170" s="274"/>
      <c r="F170" s="214"/>
      <c r="G170" s="191"/>
      <c r="H170" s="74"/>
      <c r="I170" s="74"/>
      <c r="J170" s="74"/>
      <c r="K170" s="74"/>
      <c r="L170" s="73"/>
      <c r="M170" s="74"/>
      <c r="N170" s="71"/>
      <c r="O170" s="74"/>
      <c r="P170" s="74"/>
      <c r="Q170" s="74"/>
      <c r="R170" s="73"/>
      <c r="S170" s="73"/>
      <c r="T170" s="73"/>
      <c r="U170" s="73"/>
      <c r="V170" s="73"/>
      <c r="W170" s="143"/>
      <c r="X170" s="45" t="str">
        <f>IF(M170="","",'Pricing Details'!D160+'Pricing Details'!Q160)</f>
        <v/>
      </c>
      <c r="Y170" s="45" t="str">
        <f>IF(M170="","",'Pricing Details'!V160)</f>
        <v/>
      </c>
      <c r="Z170" s="43" t="str">
        <f>IF(M170="","",'Pricing Details'!X160)</f>
        <v/>
      </c>
      <c r="AA170" s="183" t="str">
        <f>'Pricing Details'!Z160</f>
        <v/>
      </c>
      <c r="AB170" s="178" t="str">
        <f>'Pricing Details'!AC160</f>
        <v/>
      </c>
      <c r="AC170" s="79"/>
      <c r="AD170" s="41" t="str">
        <f>IFERROR(_xlfn.XLOOKUP(K170,Collection[Display],Collection[Line])&amp;_xlfn.XLOOKUP(L170,Sleeve[Display],Sleeve[Sleeve]),"")</f>
        <v/>
      </c>
    </row>
    <row r="171" spans="1:30" s="41" customFormat="1" ht="30" customHeight="1" x14ac:dyDescent="0.2">
      <c r="A171" s="79"/>
      <c r="B171" s="70">
        <v>158</v>
      </c>
      <c r="C171" s="71"/>
      <c r="D171" s="71"/>
      <c r="E171" s="274"/>
      <c r="F171" s="214"/>
      <c r="G171" s="191"/>
      <c r="H171" s="74"/>
      <c r="I171" s="74"/>
      <c r="J171" s="74"/>
      <c r="K171" s="74"/>
      <c r="L171" s="73"/>
      <c r="M171" s="74"/>
      <c r="N171" s="71"/>
      <c r="O171" s="74"/>
      <c r="P171" s="74"/>
      <c r="Q171" s="74"/>
      <c r="R171" s="73"/>
      <c r="S171" s="73"/>
      <c r="T171" s="73"/>
      <c r="U171" s="73"/>
      <c r="V171" s="73"/>
      <c r="W171" s="143"/>
      <c r="X171" s="45" t="str">
        <f>IF(M171="","",'Pricing Details'!D161+'Pricing Details'!Q161)</f>
        <v/>
      </c>
      <c r="Y171" s="45" t="str">
        <f>IF(M171="","",'Pricing Details'!V161)</f>
        <v/>
      </c>
      <c r="Z171" s="43" t="str">
        <f>IF(M171="","",'Pricing Details'!X161)</f>
        <v/>
      </c>
      <c r="AA171" s="183" t="str">
        <f>'Pricing Details'!Z161</f>
        <v/>
      </c>
      <c r="AB171" s="178" t="str">
        <f>'Pricing Details'!AC161</f>
        <v/>
      </c>
      <c r="AC171" s="79"/>
      <c r="AD171" s="41" t="str">
        <f>IFERROR(_xlfn.XLOOKUP(K171,Collection[Display],Collection[Line])&amp;_xlfn.XLOOKUP(L171,Sleeve[Display],Sleeve[Sleeve]),"")</f>
        <v/>
      </c>
    </row>
    <row r="172" spans="1:30" s="41" customFormat="1" ht="30" customHeight="1" x14ac:dyDescent="0.2">
      <c r="A172" s="79"/>
      <c r="B172" s="70">
        <v>159</v>
      </c>
      <c r="C172" s="71"/>
      <c r="D172" s="71"/>
      <c r="E172" s="274"/>
      <c r="F172" s="214"/>
      <c r="G172" s="191"/>
      <c r="H172" s="74"/>
      <c r="I172" s="74"/>
      <c r="J172" s="74"/>
      <c r="K172" s="74"/>
      <c r="L172" s="73"/>
      <c r="M172" s="74"/>
      <c r="N172" s="71"/>
      <c r="O172" s="74"/>
      <c r="P172" s="74"/>
      <c r="Q172" s="74"/>
      <c r="R172" s="73"/>
      <c r="S172" s="73"/>
      <c r="T172" s="73"/>
      <c r="U172" s="73"/>
      <c r="V172" s="73"/>
      <c r="W172" s="143"/>
      <c r="X172" s="45" t="str">
        <f>IF(M172="","",'Pricing Details'!D162+'Pricing Details'!Q162)</f>
        <v/>
      </c>
      <c r="Y172" s="45" t="str">
        <f>IF(M172="","",'Pricing Details'!V162)</f>
        <v/>
      </c>
      <c r="Z172" s="43" t="str">
        <f>IF(M172="","",'Pricing Details'!X162)</f>
        <v/>
      </c>
      <c r="AA172" s="183" t="str">
        <f>'Pricing Details'!Z162</f>
        <v/>
      </c>
      <c r="AB172" s="178" t="str">
        <f>'Pricing Details'!AC162</f>
        <v/>
      </c>
      <c r="AC172" s="79"/>
      <c r="AD172" s="41" t="str">
        <f>IFERROR(_xlfn.XLOOKUP(K172,Collection[Display],Collection[Line])&amp;_xlfn.XLOOKUP(L172,Sleeve[Display],Sleeve[Sleeve]),"")</f>
        <v/>
      </c>
    </row>
    <row r="173" spans="1:30" s="41" customFormat="1" ht="30" customHeight="1" x14ac:dyDescent="0.2">
      <c r="A173" s="79"/>
      <c r="B173" s="70">
        <v>160</v>
      </c>
      <c r="C173" s="71"/>
      <c r="D173" s="71"/>
      <c r="E173" s="274"/>
      <c r="F173" s="214"/>
      <c r="G173" s="191"/>
      <c r="H173" s="74"/>
      <c r="I173" s="74"/>
      <c r="J173" s="74"/>
      <c r="K173" s="74"/>
      <c r="L173" s="73"/>
      <c r="M173" s="74"/>
      <c r="N173" s="71"/>
      <c r="O173" s="74"/>
      <c r="P173" s="74"/>
      <c r="Q173" s="74"/>
      <c r="R173" s="73"/>
      <c r="S173" s="73"/>
      <c r="T173" s="73"/>
      <c r="U173" s="73"/>
      <c r="V173" s="73"/>
      <c r="W173" s="143"/>
      <c r="X173" s="45" t="str">
        <f>IF(M173="","",'Pricing Details'!D163+'Pricing Details'!Q163)</f>
        <v/>
      </c>
      <c r="Y173" s="45" t="str">
        <f>IF(M173="","",'Pricing Details'!V163)</f>
        <v/>
      </c>
      <c r="Z173" s="43" t="str">
        <f>IF(M173="","",'Pricing Details'!X163)</f>
        <v/>
      </c>
      <c r="AA173" s="183" t="str">
        <f>'Pricing Details'!Z163</f>
        <v/>
      </c>
      <c r="AB173" s="178" t="str">
        <f>'Pricing Details'!AC163</f>
        <v/>
      </c>
      <c r="AC173" s="79"/>
      <c r="AD173" s="41" t="str">
        <f>IFERROR(_xlfn.XLOOKUP(K173,Collection[Display],Collection[Line])&amp;_xlfn.XLOOKUP(L173,Sleeve[Display],Sleeve[Sleeve]),"")</f>
        <v/>
      </c>
    </row>
    <row r="174" spans="1:30" s="41" customFormat="1" ht="30" customHeight="1" x14ac:dyDescent="0.2">
      <c r="A174" s="79"/>
      <c r="B174" s="70">
        <v>161</v>
      </c>
      <c r="C174" s="71"/>
      <c r="D174" s="71"/>
      <c r="E174" s="274"/>
      <c r="F174" s="214"/>
      <c r="G174" s="191"/>
      <c r="H174" s="74"/>
      <c r="I174" s="74"/>
      <c r="J174" s="74"/>
      <c r="K174" s="74"/>
      <c r="L174" s="73"/>
      <c r="M174" s="74"/>
      <c r="N174" s="71"/>
      <c r="O174" s="74"/>
      <c r="P174" s="74"/>
      <c r="Q174" s="74"/>
      <c r="R174" s="73"/>
      <c r="S174" s="73"/>
      <c r="T174" s="73"/>
      <c r="U174" s="73"/>
      <c r="V174" s="73"/>
      <c r="W174" s="143"/>
      <c r="X174" s="45" t="str">
        <f>IF(M174="","",'Pricing Details'!D164+'Pricing Details'!Q164)</f>
        <v/>
      </c>
      <c r="Y174" s="45" t="str">
        <f>IF(M174="","",'Pricing Details'!V164)</f>
        <v/>
      </c>
      <c r="Z174" s="43" t="str">
        <f>IF(M174="","",'Pricing Details'!X164)</f>
        <v/>
      </c>
      <c r="AA174" s="183" t="str">
        <f>'Pricing Details'!Z164</f>
        <v/>
      </c>
      <c r="AB174" s="178" t="str">
        <f>'Pricing Details'!AC164</f>
        <v/>
      </c>
      <c r="AC174" s="79"/>
      <c r="AD174" s="41" t="str">
        <f>IFERROR(_xlfn.XLOOKUP(K174,Collection[Display],Collection[Line])&amp;_xlfn.XLOOKUP(L174,Sleeve[Display],Sleeve[Sleeve]),"")</f>
        <v/>
      </c>
    </row>
    <row r="175" spans="1:30" s="41" customFormat="1" ht="30" customHeight="1" x14ac:dyDescent="0.2">
      <c r="A175" s="79"/>
      <c r="B175" s="70">
        <v>162</v>
      </c>
      <c r="C175" s="71"/>
      <c r="D175" s="71"/>
      <c r="E175" s="274"/>
      <c r="F175" s="214"/>
      <c r="G175" s="191"/>
      <c r="H175" s="74"/>
      <c r="I175" s="74"/>
      <c r="J175" s="74"/>
      <c r="K175" s="74"/>
      <c r="L175" s="73"/>
      <c r="M175" s="74"/>
      <c r="N175" s="71"/>
      <c r="O175" s="74"/>
      <c r="P175" s="74"/>
      <c r="Q175" s="74"/>
      <c r="R175" s="73"/>
      <c r="S175" s="73"/>
      <c r="T175" s="73"/>
      <c r="U175" s="73"/>
      <c r="V175" s="73"/>
      <c r="W175" s="143"/>
      <c r="X175" s="45" t="str">
        <f>IF(M175="","",'Pricing Details'!D165+'Pricing Details'!Q165)</f>
        <v/>
      </c>
      <c r="Y175" s="45" t="str">
        <f>IF(M175="","",'Pricing Details'!V165)</f>
        <v/>
      </c>
      <c r="Z175" s="43" t="str">
        <f>IF(M175="","",'Pricing Details'!X165)</f>
        <v/>
      </c>
      <c r="AA175" s="183" t="str">
        <f>'Pricing Details'!Z165</f>
        <v/>
      </c>
      <c r="AB175" s="178" t="str">
        <f>'Pricing Details'!AC165</f>
        <v/>
      </c>
      <c r="AC175" s="79"/>
      <c r="AD175" s="41" t="str">
        <f>IFERROR(_xlfn.XLOOKUP(K175,Collection[Display],Collection[Line])&amp;_xlfn.XLOOKUP(L175,Sleeve[Display],Sleeve[Sleeve]),"")</f>
        <v/>
      </c>
    </row>
    <row r="176" spans="1:30" s="41" customFormat="1" ht="30" customHeight="1" x14ac:dyDescent="0.2">
      <c r="A176" s="79"/>
      <c r="B176" s="70">
        <v>163</v>
      </c>
      <c r="C176" s="71"/>
      <c r="D176" s="71"/>
      <c r="E176" s="274"/>
      <c r="F176" s="214"/>
      <c r="G176" s="191"/>
      <c r="H176" s="74"/>
      <c r="I176" s="74"/>
      <c r="J176" s="74"/>
      <c r="K176" s="74"/>
      <c r="L176" s="73"/>
      <c r="M176" s="74"/>
      <c r="N176" s="71"/>
      <c r="O176" s="74"/>
      <c r="P176" s="74"/>
      <c r="Q176" s="74"/>
      <c r="R176" s="73"/>
      <c r="S176" s="73"/>
      <c r="T176" s="73"/>
      <c r="U176" s="73"/>
      <c r="V176" s="73"/>
      <c r="W176" s="143"/>
      <c r="X176" s="45" t="str">
        <f>IF(M176="","",'Pricing Details'!D166+'Pricing Details'!Q166)</f>
        <v/>
      </c>
      <c r="Y176" s="45" t="str">
        <f>IF(M176="","",'Pricing Details'!V166)</f>
        <v/>
      </c>
      <c r="Z176" s="43" t="str">
        <f>IF(M176="","",'Pricing Details'!X166)</f>
        <v/>
      </c>
      <c r="AA176" s="183" t="str">
        <f>'Pricing Details'!Z166</f>
        <v/>
      </c>
      <c r="AB176" s="178" t="str">
        <f>'Pricing Details'!AC166</f>
        <v/>
      </c>
      <c r="AC176" s="79"/>
      <c r="AD176" s="41" t="str">
        <f>IFERROR(_xlfn.XLOOKUP(K176,Collection[Display],Collection[Line])&amp;_xlfn.XLOOKUP(L176,Sleeve[Display],Sleeve[Sleeve]),"")</f>
        <v/>
      </c>
    </row>
    <row r="177" spans="1:30" s="41" customFormat="1" ht="30" customHeight="1" x14ac:dyDescent="0.2">
      <c r="A177" s="79"/>
      <c r="B177" s="70">
        <v>164</v>
      </c>
      <c r="C177" s="71"/>
      <c r="D177" s="71"/>
      <c r="E177" s="274"/>
      <c r="F177" s="214"/>
      <c r="G177" s="191"/>
      <c r="H177" s="74"/>
      <c r="I177" s="74"/>
      <c r="J177" s="74"/>
      <c r="K177" s="74"/>
      <c r="L177" s="73"/>
      <c r="M177" s="74"/>
      <c r="N177" s="71"/>
      <c r="O177" s="74"/>
      <c r="P177" s="74"/>
      <c r="Q177" s="74"/>
      <c r="R177" s="73"/>
      <c r="S177" s="73"/>
      <c r="T177" s="73"/>
      <c r="U177" s="73"/>
      <c r="V177" s="73"/>
      <c r="W177" s="143"/>
      <c r="X177" s="45" t="str">
        <f>IF(M177="","",'Pricing Details'!D167+'Pricing Details'!Q167)</f>
        <v/>
      </c>
      <c r="Y177" s="45" t="str">
        <f>IF(M177="","",'Pricing Details'!V167)</f>
        <v/>
      </c>
      <c r="Z177" s="43" t="str">
        <f>IF(M177="","",'Pricing Details'!X167)</f>
        <v/>
      </c>
      <c r="AA177" s="183" t="str">
        <f>'Pricing Details'!Z167</f>
        <v/>
      </c>
      <c r="AB177" s="178" t="str">
        <f>'Pricing Details'!AC167</f>
        <v/>
      </c>
      <c r="AC177" s="79"/>
      <c r="AD177" s="41" t="str">
        <f>IFERROR(_xlfn.XLOOKUP(K177,Collection[Display],Collection[Line])&amp;_xlfn.XLOOKUP(L177,Sleeve[Display],Sleeve[Sleeve]),"")</f>
        <v/>
      </c>
    </row>
    <row r="178" spans="1:30" s="41" customFormat="1" ht="30" customHeight="1" x14ac:dyDescent="0.2">
      <c r="A178" s="79"/>
      <c r="B178" s="70">
        <v>165</v>
      </c>
      <c r="C178" s="71"/>
      <c r="D178" s="71"/>
      <c r="E178" s="274"/>
      <c r="F178" s="214"/>
      <c r="G178" s="191"/>
      <c r="H178" s="74"/>
      <c r="I178" s="74"/>
      <c r="J178" s="74"/>
      <c r="K178" s="74"/>
      <c r="L178" s="73"/>
      <c r="M178" s="74"/>
      <c r="N178" s="71"/>
      <c r="O178" s="74"/>
      <c r="P178" s="74"/>
      <c r="Q178" s="74"/>
      <c r="R178" s="73"/>
      <c r="S178" s="73"/>
      <c r="T178" s="73"/>
      <c r="U178" s="73"/>
      <c r="V178" s="73"/>
      <c r="W178" s="143"/>
      <c r="X178" s="45" t="str">
        <f>IF(M178="","",'Pricing Details'!D168+'Pricing Details'!Q168)</f>
        <v/>
      </c>
      <c r="Y178" s="45" t="str">
        <f>IF(M178="","",'Pricing Details'!V168)</f>
        <v/>
      </c>
      <c r="Z178" s="43" t="str">
        <f>IF(M178="","",'Pricing Details'!X168)</f>
        <v/>
      </c>
      <c r="AA178" s="183" t="str">
        <f>'Pricing Details'!Z168</f>
        <v/>
      </c>
      <c r="AB178" s="178" t="str">
        <f>'Pricing Details'!AC168</f>
        <v/>
      </c>
      <c r="AC178" s="79"/>
      <c r="AD178" s="41" t="str">
        <f>IFERROR(_xlfn.XLOOKUP(K178,Collection[Display],Collection[Line])&amp;_xlfn.XLOOKUP(L178,Sleeve[Display],Sleeve[Sleeve]),"")</f>
        <v/>
      </c>
    </row>
    <row r="179" spans="1:30" s="41" customFormat="1" ht="30" customHeight="1" x14ac:dyDescent="0.2">
      <c r="A179" s="79"/>
      <c r="B179" s="70">
        <v>166</v>
      </c>
      <c r="C179" s="71"/>
      <c r="D179" s="71"/>
      <c r="E179" s="274"/>
      <c r="F179" s="214"/>
      <c r="G179" s="191"/>
      <c r="H179" s="74"/>
      <c r="I179" s="74"/>
      <c r="J179" s="74"/>
      <c r="K179" s="74"/>
      <c r="L179" s="73"/>
      <c r="M179" s="74"/>
      <c r="N179" s="71"/>
      <c r="O179" s="74"/>
      <c r="P179" s="74"/>
      <c r="Q179" s="74"/>
      <c r="R179" s="73"/>
      <c r="S179" s="73"/>
      <c r="T179" s="73"/>
      <c r="U179" s="73"/>
      <c r="V179" s="73"/>
      <c r="W179" s="143"/>
      <c r="X179" s="45" t="str">
        <f>IF(M179="","",'Pricing Details'!D169+'Pricing Details'!Q169)</f>
        <v/>
      </c>
      <c r="Y179" s="45" t="str">
        <f>IF(M179="","",'Pricing Details'!V169)</f>
        <v/>
      </c>
      <c r="Z179" s="43" t="str">
        <f>IF(M179="","",'Pricing Details'!X169)</f>
        <v/>
      </c>
      <c r="AA179" s="183" t="str">
        <f>'Pricing Details'!Z169</f>
        <v/>
      </c>
      <c r="AB179" s="178" t="str">
        <f>'Pricing Details'!AC169</f>
        <v/>
      </c>
      <c r="AC179" s="79"/>
      <c r="AD179" s="41" t="str">
        <f>IFERROR(_xlfn.XLOOKUP(K179,Collection[Display],Collection[Line])&amp;_xlfn.XLOOKUP(L179,Sleeve[Display],Sleeve[Sleeve]),"")</f>
        <v/>
      </c>
    </row>
    <row r="180" spans="1:30" s="41" customFormat="1" ht="30" customHeight="1" x14ac:dyDescent="0.2">
      <c r="A180" s="79"/>
      <c r="B180" s="70">
        <v>167</v>
      </c>
      <c r="C180" s="71"/>
      <c r="D180" s="71"/>
      <c r="E180" s="274"/>
      <c r="F180" s="214"/>
      <c r="G180" s="191"/>
      <c r="H180" s="74"/>
      <c r="I180" s="74"/>
      <c r="J180" s="74"/>
      <c r="K180" s="74"/>
      <c r="L180" s="73"/>
      <c r="M180" s="74"/>
      <c r="N180" s="71"/>
      <c r="O180" s="74"/>
      <c r="P180" s="74"/>
      <c r="Q180" s="74"/>
      <c r="R180" s="73"/>
      <c r="S180" s="73"/>
      <c r="T180" s="73"/>
      <c r="U180" s="73"/>
      <c r="V180" s="73"/>
      <c r="W180" s="143"/>
      <c r="X180" s="45" t="str">
        <f>IF(M180="","",'Pricing Details'!D170+'Pricing Details'!Q170)</f>
        <v/>
      </c>
      <c r="Y180" s="45" t="str">
        <f>IF(M180="","",'Pricing Details'!V170)</f>
        <v/>
      </c>
      <c r="Z180" s="43" t="str">
        <f>IF(M180="","",'Pricing Details'!X170)</f>
        <v/>
      </c>
      <c r="AA180" s="183" t="str">
        <f>'Pricing Details'!Z170</f>
        <v/>
      </c>
      <c r="AB180" s="178" t="str">
        <f>'Pricing Details'!AC170</f>
        <v/>
      </c>
      <c r="AC180" s="79"/>
      <c r="AD180" s="41" t="str">
        <f>IFERROR(_xlfn.XLOOKUP(K180,Collection[Display],Collection[Line])&amp;_xlfn.XLOOKUP(L180,Sleeve[Display],Sleeve[Sleeve]),"")</f>
        <v/>
      </c>
    </row>
    <row r="181" spans="1:30" s="41" customFormat="1" ht="30" customHeight="1" x14ac:dyDescent="0.2">
      <c r="A181" s="79"/>
      <c r="B181" s="70">
        <v>168</v>
      </c>
      <c r="C181" s="71"/>
      <c r="D181" s="71"/>
      <c r="E181" s="274"/>
      <c r="F181" s="214"/>
      <c r="G181" s="191"/>
      <c r="H181" s="74"/>
      <c r="I181" s="74"/>
      <c r="J181" s="74"/>
      <c r="K181" s="74"/>
      <c r="L181" s="73"/>
      <c r="M181" s="74"/>
      <c r="N181" s="71"/>
      <c r="O181" s="74"/>
      <c r="P181" s="74"/>
      <c r="Q181" s="74"/>
      <c r="R181" s="73"/>
      <c r="S181" s="73"/>
      <c r="T181" s="73"/>
      <c r="U181" s="73"/>
      <c r="V181" s="73"/>
      <c r="W181" s="143"/>
      <c r="X181" s="45" t="str">
        <f>IF(M181="","",'Pricing Details'!D171+'Pricing Details'!Q171)</f>
        <v/>
      </c>
      <c r="Y181" s="45" t="str">
        <f>IF(M181="","",'Pricing Details'!V171)</f>
        <v/>
      </c>
      <c r="Z181" s="43" t="str">
        <f>IF(M181="","",'Pricing Details'!X171)</f>
        <v/>
      </c>
      <c r="AA181" s="183" t="str">
        <f>'Pricing Details'!Z171</f>
        <v/>
      </c>
      <c r="AB181" s="178" t="str">
        <f>'Pricing Details'!AC171</f>
        <v/>
      </c>
      <c r="AC181" s="79"/>
      <c r="AD181" s="41" t="str">
        <f>IFERROR(_xlfn.XLOOKUP(K181,Collection[Display],Collection[Line])&amp;_xlfn.XLOOKUP(L181,Sleeve[Display],Sleeve[Sleeve]),"")</f>
        <v/>
      </c>
    </row>
    <row r="182" spans="1:30" s="41" customFormat="1" ht="30" customHeight="1" x14ac:dyDescent="0.2">
      <c r="A182" s="79"/>
      <c r="B182" s="70">
        <v>169</v>
      </c>
      <c r="C182" s="71"/>
      <c r="D182" s="71"/>
      <c r="E182" s="274"/>
      <c r="F182" s="214"/>
      <c r="G182" s="191"/>
      <c r="H182" s="74"/>
      <c r="I182" s="74"/>
      <c r="J182" s="74"/>
      <c r="K182" s="74"/>
      <c r="L182" s="73"/>
      <c r="M182" s="74"/>
      <c r="N182" s="71"/>
      <c r="O182" s="74"/>
      <c r="P182" s="74"/>
      <c r="Q182" s="74"/>
      <c r="R182" s="73"/>
      <c r="S182" s="73"/>
      <c r="T182" s="73"/>
      <c r="U182" s="73"/>
      <c r="V182" s="73"/>
      <c r="W182" s="143"/>
      <c r="X182" s="45" t="str">
        <f>IF(M182="","",'Pricing Details'!D172+'Pricing Details'!Q172)</f>
        <v/>
      </c>
      <c r="Y182" s="45" t="str">
        <f>IF(M182="","",'Pricing Details'!V172)</f>
        <v/>
      </c>
      <c r="Z182" s="43" t="str">
        <f>IF(M182="","",'Pricing Details'!X172)</f>
        <v/>
      </c>
      <c r="AA182" s="183" t="str">
        <f>'Pricing Details'!Z172</f>
        <v/>
      </c>
      <c r="AB182" s="178" t="str">
        <f>'Pricing Details'!AC172</f>
        <v/>
      </c>
      <c r="AC182" s="79"/>
      <c r="AD182" s="41" t="str">
        <f>IFERROR(_xlfn.XLOOKUP(K182,Collection[Display],Collection[Line])&amp;_xlfn.XLOOKUP(L182,Sleeve[Display],Sleeve[Sleeve]),"")</f>
        <v/>
      </c>
    </row>
    <row r="183" spans="1:30" s="41" customFormat="1" ht="30" customHeight="1" x14ac:dyDescent="0.2">
      <c r="A183" s="79"/>
      <c r="B183" s="70">
        <v>170</v>
      </c>
      <c r="C183" s="71"/>
      <c r="D183" s="71"/>
      <c r="E183" s="274"/>
      <c r="F183" s="214"/>
      <c r="G183" s="191"/>
      <c r="H183" s="74"/>
      <c r="I183" s="74"/>
      <c r="J183" s="74"/>
      <c r="K183" s="74"/>
      <c r="L183" s="73"/>
      <c r="M183" s="74"/>
      <c r="N183" s="71"/>
      <c r="O183" s="74"/>
      <c r="P183" s="74"/>
      <c r="Q183" s="74"/>
      <c r="R183" s="73"/>
      <c r="S183" s="73"/>
      <c r="T183" s="73"/>
      <c r="U183" s="73"/>
      <c r="V183" s="73"/>
      <c r="W183" s="143"/>
      <c r="X183" s="45" t="str">
        <f>IF(M183="","",'Pricing Details'!D173+'Pricing Details'!Q173)</f>
        <v/>
      </c>
      <c r="Y183" s="45" t="str">
        <f>IF(M183="","",'Pricing Details'!V173)</f>
        <v/>
      </c>
      <c r="Z183" s="43" t="str">
        <f>IF(M183="","",'Pricing Details'!X173)</f>
        <v/>
      </c>
      <c r="AA183" s="183" t="str">
        <f>'Pricing Details'!Z173</f>
        <v/>
      </c>
      <c r="AB183" s="178" t="str">
        <f>'Pricing Details'!AC173</f>
        <v/>
      </c>
      <c r="AC183" s="79"/>
      <c r="AD183" s="41" t="str">
        <f>IFERROR(_xlfn.XLOOKUP(K183,Collection[Display],Collection[Line])&amp;_xlfn.XLOOKUP(L183,Sleeve[Display],Sleeve[Sleeve]),"")</f>
        <v/>
      </c>
    </row>
    <row r="184" spans="1:30" s="41" customFormat="1" ht="30" customHeight="1" x14ac:dyDescent="0.2">
      <c r="A184" s="79"/>
      <c r="B184" s="70">
        <v>171</v>
      </c>
      <c r="C184" s="71"/>
      <c r="D184" s="71"/>
      <c r="E184" s="274"/>
      <c r="F184" s="214"/>
      <c r="G184" s="191"/>
      <c r="H184" s="74"/>
      <c r="I184" s="74"/>
      <c r="J184" s="74"/>
      <c r="K184" s="74"/>
      <c r="L184" s="73"/>
      <c r="M184" s="74"/>
      <c r="N184" s="71"/>
      <c r="O184" s="74"/>
      <c r="P184" s="74"/>
      <c r="Q184" s="74"/>
      <c r="R184" s="73"/>
      <c r="S184" s="73"/>
      <c r="T184" s="73"/>
      <c r="U184" s="73"/>
      <c r="V184" s="73"/>
      <c r="W184" s="143"/>
      <c r="X184" s="45" t="str">
        <f>IF(M184="","",'Pricing Details'!D174+'Pricing Details'!Q174)</f>
        <v/>
      </c>
      <c r="Y184" s="45" t="str">
        <f>IF(M184="","",'Pricing Details'!V174)</f>
        <v/>
      </c>
      <c r="Z184" s="43" t="str">
        <f>IF(M184="","",'Pricing Details'!X174)</f>
        <v/>
      </c>
      <c r="AA184" s="183" t="str">
        <f>'Pricing Details'!Z174</f>
        <v/>
      </c>
      <c r="AB184" s="178" t="str">
        <f>'Pricing Details'!AC174</f>
        <v/>
      </c>
      <c r="AC184" s="79"/>
      <c r="AD184" s="41" t="str">
        <f>IFERROR(_xlfn.XLOOKUP(K184,Collection[Display],Collection[Line])&amp;_xlfn.XLOOKUP(L184,Sleeve[Display],Sleeve[Sleeve]),"")</f>
        <v/>
      </c>
    </row>
    <row r="185" spans="1:30" s="41" customFormat="1" ht="30" customHeight="1" x14ac:dyDescent="0.2">
      <c r="A185" s="79"/>
      <c r="B185" s="70">
        <v>172</v>
      </c>
      <c r="C185" s="71"/>
      <c r="D185" s="71"/>
      <c r="E185" s="274"/>
      <c r="F185" s="214"/>
      <c r="G185" s="191"/>
      <c r="H185" s="74"/>
      <c r="I185" s="74"/>
      <c r="J185" s="74"/>
      <c r="K185" s="74"/>
      <c r="L185" s="73"/>
      <c r="M185" s="74"/>
      <c r="N185" s="71"/>
      <c r="O185" s="74"/>
      <c r="P185" s="74"/>
      <c r="Q185" s="74"/>
      <c r="R185" s="73"/>
      <c r="S185" s="73"/>
      <c r="T185" s="73"/>
      <c r="U185" s="73"/>
      <c r="V185" s="73"/>
      <c r="W185" s="143"/>
      <c r="X185" s="45" t="str">
        <f>IF(M185="","",'Pricing Details'!D175+'Pricing Details'!Q175)</f>
        <v/>
      </c>
      <c r="Y185" s="45" t="str">
        <f>IF(M185="","",'Pricing Details'!V175)</f>
        <v/>
      </c>
      <c r="Z185" s="43" t="str">
        <f>IF(M185="","",'Pricing Details'!X175)</f>
        <v/>
      </c>
      <c r="AA185" s="183" t="str">
        <f>'Pricing Details'!Z175</f>
        <v/>
      </c>
      <c r="AB185" s="178" t="str">
        <f>'Pricing Details'!AC175</f>
        <v/>
      </c>
      <c r="AC185" s="79"/>
      <c r="AD185" s="41" t="str">
        <f>IFERROR(_xlfn.XLOOKUP(K185,Collection[Display],Collection[Line])&amp;_xlfn.XLOOKUP(L185,Sleeve[Display],Sleeve[Sleeve]),"")</f>
        <v/>
      </c>
    </row>
    <row r="186" spans="1:30" s="41" customFormat="1" ht="30" customHeight="1" x14ac:dyDescent="0.2">
      <c r="A186" s="79"/>
      <c r="B186" s="70">
        <v>173</v>
      </c>
      <c r="C186" s="71"/>
      <c r="D186" s="71"/>
      <c r="E186" s="274"/>
      <c r="F186" s="214"/>
      <c r="G186" s="191"/>
      <c r="H186" s="74"/>
      <c r="I186" s="74"/>
      <c r="J186" s="74"/>
      <c r="K186" s="74"/>
      <c r="L186" s="73"/>
      <c r="M186" s="74"/>
      <c r="N186" s="71"/>
      <c r="O186" s="74"/>
      <c r="P186" s="74"/>
      <c r="Q186" s="74"/>
      <c r="R186" s="73"/>
      <c r="S186" s="73"/>
      <c r="T186" s="73"/>
      <c r="U186" s="73"/>
      <c r="V186" s="73"/>
      <c r="W186" s="143"/>
      <c r="X186" s="45" t="str">
        <f>IF(M186="","",'Pricing Details'!D176+'Pricing Details'!Q176)</f>
        <v/>
      </c>
      <c r="Y186" s="45" t="str">
        <f>IF(M186="","",'Pricing Details'!V176)</f>
        <v/>
      </c>
      <c r="Z186" s="43" t="str">
        <f>IF(M186="","",'Pricing Details'!X176)</f>
        <v/>
      </c>
      <c r="AA186" s="183" t="str">
        <f>'Pricing Details'!Z176</f>
        <v/>
      </c>
      <c r="AB186" s="178" t="str">
        <f>'Pricing Details'!AC176</f>
        <v/>
      </c>
      <c r="AC186" s="79"/>
      <c r="AD186" s="41" t="str">
        <f>IFERROR(_xlfn.XLOOKUP(K186,Collection[Display],Collection[Line])&amp;_xlfn.XLOOKUP(L186,Sleeve[Display],Sleeve[Sleeve]),"")</f>
        <v/>
      </c>
    </row>
    <row r="187" spans="1:30" s="41" customFormat="1" ht="30" customHeight="1" x14ac:dyDescent="0.2">
      <c r="A187" s="79"/>
      <c r="B187" s="70">
        <v>174</v>
      </c>
      <c r="C187" s="71"/>
      <c r="D187" s="71"/>
      <c r="E187" s="274"/>
      <c r="F187" s="214"/>
      <c r="G187" s="191"/>
      <c r="H187" s="74"/>
      <c r="I187" s="74"/>
      <c r="J187" s="74"/>
      <c r="K187" s="74"/>
      <c r="L187" s="73"/>
      <c r="M187" s="74"/>
      <c r="N187" s="71"/>
      <c r="O187" s="74"/>
      <c r="P187" s="74"/>
      <c r="Q187" s="74"/>
      <c r="R187" s="73"/>
      <c r="S187" s="73"/>
      <c r="T187" s="73"/>
      <c r="U187" s="73"/>
      <c r="V187" s="73"/>
      <c r="W187" s="143"/>
      <c r="X187" s="45" t="str">
        <f>IF(M187="","",'Pricing Details'!D177+'Pricing Details'!Q177)</f>
        <v/>
      </c>
      <c r="Y187" s="45" t="str">
        <f>IF(M187="","",'Pricing Details'!V177)</f>
        <v/>
      </c>
      <c r="Z187" s="43" t="str">
        <f>IF(M187="","",'Pricing Details'!X177)</f>
        <v/>
      </c>
      <c r="AA187" s="183" t="str">
        <f>'Pricing Details'!Z177</f>
        <v/>
      </c>
      <c r="AB187" s="178" t="str">
        <f>'Pricing Details'!AC177</f>
        <v/>
      </c>
      <c r="AC187" s="79"/>
      <c r="AD187" s="41" t="str">
        <f>IFERROR(_xlfn.XLOOKUP(K187,Collection[Display],Collection[Line])&amp;_xlfn.XLOOKUP(L187,Sleeve[Display],Sleeve[Sleeve]),"")</f>
        <v/>
      </c>
    </row>
    <row r="188" spans="1:30" s="41" customFormat="1" ht="30" customHeight="1" x14ac:dyDescent="0.2">
      <c r="A188" s="79"/>
      <c r="B188" s="70">
        <v>175</v>
      </c>
      <c r="C188" s="71"/>
      <c r="D188" s="71"/>
      <c r="E188" s="274"/>
      <c r="F188" s="214"/>
      <c r="G188" s="191"/>
      <c r="H188" s="74"/>
      <c r="I188" s="74"/>
      <c r="J188" s="74"/>
      <c r="K188" s="74"/>
      <c r="L188" s="73"/>
      <c r="M188" s="74"/>
      <c r="N188" s="71"/>
      <c r="O188" s="74"/>
      <c r="P188" s="74"/>
      <c r="Q188" s="74"/>
      <c r="R188" s="73"/>
      <c r="S188" s="73"/>
      <c r="T188" s="73"/>
      <c r="U188" s="73"/>
      <c r="V188" s="73"/>
      <c r="W188" s="143"/>
      <c r="X188" s="45" t="str">
        <f>IF(M188="","",'Pricing Details'!D178+'Pricing Details'!Q178)</f>
        <v/>
      </c>
      <c r="Y188" s="45" t="str">
        <f>IF(M188="","",'Pricing Details'!V178)</f>
        <v/>
      </c>
      <c r="Z188" s="43" t="str">
        <f>IF(M188="","",'Pricing Details'!X178)</f>
        <v/>
      </c>
      <c r="AA188" s="183" t="str">
        <f>'Pricing Details'!Z178</f>
        <v/>
      </c>
      <c r="AB188" s="178" t="str">
        <f>'Pricing Details'!AC178</f>
        <v/>
      </c>
      <c r="AC188" s="79"/>
      <c r="AD188" s="41" t="str">
        <f>IFERROR(_xlfn.XLOOKUP(K188,Collection[Display],Collection[Line])&amp;_xlfn.XLOOKUP(L188,Sleeve[Display],Sleeve[Sleeve]),"")</f>
        <v/>
      </c>
    </row>
    <row r="189" spans="1:30" s="41" customFormat="1" ht="30" customHeight="1" x14ac:dyDescent="0.2">
      <c r="A189" s="79"/>
      <c r="B189" s="70">
        <v>176</v>
      </c>
      <c r="C189" s="71"/>
      <c r="D189" s="71"/>
      <c r="E189" s="274"/>
      <c r="F189" s="214"/>
      <c r="G189" s="191"/>
      <c r="H189" s="74"/>
      <c r="I189" s="74"/>
      <c r="J189" s="74"/>
      <c r="K189" s="74"/>
      <c r="L189" s="73"/>
      <c r="M189" s="74"/>
      <c r="N189" s="71"/>
      <c r="O189" s="74"/>
      <c r="P189" s="74"/>
      <c r="Q189" s="74"/>
      <c r="R189" s="73"/>
      <c r="S189" s="73"/>
      <c r="T189" s="73"/>
      <c r="U189" s="73"/>
      <c r="V189" s="73"/>
      <c r="W189" s="143"/>
      <c r="X189" s="45" t="str">
        <f>IF(M189="","",'Pricing Details'!D179+'Pricing Details'!Q179)</f>
        <v/>
      </c>
      <c r="Y189" s="45" t="str">
        <f>IF(M189="","",'Pricing Details'!V179)</f>
        <v/>
      </c>
      <c r="Z189" s="43" t="str">
        <f>IF(M189="","",'Pricing Details'!X179)</f>
        <v/>
      </c>
      <c r="AA189" s="183" t="str">
        <f>'Pricing Details'!Z179</f>
        <v/>
      </c>
      <c r="AB189" s="178" t="str">
        <f>'Pricing Details'!AC179</f>
        <v/>
      </c>
      <c r="AC189" s="79"/>
      <c r="AD189" s="41" t="str">
        <f>IFERROR(_xlfn.XLOOKUP(K189,Collection[Display],Collection[Line])&amp;_xlfn.XLOOKUP(L189,Sleeve[Display],Sleeve[Sleeve]),"")</f>
        <v/>
      </c>
    </row>
    <row r="190" spans="1:30" s="41" customFormat="1" ht="30" customHeight="1" x14ac:dyDescent="0.2">
      <c r="A190" s="79"/>
      <c r="B190" s="70">
        <v>177</v>
      </c>
      <c r="C190" s="71"/>
      <c r="D190" s="71"/>
      <c r="E190" s="274"/>
      <c r="F190" s="214"/>
      <c r="G190" s="191"/>
      <c r="H190" s="74"/>
      <c r="I190" s="74"/>
      <c r="J190" s="74"/>
      <c r="K190" s="74"/>
      <c r="L190" s="73"/>
      <c r="M190" s="74"/>
      <c r="N190" s="71"/>
      <c r="O190" s="74"/>
      <c r="P190" s="74"/>
      <c r="Q190" s="74"/>
      <c r="R190" s="73"/>
      <c r="S190" s="73"/>
      <c r="T190" s="73"/>
      <c r="U190" s="73"/>
      <c r="V190" s="73"/>
      <c r="W190" s="143"/>
      <c r="X190" s="45" t="str">
        <f>IF(M190="","",'Pricing Details'!D180+'Pricing Details'!Q180)</f>
        <v/>
      </c>
      <c r="Y190" s="45" t="str">
        <f>IF(M190="","",'Pricing Details'!V180)</f>
        <v/>
      </c>
      <c r="Z190" s="43" t="str">
        <f>IF(M190="","",'Pricing Details'!X180)</f>
        <v/>
      </c>
      <c r="AA190" s="183" t="str">
        <f>'Pricing Details'!Z180</f>
        <v/>
      </c>
      <c r="AB190" s="178" t="str">
        <f>'Pricing Details'!AC180</f>
        <v/>
      </c>
      <c r="AC190" s="79"/>
      <c r="AD190" s="41" t="str">
        <f>IFERROR(_xlfn.XLOOKUP(K190,Collection[Display],Collection[Line])&amp;_xlfn.XLOOKUP(L190,Sleeve[Display],Sleeve[Sleeve]),"")</f>
        <v/>
      </c>
    </row>
    <row r="191" spans="1:30" s="41" customFormat="1" ht="30" customHeight="1" x14ac:dyDescent="0.2">
      <c r="A191" s="79"/>
      <c r="B191" s="70">
        <v>178</v>
      </c>
      <c r="C191" s="71"/>
      <c r="D191" s="71"/>
      <c r="E191" s="274"/>
      <c r="F191" s="214"/>
      <c r="G191" s="191"/>
      <c r="H191" s="74"/>
      <c r="I191" s="74"/>
      <c r="J191" s="74"/>
      <c r="K191" s="74"/>
      <c r="L191" s="73"/>
      <c r="M191" s="74"/>
      <c r="N191" s="71"/>
      <c r="O191" s="74"/>
      <c r="P191" s="74"/>
      <c r="Q191" s="74"/>
      <c r="R191" s="73"/>
      <c r="S191" s="73"/>
      <c r="T191" s="73"/>
      <c r="U191" s="73"/>
      <c r="V191" s="73"/>
      <c r="W191" s="143"/>
      <c r="X191" s="45" t="str">
        <f>IF(M191="","",'Pricing Details'!D181+'Pricing Details'!Q181)</f>
        <v/>
      </c>
      <c r="Y191" s="45" t="str">
        <f>IF(M191="","",'Pricing Details'!V181)</f>
        <v/>
      </c>
      <c r="Z191" s="43" t="str">
        <f>IF(M191="","",'Pricing Details'!X181)</f>
        <v/>
      </c>
      <c r="AA191" s="183" t="str">
        <f>'Pricing Details'!Z181</f>
        <v/>
      </c>
      <c r="AB191" s="178" t="str">
        <f>'Pricing Details'!AC181</f>
        <v/>
      </c>
      <c r="AC191" s="79"/>
      <c r="AD191" s="41" t="str">
        <f>IFERROR(_xlfn.XLOOKUP(K191,Collection[Display],Collection[Line])&amp;_xlfn.XLOOKUP(L191,Sleeve[Display],Sleeve[Sleeve]),"")</f>
        <v/>
      </c>
    </row>
    <row r="192" spans="1:30" s="41" customFormat="1" ht="30" customHeight="1" x14ac:dyDescent="0.2">
      <c r="A192" s="79"/>
      <c r="B192" s="70">
        <v>179</v>
      </c>
      <c r="C192" s="71"/>
      <c r="D192" s="71"/>
      <c r="E192" s="274"/>
      <c r="F192" s="214"/>
      <c r="G192" s="191"/>
      <c r="H192" s="74"/>
      <c r="I192" s="74"/>
      <c r="J192" s="74"/>
      <c r="K192" s="74"/>
      <c r="L192" s="73"/>
      <c r="M192" s="74"/>
      <c r="N192" s="71"/>
      <c r="O192" s="74"/>
      <c r="P192" s="74"/>
      <c r="Q192" s="74"/>
      <c r="R192" s="73"/>
      <c r="S192" s="73"/>
      <c r="T192" s="73"/>
      <c r="U192" s="73"/>
      <c r="V192" s="73"/>
      <c r="W192" s="143"/>
      <c r="X192" s="45" t="str">
        <f>IF(M192="","",'Pricing Details'!D182+'Pricing Details'!Q182)</f>
        <v/>
      </c>
      <c r="Y192" s="45" t="str">
        <f>IF(M192="","",'Pricing Details'!V182)</f>
        <v/>
      </c>
      <c r="Z192" s="43" t="str">
        <f>IF(M192="","",'Pricing Details'!X182)</f>
        <v/>
      </c>
      <c r="AA192" s="183" t="str">
        <f>'Pricing Details'!Z182</f>
        <v/>
      </c>
      <c r="AB192" s="178" t="str">
        <f>'Pricing Details'!AC182</f>
        <v/>
      </c>
      <c r="AC192" s="79"/>
      <c r="AD192" s="41" t="str">
        <f>IFERROR(_xlfn.XLOOKUP(K192,Collection[Display],Collection[Line])&amp;_xlfn.XLOOKUP(L192,Sleeve[Display],Sleeve[Sleeve]),"")</f>
        <v/>
      </c>
    </row>
    <row r="193" spans="1:30" s="41" customFormat="1" ht="30" customHeight="1" x14ac:dyDescent="0.2">
      <c r="A193" s="79"/>
      <c r="B193" s="70">
        <v>180</v>
      </c>
      <c r="C193" s="71"/>
      <c r="D193" s="71"/>
      <c r="E193" s="274"/>
      <c r="F193" s="214"/>
      <c r="G193" s="191"/>
      <c r="H193" s="74"/>
      <c r="I193" s="74"/>
      <c r="J193" s="74"/>
      <c r="K193" s="74"/>
      <c r="L193" s="73"/>
      <c r="M193" s="74"/>
      <c r="N193" s="71"/>
      <c r="O193" s="74"/>
      <c r="P193" s="74"/>
      <c r="Q193" s="74"/>
      <c r="R193" s="73"/>
      <c r="S193" s="73"/>
      <c r="T193" s="73"/>
      <c r="U193" s="73"/>
      <c r="V193" s="73"/>
      <c r="W193" s="143"/>
      <c r="X193" s="45" t="str">
        <f>IF(M193="","",'Pricing Details'!D183+'Pricing Details'!Q183)</f>
        <v/>
      </c>
      <c r="Y193" s="45" t="str">
        <f>IF(M193="","",'Pricing Details'!V183)</f>
        <v/>
      </c>
      <c r="Z193" s="43" t="str">
        <f>IF(M193="","",'Pricing Details'!X183)</f>
        <v/>
      </c>
      <c r="AA193" s="183" t="str">
        <f>'Pricing Details'!Z183</f>
        <v/>
      </c>
      <c r="AB193" s="178" t="str">
        <f>'Pricing Details'!AC183</f>
        <v/>
      </c>
      <c r="AC193" s="79"/>
      <c r="AD193" s="41" t="str">
        <f>IFERROR(_xlfn.XLOOKUP(K193,Collection[Display],Collection[Line])&amp;_xlfn.XLOOKUP(L193,Sleeve[Display],Sleeve[Sleeve]),"")</f>
        <v/>
      </c>
    </row>
    <row r="194" spans="1:30" s="41" customFormat="1" ht="30" customHeight="1" x14ac:dyDescent="0.2">
      <c r="A194" s="79"/>
      <c r="B194" s="70">
        <v>181</v>
      </c>
      <c r="C194" s="71"/>
      <c r="D194" s="71"/>
      <c r="E194" s="274"/>
      <c r="F194" s="214"/>
      <c r="G194" s="191"/>
      <c r="H194" s="74"/>
      <c r="I194" s="74"/>
      <c r="J194" s="74"/>
      <c r="K194" s="74"/>
      <c r="L194" s="73"/>
      <c r="M194" s="74"/>
      <c r="N194" s="71"/>
      <c r="O194" s="74"/>
      <c r="P194" s="74"/>
      <c r="Q194" s="74"/>
      <c r="R194" s="73"/>
      <c r="S194" s="73"/>
      <c r="T194" s="73"/>
      <c r="U194" s="73"/>
      <c r="V194" s="73"/>
      <c r="W194" s="143"/>
      <c r="X194" s="45" t="str">
        <f>IF(M194="","",'Pricing Details'!D184+'Pricing Details'!Q184)</f>
        <v/>
      </c>
      <c r="Y194" s="45" t="str">
        <f>IF(M194="","",'Pricing Details'!V184)</f>
        <v/>
      </c>
      <c r="Z194" s="43" t="str">
        <f>IF(M194="","",'Pricing Details'!X184)</f>
        <v/>
      </c>
      <c r="AA194" s="183" t="str">
        <f>'Pricing Details'!Z184</f>
        <v/>
      </c>
      <c r="AB194" s="178" t="str">
        <f>'Pricing Details'!AC184</f>
        <v/>
      </c>
      <c r="AC194" s="79"/>
      <c r="AD194" s="41" t="str">
        <f>IFERROR(_xlfn.XLOOKUP(K194,Collection[Display],Collection[Line])&amp;_xlfn.XLOOKUP(L194,Sleeve[Display],Sleeve[Sleeve]),"")</f>
        <v/>
      </c>
    </row>
    <row r="195" spans="1:30" s="41" customFormat="1" ht="30" customHeight="1" x14ac:dyDescent="0.2">
      <c r="A195" s="79"/>
      <c r="B195" s="70">
        <v>182</v>
      </c>
      <c r="C195" s="71"/>
      <c r="D195" s="71"/>
      <c r="E195" s="274"/>
      <c r="F195" s="214"/>
      <c r="G195" s="191"/>
      <c r="H195" s="74"/>
      <c r="I195" s="74"/>
      <c r="J195" s="74"/>
      <c r="K195" s="74"/>
      <c r="L195" s="73"/>
      <c r="M195" s="74"/>
      <c r="N195" s="71"/>
      <c r="O195" s="74"/>
      <c r="P195" s="74"/>
      <c r="Q195" s="74"/>
      <c r="R195" s="73"/>
      <c r="S195" s="73"/>
      <c r="T195" s="73"/>
      <c r="U195" s="73"/>
      <c r="V195" s="73"/>
      <c r="W195" s="143"/>
      <c r="X195" s="45" t="str">
        <f>IF(M195="","",'Pricing Details'!D185+'Pricing Details'!Q185)</f>
        <v/>
      </c>
      <c r="Y195" s="45" t="str">
        <f>IF(M195="","",'Pricing Details'!V185)</f>
        <v/>
      </c>
      <c r="Z195" s="43" t="str">
        <f>IF(M195="","",'Pricing Details'!X185)</f>
        <v/>
      </c>
      <c r="AA195" s="183" t="str">
        <f>'Pricing Details'!Z185</f>
        <v/>
      </c>
      <c r="AB195" s="178" t="str">
        <f>'Pricing Details'!AC185</f>
        <v/>
      </c>
      <c r="AC195" s="79"/>
      <c r="AD195" s="41" t="str">
        <f>IFERROR(_xlfn.XLOOKUP(K195,Collection[Display],Collection[Line])&amp;_xlfn.XLOOKUP(L195,Sleeve[Display],Sleeve[Sleeve]),"")</f>
        <v/>
      </c>
    </row>
    <row r="196" spans="1:30" s="41" customFormat="1" ht="30" customHeight="1" x14ac:dyDescent="0.2">
      <c r="A196" s="79"/>
      <c r="B196" s="70">
        <v>183</v>
      </c>
      <c r="C196" s="71"/>
      <c r="D196" s="71"/>
      <c r="E196" s="274"/>
      <c r="F196" s="214"/>
      <c r="G196" s="191"/>
      <c r="H196" s="74"/>
      <c r="I196" s="74"/>
      <c r="J196" s="74"/>
      <c r="K196" s="74"/>
      <c r="L196" s="73"/>
      <c r="M196" s="74"/>
      <c r="N196" s="71"/>
      <c r="O196" s="74"/>
      <c r="P196" s="74"/>
      <c r="Q196" s="74"/>
      <c r="R196" s="73"/>
      <c r="S196" s="73"/>
      <c r="T196" s="73"/>
      <c r="U196" s="73"/>
      <c r="V196" s="73"/>
      <c r="W196" s="143"/>
      <c r="X196" s="45" t="str">
        <f>IF(M196="","",'Pricing Details'!D186+'Pricing Details'!Q186)</f>
        <v/>
      </c>
      <c r="Y196" s="45" t="str">
        <f>IF(M196="","",'Pricing Details'!V186)</f>
        <v/>
      </c>
      <c r="Z196" s="43" t="str">
        <f>IF(M196="","",'Pricing Details'!X186)</f>
        <v/>
      </c>
      <c r="AA196" s="183" t="str">
        <f>'Pricing Details'!Z186</f>
        <v/>
      </c>
      <c r="AB196" s="178" t="str">
        <f>'Pricing Details'!AC186</f>
        <v/>
      </c>
      <c r="AC196" s="79"/>
      <c r="AD196" s="41" t="str">
        <f>IFERROR(_xlfn.XLOOKUP(K196,Collection[Display],Collection[Line])&amp;_xlfn.XLOOKUP(L196,Sleeve[Display],Sleeve[Sleeve]),"")</f>
        <v/>
      </c>
    </row>
    <row r="197" spans="1:30" s="41" customFormat="1" ht="30" customHeight="1" x14ac:dyDescent="0.2">
      <c r="A197" s="79"/>
      <c r="B197" s="70">
        <v>184</v>
      </c>
      <c r="C197" s="71"/>
      <c r="D197" s="71"/>
      <c r="E197" s="274"/>
      <c r="F197" s="214"/>
      <c r="G197" s="191"/>
      <c r="H197" s="74"/>
      <c r="I197" s="74"/>
      <c r="J197" s="74"/>
      <c r="K197" s="74"/>
      <c r="L197" s="73"/>
      <c r="M197" s="74"/>
      <c r="N197" s="71"/>
      <c r="O197" s="74"/>
      <c r="P197" s="74"/>
      <c r="Q197" s="74"/>
      <c r="R197" s="73"/>
      <c r="S197" s="73"/>
      <c r="T197" s="73"/>
      <c r="U197" s="73"/>
      <c r="V197" s="73"/>
      <c r="W197" s="143"/>
      <c r="X197" s="45" t="str">
        <f>IF(M197="","",'Pricing Details'!D187+'Pricing Details'!Q187)</f>
        <v/>
      </c>
      <c r="Y197" s="45" t="str">
        <f>IF(M197="","",'Pricing Details'!V187)</f>
        <v/>
      </c>
      <c r="Z197" s="43" t="str">
        <f>IF(M197="","",'Pricing Details'!X187)</f>
        <v/>
      </c>
      <c r="AA197" s="183" t="str">
        <f>'Pricing Details'!Z187</f>
        <v/>
      </c>
      <c r="AB197" s="178" t="str">
        <f>'Pricing Details'!AC187</f>
        <v/>
      </c>
      <c r="AC197" s="79"/>
      <c r="AD197" s="41" t="str">
        <f>IFERROR(_xlfn.XLOOKUP(K197,Collection[Display],Collection[Line])&amp;_xlfn.XLOOKUP(L197,Sleeve[Display],Sleeve[Sleeve]),"")</f>
        <v/>
      </c>
    </row>
    <row r="198" spans="1:30" s="41" customFormat="1" ht="30" customHeight="1" x14ac:dyDescent="0.2">
      <c r="A198" s="79"/>
      <c r="B198" s="70">
        <v>185</v>
      </c>
      <c r="C198" s="71"/>
      <c r="D198" s="71"/>
      <c r="E198" s="274"/>
      <c r="F198" s="214"/>
      <c r="G198" s="191"/>
      <c r="H198" s="74"/>
      <c r="I198" s="74"/>
      <c r="J198" s="74"/>
      <c r="K198" s="74"/>
      <c r="L198" s="73"/>
      <c r="M198" s="74"/>
      <c r="N198" s="71"/>
      <c r="O198" s="74"/>
      <c r="P198" s="74"/>
      <c r="Q198" s="74"/>
      <c r="R198" s="73"/>
      <c r="S198" s="73"/>
      <c r="T198" s="73"/>
      <c r="U198" s="73"/>
      <c r="V198" s="73"/>
      <c r="W198" s="143"/>
      <c r="X198" s="45" t="str">
        <f>IF(M198="","",'Pricing Details'!D188+'Pricing Details'!Q188)</f>
        <v/>
      </c>
      <c r="Y198" s="45" t="str">
        <f>IF(M198="","",'Pricing Details'!V188)</f>
        <v/>
      </c>
      <c r="Z198" s="43" t="str">
        <f>IF(M198="","",'Pricing Details'!X188)</f>
        <v/>
      </c>
      <c r="AA198" s="183" t="str">
        <f>'Pricing Details'!Z188</f>
        <v/>
      </c>
      <c r="AB198" s="178" t="str">
        <f>'Pricing Details'!AC188</f>
        <v/>
      </c>
      <c r="AC198" s="79"/>
      <c r="AD198" s="41" t="str">
        <f>IFERROR(_xlfn.XLOOKUP(K198,Collection[Display],Collection[Line])&amp;_xlfn.XLOOKUP(L198,Sleeve[Display],Sleeve[Sleeve]),"")</f>
        <v/>
      </c>
    </row>
    <row r="199" spans="1:30" s="41" customFormat="1" ht="30" customHeight="1" x14ac:dyDescent="0.2">
      <c r="A199" s="79"/>
      <c r="B199" s="70">
        <v>186</v>
      </c>
      <c r="C199" s="71"/>
      <c r="D199" s="71"/>
      <c r="E199" s="274"/>
      <c r="F199" s="214"/>
      <c r="G199" s="191"/>
      <c r="H199" s="74"/>
      <c r="I199" s="74"/>
      <c r="J199" s="74"/>
      <c r="K199" s="74"/>
      <c r="L199" s="73"/>
      <c r="M199" s="74"/>
      <c r="N199" s="71"/>
      <c r="O199" s="74"/>
      <c r="P199" s="74"/>
      <c r="Q199" s="74"/>
      <c r="R199" s="73"/>
      <c r="S199" s="73"/>
      <c r="T199" s="73"/>
      <c r="U199" s="73"/>
      <c r="V199" s="73"/>
      <c r="W199" s="143"/>
      <c r="X199" s="45" t="str">
        <f>IF(M199="","",'Pricing Details'!D189+'Pricing Details'!Q189)</f>
        <v/>
      </c>
      <c r="Y199" s="45" t="str">
        <f>IF(M199="","",'Pricing Details'!V189)</f>
        <v/>
      </c>
      <c r="Z199" s="43" t="str">
        <f>IF(M199="","",'Pricing Details'!X189)</f>
        <v/>
      </c>
      <c r="AA199" s="183" t="str">
        <f>'Pricing Details'!Z189</f>
        <v/>
      </c>
      <c r="AB199" s="178" t="str">
        <f>'Pricing Details'!AC189</f>
        <v/>
      </c>
      <c r="AC199" s="79"/>
      <c r="AD199" s="41" t="str">
        <f>IFERROR(_xlfn.XLOOKUP(K199,Collection[Display],Collection[Line])&amp;_xlfn.XLOOKUP(L199,Sleeve[Display],Sleeve[Sleeve]),"")</f>
        <v/>
      </c>
    </row>
    <row r="200" spans="1:30" s="41" customFormat="1" ht="30" customHeight="1" x14ac:dyDescent="0.2">
      <c r="A200" s="79"/>
      <c r="B200" s="70">
        <v>187</v>
      </c>
      <c r="C200" s="71"/>
      <c r="D200" s="71"/>
      <c r="E200" s="274"/>
      <c r="F200" s="214"/>
      <c r="G200" s="191"/>
      <c r="H200" s="74"/>
      <c r="I200" s="74"/>
      <c r="J200" s="74"/>
      <c r="K200" s="74"/>
      <c r="L200" s="73"/>
      <c r="M200" s="74"/>
      <c r="N200" s="71"/>
      <c r="O200" s="74"/>
      <c r="P200" s="74"/>
      <c r="Q200" s="74"/>
      <c r="R200" s="73"/>
      <c r="S200" s="73"/>
      <c r="T200" s="73"/>
      <c r="U200" s="73"/>
      <c r="V200" s="73"/>
      <c r="W200" s="143"/>
      <c r="X200" s="45" t="str">
        <f>IF(M200="","",'Pricing Details'!D190+'Pricing Details'!Q190)</f>
        <v/>
      </c>
      <c r="Y200" s="45" t="str">
        <f>IF(M200="","",'Pricing Details'!V190)</f>
        <v/>
      </c>
      <c r="Z200" s="43" t="str">
        <f>IF(M200="","",'Pricing Details'!X190)</f>
        <v/>
      </c>
      <c r="AA200" s="183" t="str">
        <f>'Pricing Details'!Z190</f>
        <v/>
      </c>
      <c r="AB200" s="178" t="str">
        <f>'Pricing Details'!AC190</f>
        <v/>
      </c>
      <c r="AC200" s="79"/>
      <c r="AD200" s="41" t="str">
        <f>IFERROR(_xlfn.XLOOKUP(K200,Collection[Display],Collection[Line])&amp;_xlfn.XLOOKUP(L200,Sleeve[Display],Sleeve[Sleeve]),"")</f>
        <v/>
      </c>
    </row>
    <row r="201" spans="1:30" s="41" customFormat="1" ht="30" customHeight="1" x14ac:dyDescent="0.2">
      <c r="A201" s="79"/>
      <c r="B201" s="70">
        <v>188</v>
      </c>
      <c r="C201" s="71"/>
      <c r="D201" s="71"/>
      <c r="E201" s="274"/>
      <c r="F201" s="214"/>
      <c r="G201" s="191"/>
      <c r="H201" s="74"/>
      <c r="I201" s="74"/>
      <c r="J201" s="74"/>
      <c r="K201" s="74"/>
      <c r="L201" s="73"/>
      <c r="M201" s="74"/>
      <c r="N201" s="71"/>
      <c r="O201" s="74"/>
      <c r="P201" s="74"/>
      <c r="Q201" s="74"/>
      <c r="R201" s="73"/>
      <c r="S201" s="73"/>
      <c r="T201" s="73"/>
      <c r="U201" s="73"/>
      <c r="V201" s="73"/>
      <c r="W201" s="143"/>
      <c r="X201" s="45" t="str">
        <f>IF(M201="","",'Pricing Details'!D191+'Pricing Details'!Q191)</f>
        <v/>
      </c>
      <c r="Y201" s="45" t="str">
        <f>IF(M201="","",'Pricing Details'!V191)</f>
        <v/>
      </c>
      <c r="Z201" s="43" t="str">
        <f>IF(M201="","",'Pricing Details'!X191)</f>
        <v/>
      </c>
      <c r="AA201" s="183" t="str">
        <f>'Pricing Details'!Z191</f>
        <v/>
      </c>
      <c r="AB201" s="178" t="str">
        <f>'Pricing Details'!AC191</f>
        <v/>
      </c>
      <c r="AC201" s="79"/>
      <c r="AD201" s="41" t="str">
        <f>IFERROR(_xlfn.XLOOKUP(K201,Collection[Display],Collection[Line])&amp;_xlfn.XLOOKUP(L201,Sleeve[Display],Sleeve[Sleeve]),"")</f>
        <v/>
      </c>
    </row>
    <row r="202" spans="1:30" s="41" customFormat="1" ht="30" customHeight="1" x14ac:dyDescent="0.2">
      <c r="A202" s="79"/>
      <c r="B202" s="70">
        <v>189</v>
      </c>
      <c r="C202" s="71"/>
      <c r="D202" s="71"/>
      <c r="E202" s="274"/>
      <c r="F202" s="214"/>
      <c r="G202" s="191"/>
      <c r="H202" s="74"/>
      <c r="I202" s="74"/>
      <c r="J202" s="74"/>
      <c r="K202" s="74"/>
      <c r="L202" s="73"/>
      <c r="M202" s="74"/>
      <c r="N202" s="71"/>
      <c r="O202" s="74"/>
      <c r="P202" s="74"/>
      <c r="Q202" s="74"/>
      <c r="R202" s="73"/>
      <c r="S202" s="73"/>
      <c r="T202" s="73"/>
      <c r="U202" s="73"/>
      <c r="V202" s="73"/>
      <c r="W202" s="143"/>
      <c r="X202" s="45" t="str">
        <f>IF(M202="","",'Pricing Details'!D192+'Pricing Details'!Q192)</f>
        <v/>
      </c>
      <c r="Y202" s="45" t="str">
        <f>IF(M202="","",'Pricing Details'!V192)</f>
        <v/>
      </c>
      <c r="Z202" s="43" t="str">
        <f>IF(M202="","",'Pricing Details'!X192)</f>
        <v/>
      </c>
      <c r="AA202" s="183" t="str">
        <f>'Pricing Details'!Z192</f>
        <v/>
      </c>
      <c r="AB202" s="178" t="str">
        <f>'Pricing Details'!AC192</f>
        <v/>
      </c>
      <c r="AC202" s="79"/>
      <c r="AD202" s="41" t="str">
        <f>IFERROR(_xlfn.XLOOKUP(K202,Collection[Display],Collection[Line])&amp;_xlfn.XLOOKUP(L202,Sleeve[Display],Sleeve[Sleeve]),"")</f>
        <v/>
      </c>
    </row>
    <row r="203" spans="1:30" s="41" customFormat="1" ht="30" customHeight="1" x14ac:dyDescent="0.2">
      <c r="A203" s="79"/>
      <c r="B203" s="70">
        <v>190</v>
      </c>
      <c r="C203" s="71"/>
      <c r="D203" s="71"/>
      <c r="E203" s="274"/>
      <c r="F203" s="214"/>
      <c r="G203" s="191"/>
      <c r="H203" s="74"/>
      <c r="I203" s="74"/>
      <c r="J203" s="74"/>
      <c r="K203" s="74"/>
      <c r="L203" s="73"/>
      <c r="M203" s="74"/>
      <c r="N203" s="71"/>
      <c r="O203" s="74"/>
      <c r="P203" s="74"/>
      <c r="Q203" s="74"/>
      <c r="R203" s="73"/>
      <c r="S203" s="73"/>
      <c r="T203" s="73"/>
      <c r="U203" s="73"/>
      <c r="V203" s="73"/>
      <c r="W203" s="143"/>
      <c r="X203" s="45" t="str">
        <f>IF(M203="","",'Pricing Details'!D193+'Pricing Details'!Q193)</f>
        <v/>
      </c>
      <c r="Y203" s="45" t="str">
        <f>IF(M203="","",'Pricing Details'!V193)</f>
        <v/>
      </c>
      <c r="Z203" s="43" t="str">
        <f>IF(M203="","",'Pricing Details'!X193)</f>
        <v/>
      </c>
      <c r="AA203" s="183" t="str">
        <f>'Pricing Details'!Z193</f>
        <v/>
      </c>
      <c r="AB203" s="178" t="str">
        <f>'Pricing Details'!AC193</f>
        <v/>
      </c>
      <c r="AC203" s="79"/>
      <c r="AD203" s="41" t="str">
        <f>IFERROR(_xlfn.XLOOKUP(K203,Collection[Display],Collection[Line])&amp;_xlfn.XLOOKUP(L203,Sleeve[Display],Sleeve[Sleeve]),"")</f>
        <v/>
      </c>
    </row>
    <row r="204" spans="1:30" s="41" customFormat="1" ht="30" customHeight="1" x14ac:dyDescent="0.2">
      <c r="A204" s="79"/>
      <c r="B204" s="70">
        <v>191</v>
      </c>
      <c r="C204" s="71"/>
      <c r="D204" s="71"/>
      <c r="E204" s="274"/>
      <c r="F204" s="214"/>
      <c r="G204" s="191"/>
      <c r="H204" s="74"/>
      <c r="I204" s="74"/>
      <c r="J204" s="74"/>
      <c r="K204" s="74"/>
      <c r="L204" s="73"/>
      <c r="M204" s="74"/>
      <c r="N204" s="71"/>
      <c r="O204" s="74"/>
      <c r="P204" s="74"/>
      <c r="Q204" s="74"/>
      <c r="R204" s="73"/>
      <c r="S204" s="73"/>
      <c r="T204" s="73"/>
      <c r="U204" s="73"/>
      <c r="V204" s="73"/>
      <c r="W204" s="143"/>
      <c r="X204" s="45" t="str">
        <f>IF(M204="","",'Pricing Details'!D194+'Pricing Details'!Q194)</f>
        <v/>
      </c>
      <c r="Y204" s="45" t="str">
        <f>IF(M204="","",'Pricing Details'!V194)</f>
        <v/>
      </c>
      <c r="Z204" s="43" t="str">
        <f>IF(M204="","",'Pricing Details'!X194)</f>
        <v/>
      </c>
      <c r="AA204" s="183" t="str">
        <f>'Pricing Details'!Z194</f>
        <v/>
      </c>
      <c r="AB204" s="178" t="str">
        <f>'Pricing Details'!AC194</f>
        <v/>
      </c>
      <c r="AC204" s="79"/>
      <c r="AD204" s="41" t="str">
        <f>IFERROR(_xlfn.XLOOKUP(K204,Collection[Display],Collection[Line])&amp;_xlfn.XLOOKUP(L204,Sleeve[Display],Sleeve[Sleeve]),"")</f>
        <v/>
      </c>
    </row>
    <row r="205" spans="1:30" s="41" customFormat="1" ht="30" customHeight="1" x14ac:dyDescent="0.2">
      <c r="A205" s="79"/>
      <c r="B205" s="70">
        <v>192</v>
      </c>
      <c r="C205" s="71"/>
      <c r="D205" s="71"/>
      <c r="E205" s="274"/>
      <c r="F205" s="214"/>
      <c r="G205" s="191"/>
      <c r="H205" s="74"/>
      <c r="I205" s="74"/>
      <c r="J205" s="74"/>
      <c r="K205" s="74"/>
      <c r="L205" s="73"/>
      <c r="M205" s="74"/>
      <c r="N205" s="71"/>
      <c r="O205" s="74"/>
      <c r="P205" s="74"/>
      <c r="Q205" s="74"/>
      <c r="R205" s="73"/>
      <c r="S205" s="73"/>
      <c r="T205" s="73"/>
      <c r="U205" s="73"/>
      <c r="V205" s="73"/>
      <c r="W205" s="143"/>
      <c r="X205" s="45" t="str">
        <f>IF(M205="","",'Pricing Details'!D195+'Pricing Details'!Q195)</f>
        <v/>
      </c>
      <c r="Y205" s="45" t="str">
        <f>IF(M205="","",'Pricing Details'!V195)</f>
        <v/>
      </c>
      <c r="Z205" s="43" t="str">
        <f>IF(M205="","",'Pricing Details'!X195)</f>
        <v/>
      </c>
      <c r="AA205" s="183" t="str">
        <f>'Pricing Details'!Z195</f>
        <v/>
      </c>
      <c r="AB205" s="178" t="str">
        <f>'Pricing Details'!AC195</f>
        <v/>
      </c>
      <c r="AC205" s="79"/>
      <c r="AD205" s="41" t="str">
        <f>IFERROR(_xlfn.XLOOKUP(K205,Collection[Display],Collection[Line])&amp;_xlfn.XLOOKUP(L205,Sleeve[Display],Sleeve[Sleeve]),"")</f>
        <v/>
      </c>
    </row>
    <row r="206" spans="1:30" s="41" customFormat="1" ht="30" customHeight="1" x14ac:dyDescent="0.2">
      <c r="A206" s="79"/>
      <c r="B206" s="70">
        <v>193</v>
      </c>
      <c r="C206" s="71"/>
      <c r="D206" s="71"/>
      <c r="E206" s="274"/>
      <c r="F206" s="214"/>
      <c r="G206" s="191"/>
      <c r="H206" s="74"/>
      <c r="I206" s="74"/>
      <c r="J206" s="74"/>
      <c r="K206" s="74"/>
      <c r="L206" s="73"/>
      <c r="M206" s="74"/>
      <c r="N206" s="71"/>
      <c r="O206" s="74"/>
      <c r="P206" s="74"/>
      <c r="Q206" s="74"/>
      <c r="R206" s="73"/>
      <c r="S206" s="73"/>
      <c r="T206" s="73"/>
      <c r="U206" s="73"/>
      <c r="V206" s="73"/>
      <c r="W206" s="143"/>
      <c r="X206" s="45" t="str">
        <f>IF(M206="","",'Pricing Details'!D196+'Pricing Details'!Q196)</f>
        <v/>
      </c>
      <c r="Y206" s="45" t="str">
        <f>IF(M206="","",'Pricing Details'!V196)</f>
        <v/>
      </c>
      <c r="Z206" s="43" t="str">
        <f>IF(M206="","",'Pricing Details'!X196)</f>
        <v/>
      </c>
      <c r="AA206" s="183" t="str">
        <f>'Pricing Details'!Z196</f>
        <v/>
      </c>
      <c r="AB206" s="178" t="str">
        <f>'Pricing Details'!AC196</f>
        <v/>
      </c>
      <c r="AC206" s="79"/>
      <c r="AD206" s="41" t="str">
        <f>IFERROR(_xlfn.XLOOKUP(K206,Collection[Display],Collection[Line])&amp;_xlfn.XLOOKUP(L206,Sleeve[Display],Sleeve[Sleeve]),"")</f>
        <v/>
      </c>
    </row>
    <row r="207" spans="1:30" s="41" customFormat="1" ht="30" customHeight="1" x14ac:dyDescent="0.2">
      <c r="A207" s="79"/>
      <c r="B207" s="70">
        <v>194</v>
      </c>
      <c r="C207" s="71"/>
      <c r="D207" s="71"/>
      <c r="E207" s="274"/>
      <c r="F207" s="214"/>
      <c r="G207" s="191"/>
      <c r="H207" s="74"/>
      <c r="I207" s="74"/>
      <c r="J207" s="74"/>
      <c r="K207" s="74"/>
      <c r="L207" s="73"/>
      <c r="M207" s="74"/>
      <c r="N207" s="71"/>
      <c r="O207" s="74"/>
      <c r="P207" s="74"/>
      <c r="Q207" s="74"/>
      <c r="R207" s="73"/>
      <c r="S207" s="73"/>
      <c r="T207" s="73"/>
      <c r="U207" s="73"/>
      <c r="V207" s="73"/>
      <c r="W207" s="143"/>
      <c r="X207" s="45" t="str">
        <f>IF(M207="","",'Pricing Details'!D197+'Pricing Details'!Q197)</f>
        <v/>
      </c>
      <c r="Y207" s="45" t="str">
        <f>IF(M207="","",'Pricing Details'!V197)</f>
        <v/>
      </c>
      <c r="Z207" s="43" t="str">
        <f>IF(M207="","",'Pricing Details'!X197)</f>
        <v/>
      </c>
      <c r="AA207" s="183" t="str">
        <f>'Pricing Details'!Z197</f>
        <v/>
      </c>
      <c r="AB207" s="178" t="str">
        <f>'Pricing Details'!AC197</f>
        <v/>
      </c>
      <c r="AC207" s="79"/>
      <c r="AD207" s="41" t="str">
        <f>IFERROR(_xlfn.XLOOKUP(K207,Collection[Display],Collection[Line])&amp;_xlfn.XLOOKUP(L207,Sleeve[Display],Sleeve[Sleeve]),"")</f>
        <v/>
      </c>
    </row>
    <row r="208" spans="1:30" s="41" customFormat="1" ht="30" customHeight="1" x14ac:dyDescent="0.2">
      <c r="A208" s="79"/>
      <c r="B208" s="70">
        <v>195</v>
      </c>
      <c r="C208" s="71"/>
      <c r="D208" s="71"/>
      <c r="E208" s="274"/>
      <c r="F208" s="214"/>
      <c r="G208" s="191"/>
      <c r="H208" s="74"/>
      <c r="I208" s="74"/>
      <c r="J208" s="74"/>
      <c r="K208" s="74"/>
      <c r="L208" s="73"/>
      <c r="M208" s="74"/>
      <c r="N208" s="71"/>
      <c r="O208" s="74"/>
      <c r="P208" s="74"/>
      <c r="Q208" s="74"/>
      <c r="R208" s="73"/>
      <c r="S208" s="73"/>
      <c r="T208" s="73"/>
      <c r="U208" s="73"/>
      <c r="V208" s="73"/>
      <c r="W208" s="143"/>
      <c r="X208" s="45" t="str">
        <f>IF(M208="","",'Pricing Details'!D198+'Pricing Details'!Q198)</f>
        <v/>
      </c>
      <c r="Y208" s="45" t="str">
        <f>IF(M208="","",'Pricing Details'!V198)</f>
        <v/>
      </c>
      <c r="Z208" s="43" t="str">
        <f>IF(M208="","",'Pricing Details'!X198)</f>
        <v/>
      </c>
      <c r="AA208" s="183" t="str">
        <f>'Pricing Details'!Z198</f>
        <v/>
      </c>
      <c r="AB208" s="178" t="str">
        <f>'Pricing Details'!AC198</f>
        <v/>
      </c>
      <c r="AC208" s="79"/>
      <c r="AD208" s="41" t="str">
        <f>IFERROR(_xlfn.XLOOKUP(K208,Collection[Display],Collection[Line])&amp;_xlfn.XLOOKUP(L208,Sleeve[Display],Sleeve[Sleeve]),"")</f>
        <v/>
      </c>
    </row>
    <row r="209" spans="1:30" s="41" customFormat="1" ht="30" customHeight="1" x14ac:dyDescent="0.2">
      <c r="A209" s="79"/>
      <c r="B209" s="70">
        <v>196</v>
      </c>
      <c r="C209" s="71"/>
      <c r="D209" s="71"/>
      <c r="E209" s="274"/>
      <c r="F209" s="214"/>
      <c r="G209" s="191"/>
      <c r="H209" s="74"/>
      <c r="I209" s="74"/>
      <c r="J209" s="74"/>
      <c r="K209" s="74"/>
      <c r="L209" s="73"/>
      <c r="M209" s="74"/>
      <c r="N209" s="71"/>
      <c r="O209" s="74"/>
      <c r="P209" s="74"/>
      <c r="Q209" s="74"/>
      <c r="R209" s="73"/>
      <c r="S209" s="73"/>
      <c r="T209" s="73"/>
      <c r="U209" s="73"/>
      <c r="V209" s="73"/>
      <c r="W209" s="143"/>
      <c r="X209" s="45" t="str">
        <f>IF(M209="","",'Pricing Details'!D199+'Pricing Details'!Q199)</f>
        <v/>
      </c>
      <c r="Y209" s="45" t="str">
        <f>IF(M209="","",'Pricing Details'!V199)</f>
        <v/>
      </c>
      <c r="Z209" s="43" t="str">
        <f>IF(M209="","",'Pricing Details'!X199)</f>
        <v/>
      </c>
      <c r="AA209" s="183" t="str">
        <f>'Pricing Details'!Z199</f>
        <v/>
      </c>
      <c r="AB209" s="178" t="str">
        <f>'Pricing Details'!AC199</f>
        <v/>
      </c>
      <c r="AC209" s="79"/>
      <c r="AD209" s="41" t="str">
        <f>IFERROR(_xlfn.XLOOKUP(K209,Collection[Display],Collection[Line])&amp;_xlfn.XLOOKUP(L209,Sleeve[Display],Sleeve[Sleeve]),"")</f>
        <v/>
      </c>
    </row>
    <row r="210" spans="1:30" s="41" customFormat="1" ht="30" customHeight="1" x14ac:dyDescent="0.2">
      <c r="A210" s="79"/>
      <c r="B210" s="70">
        <v>197</v>
      </c>
      <c r="C210" s="71"/>
      <c r="D210" s="71"/>
      <c r="E210" s="274"/>
      <c r="F210" s="214"/>
      <c r="G210" s="191"/>
      <c r="H210" s="74"/>
      <c r="I210" s="74"/>
      <c r="J210" s="74"/>
      <c r="K210" s="74"/>
      <c r="L210" s="73"/>
      <c r="M210" s="74"/>
      <c r="N210" s="71"/>
      <c r="O210" s="74"/>
      <c r="P210" s="74"/>
      <c r="Q210" s="74"/>
      <c r="R210" s="73"/>
      <c r="S210" s="73"/>
      <c r="T210" s="73"/>
      <c r="U210" s="73"/>
      <c r="V210" s="73"/>
      <c r="W210" s="143"/>
      <c r="X210" s="45" t="str">
        <f>IF(M210="","",'Pricing Details'!D200+'Pricing Details'!Q200)</f>
        <v/>
      </c>
      <c r="Y210" s="45" t="str">
        <f>IF(M210="","",'Pricing Details'!V200)</f>
        <v/>
      </c>
      <c r="Z210" s="43" t="str">
        <f>IF(M210="","",'Pricing Details'!X200)</f>
        <v/>
      </c>
      <c r="AA210" s="183" t="str">
        <f>'Pricing Details'!Z200</f>
        <v/>
      </c>
      <c r="AB210" s="178" t="str">
        <f>'Pricing Details'!AC200</f>
        <v/>
      </c>
      <c r="AC210" s="79"/>
      <c r="AD210" s="41" t="str">
        <f>IFERROR(_xlfn.XLOOKUP(K210,Collection[Display],Collection[Line])&amp;_xlfn.XLOOKUP(L210,Sleeve[Display],Sleeve[Sleeve]),"")</f>
        <v/>
      </c>
    </row>
    <row r="211" spans="1:30" s="41" customFormat="1" ht="30" customHeight="1" x14ac:dyDescent="0.2">
      <c r="A211" s="79"/>
      <c r="B211" s="70">
        <v>198</v>
      </c>
      <c r="C211" s="71"/>
      <c r="D211" s="71"/>
      <c r="E211" s="274"/>
      <c r="F211" s="214"/>
      <c r="G211" s="191"/>
      <c r="H211" s="74"/>
      <c r="I211" s="74"/>
      <c r="J211" s="74"/>
      <c r="K211" s="74"/>
      <c r="L211" s="73"/>
      <c r="M211" s="74"/>
      <c r="N211" s="71"/>
      <c r="O211" s="74"/>
      <c r="P211" s="74"/>
      <c r="Q211" s="74"/>
      <c r="R211" s="73"/>
      <c r="S211" s="73"/>
      <c r="T211" s="73"/>
      <c r="U211" s="73"/>
      <c r="V211" s="73"/>
      <c r="W211" s="143"/>
      <c r="X211" s="45" t="str">
        <f>IF(M211="","",'Pricing Details'!D201+'Pricing Details'!Q201)</f>
        <v/>
      </c>
      <c r="Y211" s="45" t="str">
        <f>IF(M211="","",'Pricing Details'!V201)</f>
        <v/>
      </c>
      <c r="Z211" s="43" t="str">
        <f>IF(M211="","",'Pricing Details'!X201)</f>
        <v/>
      </c>
      <c r="AA211" s="183" t="str">
        <f>'Pricing Details'!Z201</f>
        <v/>
      </c>
      <c r="AB211" s="178" t="str">
        <f>'Pricing Details'!AC201</f>
        <v/>
      </c>
      <c r="AC211" s="79"/>
      <c r="AD211" s="41" t="str">
        <f>IFERROR(_xlfn.XLOOKUP(K211,Collection[Display],Collection[Line])&amp;_xlfn.XLOOKUP(L211,Sleeve[Display],Sleeve[Sleeve]),"")</f>
        <v/>
      </c>
    </row>
    <row r="212" spans="1:30" s="41" customFormat="1" ht="30" customHeight="1" x14ac:dyDescent="0.2">
      <c r="A212" s="79"/>
      <c r="B212" s="70">
        <v>199</v>
      </c>
      <c r="C212" s="71"/>
      <c r="D212" s="71"/>
      <c r="E212" s="274"/>
      <c r="F212" s="214"/>
      <c r="G212" s="191"/>
      <c r="H212" s="74"/>
      <c r="I212" s="74"/>
      <c r="J212" s="74"/>
      <c r="K212" s="74"/>
      <c r="L212" s="73"/>
      <c r="M212" s="74"/>
      <c r="N212" s="71"/>
      <c r="O212" s="74"/>
      <c r="P212" s="74"/>
      <c r="Q212" s="74"/>
      <c r="R212" s="73"/>
      <c r="S212" s="73"/>
      <c r="T212" s="73"/>
      <c r="U212" s="73"/>
      <c r="V212" s="73"/>
      <c r="W212" s="143"/>
      <c r="X212" s="45" t="str">
        <f>IF(M212="","",'Pricing Details'!D202+'Pricing Details'!Q202)</f>
        <v/>
      </c>
      <c r="Y212" s="45" t="str">
        <f>IF(M212="","",'Pricing Details'!V202)</f>
        <v/>
      </c>
      <c r="Z212" s="43" t="str">
        <f>IF(M212="","",'Pricing Details'!X202)</f>
        <v/>
      </c>
      <c r="AA212" s="183" t="str">
        <f>'Pricing Details'!Z202</f>
        <v/>
      </c>
      <c r="AB212" s="178" t="str">
        <f>'Pricing Details'!AC202</f>
        <v/>
      </c>
      <c r="AC212" s="79"/>
      <c r="AD212" s="41" t="str">
        <f>IFERROR(_xlfn.XLOOKUP(K212,Collection[Display],Collection[Line])&amp;_xlfn.XLOOKUP(L212,Sleeve[Display],Sleeve[Sleeve]),"")</f>
        <v/>
      </c>
    </row>
    <row r="213" spans="1:30" s="41" customFormat="1" ht="30" customHeight="1" x14ac:dyDescent="0.2">
      <c r="A213" s="79"/>
      <c r="B213" s="70">
        <v>200</v>
      </c>
      <c r="C213" s="71"/>
      <c r="D213" s="71"/>
      <c r="E213" s="274"/>
      <c r="F213" s="214"/>
      <c r="G213" s="191"/>
      <c r="H213" s="74"/>
      <c r="I213" s="74"/>
      <c r="J213" s="74"/>
      <c r="K213" s="74"/>
      <c r="L213" s="73"/>
      <c r="M213" s="74"/>
      <c r="N213" s="71"/>
      <c r="O213" s="74"/>
      <c r="P213" s="74"/>
      <c r="Q213" s="74"/>
      <c r="R213" s="73"/>
      <c r="S213" s="73"/>
      <c r="T213" s="73"/>
      <c r="U213" s="73"/>
      <c r="V213" s="73"/>
      <c r="W213" s="143"/>
      <c r="X213" s="45" t="str">
        <f>IF(M213="","",'Pricing Details'!D203+'Pricing Details'!Q203)</f>
        <v/>
      </c>
      <c r="Y213" s="45" t="str">
        <f>IF(M213="","",'Pricing Details'!V203)</f>
        <v/>
      </c>
      <c r="Z213" s="43" t="str">
        <f>IF(M213="","",'Pricing Details'!X203)</f>
        <v/>
      </c>
      <c r="AA213" s="183" t="str">
        <f>'Pricing Details'!Z203</f>
        <v/>
      </c>
      <c r="AB213" s="178" t="str">
        <f>'Pricing Details'!AC203</f>
        <v/>
      </c>
      <c r="AC213" s="79"/>
      <c r="AD213" s="41" t="str">
        <f>IFERROR(_xlfn.XLOOKUP(K213,Collection[Display],Collection[Line])&amp;_xlfn.XLOOKUP(L213,Sleeve[Display],Sleeve[Sleeve]),"")</f>
        <v/>
      </c>
    </row>
    <row r="214" spans="1:30" s="41" customFormat="1" ht="30" customHeight="1" x14ac:dyDescent="0.2">
      <c r="A214" s="79"/>
      <c r="B214" s="70">
        <v>201</v>
      </c>
      <c r="C214" s="71"/>
      <c r="D214" s="71"/>
      <c r="E214" s="274"/>
      <c r="F214" s="214"/>
      <c r="G214" s="191"/>
      <c r="H214" s="74"/>
      <c r="I214" s="74"/>
      <c r="J214" s="74"/>
      <c r="K214" s="74"/>
      <c r="L214" s="73"/>
      <c r="M214" s="74"/>
      <c r="N214" s="71"/>
      <c r="O214" s="74"/>
      <c r="P214" s="74"/>
      <c r="Q214" s="74"/>
      <c r="R214" s="73"/>
      <c r="S214" s="73"/>
      <c r="T214" s="73"/>
      <c r="U214" s="73"/>
      <c r="V214" s="73"/>
      <c r="W214" s="143"/>
      <c r="X214" s="45" t="str">
        <f>IF(M214="","",'Pricing Details'!D204+'Pricing Details'!Q204)</f>
        <v/>
      </c>
      <c r="Y214" s="45" t="str">
        <f>IF(M214="","",'Pricing Details'!V204)</f>
        <v/>
      </c>
      <c r="Z214" s="43" t="str">
        <f>IF(M214="","",'Pricing Details'!X204)</f>
        <v/>
      </c>
      <c r="AA214" s="183" t="str">
        <f>'Pricing Details'!Z204</f>
        <v/>
      </c>
      <c r="AB214" s="178" t="str">
        <f>'Pricing Details'!AC204</f>
        <v/>
      </c>
      <c r="AC214" s="79"/>
      <c r="AD214" s="41" t="str">
        <f>IFERROR(_xlfn.XLOOKUP(K214,Collection[Display],Collection[Line])&amp;_xlfn.XLOOKUP(L214,Sleeve[Display],Sleeve[Sleeve]),"")</f>
        <v/>
      </c>
    </row>
    <row r="215" spans="1:30" s="41" customFormat="1" ht="30" customHeight="1" x14ac:dyDescent="0.2">
      <c r="A215" s="79"/>
      <c r="B215" s="70">
        <v>202</v>
      </c>
      <c r="C215" s="71"/>
      <c r="D215" s="71"/>
      <c r="E215" s="274"/>
      <c r="F215" s="214"/>
      <c r="G215" s="191"/>
      <c r="H215" s="74"/>
      <c r="I215" s="74"/>
      <c r="J215" s="74"/>
      <c r="K215" s="74"/>
      <c r="L215" s="73"/>
      <c r="M215" s="74"/>
      <c r="N215" s="71"/>
      <c r="O215" s="74"/>
      <c r="P215" s="74"/>
      <c r="Q215" s="74"/>
      <c r="R215" s="73"/>
      <c r="S215" s="73"/>
      <c r="T215" s="73"/>
      <c r="U215" s="73"/>
      <c r="V215" s="73"/>
      <c r="W215" s="143"/>
      <c r="X215" s="45" t="str">
        <f>IF(M215="","",'Pricing Details'!D205+'Pricing Details'!Q205)</f>
        <v/>
      </c>
      <c r="Y215" s="45" t="str">
        <f>IF(M215="","",'Pricing Details'!V205)</f>
        <v/>
      </c>
      <c r="Z215" s="43" t="str">
        <f>IF(M215="","",'Pricing Details'!X205)</f>
        <v/>
      </c>
      <c r="AA215" s="183" t="str">
        <f>'Pricing Details'!Z205</f>
        <v/>
      </c>
      <c r="AB215" s="178" t="str">
        <f>'Pricing Details'!AC205</f>
        <v/>
      </c>
      <c r="AC215" s="79"/>
      <c r="AD215" s="41" t="str">
        <f>IFERROR(_xlfn.XLOOKUP(K215,Collection[Display],Collection[Line])&amp;_xlfn.XLOOKUP(L215,Sleeve[Display],Sleeve[Sleeve]),"")</f>
        <v/>
      </c>
    </row>
    <row r="216" spans="1:30" s="41" customFormat="1" ht="30" customHeight="1" x14ac:dyDescent="0.2">
      <c r="A216" s="79"/>
      <c r="B216" s="70">
        <v>203</v>
      </c>
      <c r="C216" s="71"/>
      <c r="D216" s="71"/>
      <c r="E216" s="274"/>
      <c r="F216" s="214"/>
      <c r="G216" s="191"/>
      <c r="H216" s="74"/>
      <c r="I216" s="74"/>
      <c r="J216" s="74"/>
      <c r="K216" s="74"/>
      <c r="L216" s="73"/>
      <c r="M216" s="74"/>
      <c r="N216" s="71"/>
      <c r="O216" s="74"/>
      <c r="P216" s="74"/>
      <c r="Q216" s="74"/>
      <c r="R216" s="73"/>
      <c r="S216" s="73"/>
      <c r="T216" s="73"/>
      <c r="U216" s="73"/>
      <c r="V216" s="73"/>
      <c r="W216" s="143"/>
      <c r="X216" s="45" t="str">
        <f>IF(M216="","",'Pricing Details'!D206+'Pricing Details'!Q206)</f>
        <v/>
      </c>
      <c r="Y216" s="45" t="str">
        <f>IF(M216="","",'Pricing Details'!V206)</f>
        <v/>
      </c>
      <c r="Z216" s="43" t="str">
        <f>IF(M216="","",'Pricing Details'!X206)</f>
        <v/>
      </c>
      <c r="AA216" s="183" t="str">
        <f>'Pricing Details'!Z206</f>
        <v/>
      </c>
      <c r="AB216" s="178" t="str">
        <f>'Pricing Details'!AC206</f>
        <v/>
      </c>
      <c r="AC216" s="79"/>
      <c r="AD216" s="41" t="str">
        <f>IFERROR(_xlfn.XLOOKUP(K216,Collection[Display],Collection[Line])&amp;_xlfn.XLOOKUP(L216,Sleeve[Display],Sleeve[Sleeve]),"")</f>
        <v/>
      </c>
    </row>
    <row r="217" spans="1:30" s="41" customFormat="1" ht="30" customHeight="1" x14ac:dyDescent="0.2">
      <c r="A217" s="79"/>
      <c r="B217" s="70">
        <v>204</v>
      </c>
      <c r="C217" s="71"/>
      <c r="D217" s="71"/>
      <c r="E217" s="274"/>
      <c r="F217" s="214"/>
      <c r="G217" s="191"/>
      <c r="H217" s="74"/>
      <c r="I217" s="74"/>
      <c r="J217" s="74"/>
      <c r="K217" s="74"/>
      <c r="L217" s="73"/>
      <c r="M217" s="74"/>
      <c r="N217" s="71"/>
      <c r="O217" s="74"/>
      <c r="P217" s="74"/>
      <c r="Q217" s="74"/>
      <c r="R217" s="73"/>
      <c r="S217" s="73"/>
      <c r="T217" s="73"/>
      <c r="U217" s="73"/>
      <c r="V217" s="73"/>
      <c r="W217" s="143"/>
      <c r="X217" s="45" t="str">
        <f>IF(M217="","",'Pricing Details'!D207+'Pricing Details'!Q207)</f>
        <v/>
      </c>
      <c r="Y217" s="45" t="str">
        <f>IF(M217="","",'Pricing Details'!V207)</f>
        <v/>
      </c>
      <c r="Z217" s="43" t="str">
        <f>IF(M217="","",'Pricing Details'!X207)</f>
        <v/>
      </c>
      <c r="AA217" s="183" t="str">
        <f>'Pricing Details'!Z207</f>
        <v/>
      </c>
      <c r="AB217" s="178" t="str">
        <f>'Pricing Details'!AC207</f>
        <v/>
      </c>
      <c r="AC217" s="79"/>
      <c r="AD217" s="41" t="str">
        <f>IFERROR(_xlfn.XLOOKUP(K217,Collection[Display],Collection[Line])&amp;_xlfn.XLOOKUP(L217,Sleeve[Display],Sleeve[Sleeve]),"")</f>
        <v/>
      </c>
    </row>
    <row r="218" spans="1:30" s="41" customFormat="1" ht="30" customHeight="1" x14ac:dyDescent="0.2">
      <c r="A218" s="79"/>
      <c r="B218" s="70">
        <v>205</v>
      </c>
      <c r="C218" s="71"/>
      <c r="D218" s="71"/>
      <c r="E218" s="274"/>
      <c r="F218" s="214"/>
      <c r="G218" s="191"/>
      <c r="H218" s="74"/>
      <c r="I218" s="74"/>
      <c r="J218" s="74"/>
      <c r="K218" s="74"/>
      <c r="L218" s="73"/>
      <c r="M218" s="74"/>
      <c r="N218" s="71"/>
      <c r="O218" s="74"/>
      <c r="P218" s="74"/>
      <c r="Q218" s="74"/>
      <c r="R218" s="73"/>
      <c r="S218" s="73"/>
      <c r="T218" s="73"/>
      <c r="U218" s="73"/>
      <c r="V218" s="73"/>
      <c r="W218" s="143"/>
      <c r="X218" s="45" t="str">
        <f>IF(M218="","",'Pricing Details'!D208+'Pricing Details'!Q208)</f>
        <v/>
      </c>
      <c r="Y218" s="45" t="str">
        <f>IF(M218="","",'Pricing Details'!V208)</f>
        <v/>
      </c>
      <c r="Z218" s="43" t="str">
        <f>IF(M218="","",'Pricing Details'!X208)</f>
        <v/>
      </c>
      <c r="AA218" s="183" t="str">
        <f>'Pricing Details'!Z208</f>
        <v/>
      </c>
      <c r="AB218" s="178" t="str">
        <f>'Pricing Details'!AC208</f>
        <v/>
      </c>
      <c r="AC218" s="79"/>
      <c r="AD218" s="41" t="str">
        <f>IFERROR(_xlfn.XLOOKUP(K218,Collection[Display],Collection[Line])&amp;_xlfn.XLOOKUP(L218,Sleeve[Display],Sleeve[Sleeve]),"")</f>
        <v/>
      </c>
    </row>
    <row r="219" spans="1:30" s="41" customFormat="1" ht="30" customHeight="1" x14ac:dyDescent="0.2">
      <c r="A219" s="79"/>
      <c r="B219" s="70">
        <v>206</v>
      </c>
      <c r="C219" s="71"/>
      <c r="D219" s="71"/>
      <c r="E219" s="274"/>
      <c r="F219" s="214"/>
      <c r="G219" s="191"/>
      <c r="H219" s="74"/>
      <c r="I219" s="74"/>
      <c r="J219" s="74"/>
      <c r="K219" s="74"/>
      <c r="L219" s="73"/>
      <c r="M219" s="74"/>
      <c r="N219" s="71"/>
      <c r="O219" s="74"/>
      <c r="P219" s="74"/>
      <c r="Q219" s="74"/>
      <c r="R219" s="73"/>
      <c r="S219" s="73"/>
      <c r="T219" s="73"/>
      <c r="U219" s="73"/>
      <c r="V219" s="73"/>
      <c r="W219" s="143"/>
      <c r="X219" s="45" t="str">
        <f>IF(M219="","",'Pricing Details'!D209+'Pricing Details'!Q209)</f>
        <v/>
      </c>
      <c r="Y219" s="45" t="str">
        <f>IF(M219="","",'Pricing Details'!V209)</f>
        <v/>
      </c>
      <c r="Z219" s="43" t="str">
        <f>IF(M219="","",'Pricing Details'!X209)</f>
        <v/>
      </c>
      <c r="AA219" s="183" t="str">
        <f>'Pricing Details'!Z209</f>
        <v/>
      </c>
      <c r="AB219" s="178" t="str">
        <f>'Pricing Details'!AC209</f>
        <v/>
      </c>
      <c r="AC219" s="79"/>
      <c r="AD219" s="41" t="str">
        <f>IFERROR(_xlfn.XLOOKUP(K219,Collection[Display],Collection[Line])&amp;_xlfn.XLOOKUP(L219,Sleeve[Display],Sleeve[Sleeve]),"")</f>
        <v/>
      </c>
    </row>
    <row r="220" spans="1:30" s="41" customFormat="1" ht="30" customHeight="1" x14ac:dyDescent="0.2">
      <c r="A220" s="79"/>
      <c r="B220" s="70">
        <v>207</v>
      </c>
      <c r="C220" s="71"/>
      <c r="D220" s="71"/>
      <c r="E220" s="274"/>
      <c r="F220" s="214"/>
      <c r="G220" s="191"/>
      <c r="H220" s="74"/>
      <c r="I220" s="74"/>
      <c r="J220" s="74"/>
      <c r="K220" s="74"/>
      <c r="L220" s="73"/>
      <c r="M220" s="74"/>
      <c r="N220" s="71"/>
      <c r="O220" s="74"/>
      <c r="P220" s="74"/>
      <c r="Q220" s="74"/>
      <c r="R220" s="73"/>
      <c r="S220" s="73"/>
      <c r="T220" s="73"/>
      <c r="U220" s="73"/>
      <c r="V220" s="73"/>
      <c r="W220" s="143"/>
      <c r="X220" s="45" t="str">
        <f>IF(M220="","",'Pricing Details'!D210+'Pricing Details'!Q210)</f>
        <v/>
      </c>
      <c r="Y220" s="45" t="str">
        <f>IF(M220="","",'Pricing Details'!V210)</f>
        <v/>
      </c>
      <c r="Z220" s="43" t="str">
        <f>IF(M220="","",'Pricing Details'!X210)</f>
        <v/>
      </c>
      <c r="AA220" s="183" t="str">
        <f>'Pricing Details'!Z210</f>
        <v/>
      </c>
      <c r="AB220" s="178" t="str">
        <f>'Pricing Details'!AC210</f>
        <v/>
      </c>
      <c r="AC220" s="79"/>
      <c r="AD220" s="41" t="str">
        <f>IFERROR(_xlfn.XLOOKUP(K220,Collection[Display],Collection[Line])&amp;_xlfn.XLOOKUP(L220,Sleeve[Display],Sleeve[Sleeve]),"")</f>
        <v/>
      </c>
    </row>
    <row r="221" spans="1:30" s="41" customFormat="1" ht="30" customHeight="1" x14ac:dyDescent="0.2">
      <c r="A221" s="79"/>
      <c r="B221" s="70">
        <v>208</v>
      </c>
      <c r="C221" s="71"/>
      <c r="D221" s="71"/>
      <c r="E221" s="274"/>
      <c r="F221" s="214"/>
      <c r="G221" s="191"/>
      <c r="H221" s="74"/>
      <c r="I221" s="74"/>
      <c r="J221" s="74"/>
      <c r="K221" s="74"/>
      <c r="L221" s="73"/>
      <c r="M221" s="74"/>
      <c r="N221" s="71"/>
      <c r="O221" s="74"/>
      <c r="P221" s="74"/>
      <c r="Q221" s="74"/>
      <c r="R221" s="73"/>
      <c r="S221" s="73"/>
      <c r="T221" s="73"/>
      <c r="U221" s="73"/>
      <c r="V221" s="73"/>
      <c r="W221" s="143"/>
      <c r="X221" s="45" t="str">
        <f>IF(M221="","",'Pricing Details'!D211+'Pricing Details'!Q211)</f>
        <v/>
      </c>
      <c r="Y221" s="45" t="str">
        <f>IF(M221="","",'Pricing Details'!V211)</f>
        <v/>
      </c>
      <c r="Z221" s="43" t="str">
        <f>IF(M221="","",'Pricing Details'!X211)</f>
        <v/>
      </c>
      <c r="AA221" s="183" t="str">
        <f>'Pricing Details'!Z211</f>
        <v/>
      </c>
      <c r="AB221" s="178" t="str">
        <f>'Pricing Details'!AC211</f>
        <v/>
      </c>
      <c r="AC221" s="79"/>
      <c r="AD221" s="41" t="str">
        <f>IFERROR(_xlfn.XLOOKUP(K221,Collection[Display],Collection[Line])&amp;_xlfn.XLOOKUP(L221,Sleeve[Display],Sleeve[Sleeve]),"")</f>
        <v/>
      </c>
    </row>
    <row r="222" spans="1:30" s="41" customFormat="1" ht="30" customHeight="1" x14ac:dyDescent="0.2">
      <c r="A222" s="79"/>
      <c r="B222" s="70">
        <v>209</v>
      </c>
      <c r="C222" s="71"/>
      <c r="D222" s="71"/>
      <c r="E222" s="274"/>
      <c r="F222" s="214"/>
      <c r="G222" s="191"/>
      <c r="H222" s="74"/>
      <c r="I222" s="74"/>
      <c r="J222" s="74"/>
      <c r="K222" s="74"/>
      <c r="L222" s="73"/>
      <c r="M222" s="74"/>
      <c r="N222" s="71"/>
      <c r="O222" s="74"/>
      <c r="P222" s="74"/>
      <c r="Q222" s="74"/>
      <c r="R222" s="73"/>
      <c r="S222" s="73"/>
      <c r="T222" s="73"/>
      <c r="U222" s="73"/>
      <c r="V222" s="73"/>
      <c r="W222" s="143"/>
      <c r="X222" s="45" t="str">
        <f>IF(M222="","",'Pricing Details'!D212+'Pricing Details'!Q212)</f>
        <v/>
      </c>
      <c r="Y222" s="45" t="str">
        <f>IF(M222="","",'Pricing Details'!V212)</f>
        <v/>
      </c>
      <c r="Z222" s="43" t="str">
        <f>IF(M222="","",'Pricing Details'!X212)</f>
        <v/>
      </c>
      <c r="AA222" s="183" t="str">
        <f>'Pricing Details'!Z212</f>
        <v/>
      </c>
      <c r="AB222" s="178" t="str">
        <f>'Pricing Details'!AC212</f>
        <v/>
      </c>
      <c r="AC222" s="79"/>
      <c r="AD222" s="41" t="str">
        <f>IFERROR(_xlfn.XLOOKUP(K222,Collection[Display],Collection[Line])&amp;_xlfn.XLOOKUP(L222,Sleeve[Display],Sleeve[Sleeve]),"")</f>
        <v/>
      </c>
    </row>
    <row r="223" spans="1:30" s="41" customFormat="1" ht="30" customHeight="1" x14ac:dyDescent="0.2">
      <c r="A223" s="79"/>
      <c r="B223" s="70">
        <v>210</v>
      </c>
      <c r="C223" s="71"/>
      <c r="D223" s="71"/>
      <c r="E223" s="274"/>
      <c r="F223" s="214"/>
      <c r="G223" s="191"/>
      <c r="H223" s="74"/>
      <c r="I223" s="74"/>
      <c r="J223" s="74"/>
      <c r="K223" s="74"/>
      <c r="L223" s="73"/>
      <c r="M223" s="74"/>
      <c r="N223" s="71"/>
      <c r="O223" s="74"/>
      <c r="P223" s="74"/>
      <c r="Q223" s="74"/>
      <c r="R223" s="73"/>
      <c r="S223" s="73"/>
      <c r="T223" s="73"/>
      <c r="U223" s="73"/>
      <c r="V223" s="73"/>
      <c r="W223" s="143"/>
      <c r="X223" s="45" t="str">
        <f>IF(M223="","",'Pricing Details'!D213+'Pricing Details'!Q213)</f>
        <v/>
      </c>
      <c r="Y223" s="45" t="str">
        <f>IF(M223="","",'Pricing Details'!V213)</f>
        <v/>
      </c>
      <c r="Z223" s="43" t="str">
        <f>IF(M223="","",'Pricing Details'!X213)</f>
        <v/>
      </c>
      <c r="AA223" s="183" t="str">
        <f>'Pricing Details'!Z213</f>
        <v/>
      </c>
      <c r="AB223" s="178" t="str">
        <f>'Pricing Details'!AC213</f>
        <v/>
      </c>
      <c r="AC223" s="79"/>
      <c r="AD223" s="41" t="str">
        <f>IFERROR(_xlfn.XLOOKUP(K223,Collection[Display],Collection[Line])&amp;_xlfn.XLOOKUP(L223,Sleeve[Display],Sleeve[Sleeve]),"")</f>
        <v/>
      </c>
    </row>
    <row r="224" spans="1:30" s="41" customFormat="1" ht="30" customHeight="1" x14ac:dyDescent="0.2">
      <c r="A224" s="79"/>
      <c r="B224" s="70">
        <v>211</v>
      </c>
      <c r="C224" s="71"/>
      <c r="D224" s="71"/>
      <c r="E224" s="274"/>
      <c r="F224" s="214"/>
      <c r="G224" s="191"/>
      <c r="H224" s="74"/>
      <c r="I224" s="74"/>
      <c r="J224" s="74"/>
      <c r="K224" s="74"/>
      <c r="L224" s="73"/>
      <c r="M224" s="74"/>
      <c r="N224" s="71"/>
      <c r="O224" s="74"/>
      <c r="P224" s="74"/>
      <c r="Q224" s="74"/>
      <c r="R224" s="73"/>
      <c r="S224" s="73"/>
      <c r="T224" s="73"/>
      <c r="U224" s="73"/>
      <c r="V224" s="73"/>
      <c r="W224" s="143"/>
      <c r="X224" s="45" t="str">
        <f>IF(M224="","",'Pricing Details'!D214+'Pricing Details'!Q214)</f>
        <v/>
      </c>
      <c r="Y224" s="45" t="str">
        <f>IF(M224="","",'Pricing Details'!V214)</f>
        <v/>
      </c>
      <c r="Z224" s="43" t="str">
        <f>IF(M224="","",'Pricing Details'!X214)</f>
        <v/>
      </c>
      <c r="AA224" s="183" t="str">
        <f>'Pricing Details'!Z214</f>
        <v/>
      </c>
      <c r="AB224" s="178" t="str">
        <f>'Pricing Details'!AC214</f>
        <v/>
      </c>
      <c r="AC224" s="79"/>
      <c r="AD224" s="41" t="str">
        <f>IFERROR(_xlfn.XLOOKUP(K224,Collection[Display],Collection[Line])&amp;_xlfn.XLOOKUP(L224,Sleeve[Display],Sleeve[Sleeve]),"")</f>
        <v/>
      </c>
    </row>
    <row r="225" spans="1:30" s="41" customFormat="1" ht="30" customHeight="1" x14ac:dyDescent="0.2">
      <c r="A225" s="79"/>
      <c r="B225" s="70">
        <v>212</v>
      </c>
      <c r="C225" s="71"/>
      <c r="D225" s="71"/>
      <c r="E225" s="274"/>
      <c r="F225" s="214"/>
      <c r="G225" s="191"/>
      <c r="H225" s="74"/>
      <c r="I225" s="74"/>
      <c r="J225" s="74"/>
      <c r="K225" s="74"/>
      <c r="L225" s="73"/>
      <c r="M225" s="74"/>
      <c r="N225" s="71"/>
      <c r="O225" s="74"/>
      <c r="P225" s="74"/>
      <c r="Q225" s="74"/>
      <c r="R225" s="73"/>
      <c r="S225" s="73"/>
      <c r="T225" s="73"/>
      <c r="U225" s="73"/>
      <c r="V225" s="73"/>
      <c r="W225" s="143"/>
      <c r="X225" s="45" t="str">
        <f>IF(M225="","",'Pricing Details'!D215+'Pricing Details'!Q215)</f>
        <v/>
      </c>
      <c r="Y225" s="45" t="str">
        <f>IF(M225="","",'Pricing Details'!V215)</f>
        <v/>
      </c>
      <c r="Z225" s="43" t="str">
        <f>IF(M225="","",'Pricing Details'!X215)</f>
        <v/>
      </c>
      <c r="AA225" s="183" t="str">
        <f>'Pricing Details'!Z215</f>
        <v/>
      </c>
      <c r="AB225" s="178" t="str">
        <f>'Pricing Details'!AC215</f>
        <v/>
      </c>
      <c r="AC225" s="79"/>
      <c r="AD225" s="41" t="str">
        <f>IFERROR(_xlfn.XLOOKUP(K225,Collection[Display],Collection[Line])&amp;_xlfn.XLOOKUP(L225,Sleeve[Display],Sleeve[Sleeve]),"")</f>
        <v/>
      </c>
    </row>
    <row r="226" spans="1:30" s="41" customFormat="1" ht="30" customHeight="1" x14ac:dyDescent="0.2">
      <c r="A226" s="79"/>
      <c r="B226" s="70">
        <v>213</v>
      </c>
      <c r="C226" s="71"/>
      <c r="D226" s="71"/>
      <c r="E226" s="274"/>
      <c r="F226" s="214"/>
      <c r="G226" s="191"/>
      <c r="H226" s="74"/>
      <c r="I226" s="74"/>
      <c r="J226" s="74"/>
      <c r="K226" s="74"/>
      <c r="L226" s="73"/>
      <c r="M226" s="74"/>
      <c r="N226" s="71"/>
      <c r="O226" s="74"/>
      <c r="P226" s="74"/>
      <c r="Q226" s="74"/>
      <c r="R226" s="73"/>
      <c r="S226" s="73"/>
      <c r="T226" s="73"/>
      <c r="U226" s="73"/>
      <c r="V226" s="73"/>
      <c r="W226" s="143"/>
      <c r="X226" s="45" t="str">
        <f>IF(M226="","",'Pricing Details'!D216+'Pricing Details'!Q216)</f>
        <v/>
      </c>
      <c r="Y226" s="45" t="str">
        <f>IF(M226="","",'Pricing Details'!V216)</f>
        <v/>
      </c>
      <c r="Z226" s="43" t="str">
        <f>IF(M226="","",'Pricing Details'!X216)</f>
        <v/>
      </c>
      <c r="AA226" s="183" t="str">
        <f>'Pricing Details'!Z216</f>
        <v/>
      </c>
      <c r="AB226" s="178" t="str">
        <f>'Pricing Details'!AC216</f>
        <v/>
      </c>
      <c r="AC226" s="79"/>
      <c r="AD226" s="41" t="str">
        <f>IFERROR(_xlfn.XLOOKUP(K226,Collection[Display],Collection[Line])&amp;_xlfn.XLOOKUP(L226,Sleeve[Display],Sleeve[Sleeve]),"")</f>
        <v/>
      </c>
    </row>
    <row r="227" spans="1:30" s="41" customFormat="1" ht="30" customHeight="1" x14ac:dyDescent="0.2">
      <c r="A227" s="79"/>
      <c r="B227" s="70">
        <v>214</v>
      </c>
      <c r="C227" s="71"/>
      <c r="D227" s="71"/>
      <c r="E227" s="274"/>
      <c r="F227" s="214"/>
      <c r="G227" s="191"/>
      <c r="H227" s="74"/>
      <c r="I227" s="74"/>
      <c r="J227" s="74"/>
      <c r="K227" s="74"/>
      <c r="L227" s="73"/>
      <c r="M227" s="74"/>
      <c r="N227" s="71"/>
      <c r="O227" s="74"/>
      <c r="P227" s="74"/>
      <c r="Q227" s="74"/>
      <c r="R227" s="73"/>
      <c r="S227" s="73"/>
      <c r="T227" s="73"/>
      <c r="U227" s="73"/>
      <c r="V227" s="73"/>
      <c r="W227" s="143"/>
      <c r="X227" s="45" t="str">
        <f>IF(M227="","",'Pricing Details'!D217+'Pricing Details'!Q217)</f>
        <v/>
      </c>
      <c r="Y227" s="45" t="str">
        <f>IF(M227="","",'Pricing Details'!V217)</f>
        <v/>
      </c>
      <c r="Z227" s="43" t="str">
        <f>IF(M227="","",'Pricing Details'!X217)</f>
        <v/>
      </c>
      <c r="AA227" s="183" t="str">
        <f>'Pricing Details'!Z217</f>
        <v/>
      </c>
      <c r="AB227" s="178" t="str">
        <f>'Pricing Details'!AC217</f>
        <v/>
      </c>
      <c r="AC227" s="79"/>
      <c r="AD227" s="41" t="str">
        <f>IFERROR(_xlfn.XLOOKUP(K227,Collection[Display],Collection[Line])&amp;_xlfn.XLOOKUP(L227,Sleeve[Display],Sleeve[Sleeve]),"")</f>
        <v/>
      </c>
    </row>
    <row r="228" spans="1:30" s="41" customFormat="1" ht="30" customHeight="1" x14ac:dyDescent="0.2">
      <c r="A228" s="79"/>
      <c r="B228" s="70">
        <v>215</v>
      </c>
      <c r="C228" s="71"/>
      <c r="D228" s="71"/>
      <c r="E228" s="274"/>
      <c r="F228" s="214"/>
      <c r="G228" s="191"/>
      <c r="H228" s="74"/>
      <c r="I228" s="74"/>
      <c r="J228" s="74"/>
      <c r="K228" s="74"/>
      <c r="L228" s="73"/>
      <c r="M228" s="74"/>
      <c r="N228" s="71"/>
      <c r="O228" s="74"/>
      <c r="P228" s="74"/>
      <c r="Q228" s="74"/>
      <c r="R228" s="73"/>
      <c r="S228" s="73"/>
      <c r="T228" s="73"/>
      <c r="U228" s="73"/>
      <c r="V228" s="73"/>
      <c r="W228" s="143"/>
      <c r="X228" s="45" t="str">
        <f>IF(M228="","",'Pricing Details'!D218+'Pricing Details'!Q218)</f>
        <v/>
      </c>
      <c r="Y228" s="45" t="str">
        <f>IF(M228="","",'Pricing Details'!V218)</f>
        <v/>
      </c>
      <c r="Z228" s="43" t="str">
        <f>IF(M228="","",'Pricing Details'!X218)</f>
        <v/>
      </c>
      <c r="AA228" s="183" t="str">
        <f>'Pricing Details'!Z218</f>
        <v/>
      </c>
      <c r="AB228" s="178" t="str">
        <f>'Pricing Details'!AC218</f>
        <v/>
      </c>
      <c r="AC228" s="79"/>
      <c r="AD228" s="41" t="str">
        <f>IFERROR(_xlfn.XLOOKUP(K228,Collection[Display],Collection[Line])&amp;_xlfn.XLOOKUP(L228,Sleeve[Display],Sleeve[Sleeve]),"")</f>
        <v/>
      </c>
    </row>
    <row r="229" spans="1:30" s="41" customFormat="1" ht="30" customHeight="1" x14ac:dyDescent="0.2">
      <c r="A229" s="79"/>
      <c r="B229" s="70">
        <v>216</v>
      </c>
      <c r="C229" s="71"/>
      <c r="D229" s="71"/>
      <c r="E229" s="274"/>
      <c r="F229" s="214"/>
      <c r="G229" s="191"/>
      <c r="H229" s="74"/>
      <c r="I229" s="74"/>
      <c r="J229" s="74"/>
      <c r="K229" s="74"/>
      <c r="L229" s="73"/>
      <c r="M229" s="74"/>
      <c r="N229" s="71"/>
      <c r="O229" s="74"/>
      <c r="P229" s="74"/>
      <c r="Q229" s="74"/>
      <c r="R229" s="73"/>
      <c r="S229" s="73"/>
      <c r="T229" s="73"/>
      <c r="U229" s="73"/>
      <c r="V229" s="73"/>
      <c r="W229" s="143"/>
      <c r="X229" s="45" t="str">
        <f>IF(M229="","",'Pricing Details'!D219+'Pricing Details'!Q219)</f>
        <v/>
      </c>
      <c r="Y229" s="45" t="str">
        <f>IF(M229="","",'Pricing Details'!V219)</f>
        <v/>
      </c>
      <c r="Z229" s="43" t="str">
        <f>IF(M229="","",'Pricing Details'!X219)</f>
        <v/>
      </c>
      <c r="AA229" s="183" t="str">
        <f>'Pricing Details'!Z219</f>
        <v/>
      </c>
      <c r="AB229" s="178" t="str">
        <f>'Pricing Details'!AC219</f>
        <v/>
      </c>
      <c r="AC229" s="79"/>
      <c r="AD229" s="41" t="str">
        <f>IFERROR(_xlfn.XLOOKUP(K229,Collection[Display],Collection[Line])&amp;_xlfn.XLOOKUP(L229,Sleeve[Display],Sleeve[Sleeve]),"")</f>
        <v/>
      </c>
    </row>
    <row r="230" spans="1:30" s="41" customFormat="1" ht="30" customHeight="1" x14ac:dyDescent="0.2">
      <c r="A230" s="79"/>
      <c r="B230" s="70">
        <v>217</v>
      </c>
      <c r="C230" s="71"/>
      <c r="D230" s="71"/>
      <c r="E230" s="274"/>
      <c r="F230" s="214"/>
      <c r="G230" s="191"/>
      <c r="H230" s="74"/>
      <c r="I230" s="74"/>
      <c r="J230" s="74"/>
      <c r="K230" s="74"/>
      <c r="L230" s="73"/>
      <c r="M230" s="74"/>
      <c r="N230" s="71"/>
      <c r="O230" s="74"/>
      <c r="P230" s="74"/>
      <c r="Q230" s="74"/>
      <c r="R230" s="73"/>
      <c r="S230" s="73"/>
      <c r="T230" s="73"/>
      <c r="U230" s="73"/>
      <c r="V230" s="73"/>
      <c r="W230" s="143"/>
      <c r="X230" s="45" t="str">
        <f>IF(M230="","",'Pricing Details'!D220+'Pricing Details'!Q220)</f>
        <v/>
      </c>
      <c r="Y230" s="45" t="str">
        <f>IF(M230="","",'Pricing Details'!V220)</f>
        <v/>
      </c>
      <c r="Z230" s="43" t="str">
        <f>IF(M230="","",'Pricing Details'!X220)</f>
        <v/>
      </c>
      <c r="AA230" s="183" t="str">
        <f>'Pricing Details'!Z220</f>
        <v/>
      </c>
      <c r="AB230" s="178" t="str">
        <f>'Pricing Details'!AC220</f>
        <v/>
      </c>
      <c r="AC230" s="79"/>
      <c r="AD230" s="41" t="str">
        <f>IFERROR(_xlfn.XLOOKUP(K230,Collection[Display],Collection[Line])&amp;_xlfn.XLOOKUP(L230,Sleeve[Display],Sleeve[Sleeve]),"")</f>
        <v/>
      </c>
    </row>
    <row r="231" spans="1:30" s="41" customFormat="1" ht="30" customHeight="1" x14ac:dyDescent="0.2">
      <c r="A231" s="79"/>
      <c r="B231" s="70">
        <v>218</v>
      </c>
      <c r="C231" s="71"/>
      <c r="D231" s="71"/>
      <c r="E231" s="274"/>
      <c r="F231" s="214"/>
      <c r="G231" s="191"/>
      <c r="H231" s="74"/>
      <c r="I231" s="74"/>
      <c r="J231" s="74"/>
      <c r="K231" s="74"/>
      <c r="L231" s="73"/>
      <c r="M231" s="74"/>
      <c r="N231" s="71"/>
      <c r="O231" s="74"/>
      <c r="P231" s="74"/>
      <c r="Q231" s="74"/>
      <c r="R231" s="73"/>
      <c r="S231" s="73"/>
      <c r="T231" s="73"/>
      <c r="U231" s="73"/>
      <c r="V231" s="73"/>
      <c r="W231" s="143"/>
      <c r="X231" s="45" t="str">
        <f>IF(M231="","",'Pricing Details'!D221+'Pricing Details'!Q221)</f>
        <v/>
      </c>
      <c r="Y231" s="45" t="str">
        <f>IF(M231="","",'Pricing Details'!V221)</f>
        <v/>
      </c>
      <c r="Z231" s="43" t="str">
        <f>IF(M231="","",'Pricing Details'!X221)</f>
        <v/>
      </c>
      <c r="AA231" s="183" t="str">
        <f>'Pricing Details'!Z221</f>
        <v/>
      </c>
      <c r="AB231" s="178" t="str">
        <f>'Pricing Details'!AC221</f>
        <v/>
      </c>
      <c r="AC231" s="79"/>
      <c r="AD231" s="41" t="str">
        <f>IFERROR(_xlfn.XLOOKUP(K231,Collection[Display],Collection[Line])&amp;_xlfn.XLOOKUP(L231,Sleeve[Display],Sleeve[Sleeve]),"")</f>
        <v/>
      </c>
    </row>
    <row r="232" spans="1:30" s="41" customFormat="1" ht="30" customHeight="1" x14ac:dyDescent="0.2">
      <c r="A232" s="79"/>
      <c r="B232" s="70">
        <v>219</v>
      </c>
      <c r="C232" s="71"/>
      <c r="D232" s="71"/>
      <c r="E232" s="274"/>
      <c r="F232" s="214"/>
      <c r="G232" s="191"/>
      <c r="H232" s="74"/>
      <c r="I232" s="74"/>
      <c r="J232" s="74"/>
      <c r="K232" s="74"/>
      <c r="L232" s="73"/>
      <c r="M232" s="74"/>
      <c r="N232" s="71"/>
      <c r="O232" s="74"/>
      <c r="P232" s="74"/>
      <c r="Q232" s="74"/>
      <c r="R232" s="73"/>
      <c r="S232" s="73"/>
      <c r="T232" s="73"/>
      <c r="U232" s="73"/>
      <c r="V232" s="73"/>
      <c r="W232" s="143"/>
      <c r="X232" s="45" t="str">
        <f>IF(M232="","",'Pricing Details'!D222+'Pricing Details'!Q222)</f>
        <v/>
      </c>
      <c r="Y232" s="45" t="str">
        <f>IF(M232="","",'Pricing Details'!V222)</f>
        <v/>
      </c>
      <c r="Z232" s="43" t="str">
        <f>IF(M232="","",'Pricing Details'!X222)</f>
        <v/>
      </c>
      <c r="AA232" s="183" t="str">
        <f>'Pricing Details'!Z222</f>
        <v/>
      </c>
      <c r="AB232" s="178" t="str">
        <f>'Pricing Details'!AC222</f>
        <v/>
      </c>
      <c r="AC232" s="79"/>
      <c r="AD232" s="41" t="str">
        <f>IFERROR(_xlfn.XLOOKUP(K232,Collection[Display],Collection[Line])&amp;_xlfn.XLOOKUP(L232,Sleeve[Display],Sleeve[Sleeve]),"")</f>
        <v/>
      </c>
    </row>
    <row r="233" spans="1:30" s="41" customFormat="1" ht="30" customHeight="1" x14ac:dyDescent="0.2">
      <c r="A233" s="79"/>
      <c r="B233" s="70">
        <v>220</v>
      </c>
      <c r="C233" s="71"/>
      <c r="D233" s="71"/>
      <c r="E233" s="274"/>
      <c r="F233" s="214"/>
      <c r="G233" s="191"/>
      <c r="H233" s="74"/>
      <c r="I233" s="74"/>
      <c r="J233" s="74"/>
      <c r="K233" s="74"/>
      <c r="L233" s="73"/>
      <c r="M233" s="74"/>
      <c r="N233" s="71"/>
      <c r="O233" s="74"/>
      <c r="P233" s="74"/>
      <c r="Q233" s="74"/>
      <c r="R233" s="73"/>
      <c r="S233" s="73"/>
      <c r="T233" s="73"/>
      <c r="U233" s="73"/>
      <c r="V233" s="73"/>
      <c r="W233" s="143"/>
      <c r="X233" s="45" t="str">
        <f>IF(M233="","",'Pricing Details'!D223+'Pricing Details'!Q223)</f>
        <v/>
      </c>
      <c r="Y233" s="45" t="str">
        <f>IF(M233="","",'Pricing Details'!V223)</f>
        <v/>
      </c>
      <c r="Z233" s="43" t="str">
        <f>IF(M233="","",'Pricing Details'!X223)</f>
        <v/>
      </c>
      <c r="AA233" s="183" t="str">
        <f>'Pricing Details'!Z223</f>
        <v/>
      </c>
      <c r="AB233" s="178" t="str">
        <f>'Pricing Details'!AC223</f>
        <v/>
      </c>
      <c r="AC233" s="79"/>
      <c r="AD233" s="41" t="str">
        <f>IFERROR(_xlfn.XLOOKUP(K233,Collection[Display],Collection[Line])&amp;_xlfn.XLOOKUP(L233,Sleeve[Display],Sleeve[Sleeve]),"")</f>
        <v/>
      </c>
    </row>
    <row r="234" spans="1:30" s="41" customFormat="1" ht="30" customHeight="1" x14ac:dyDescent="0.2">
      <c r="A234" s="79"/>
      <c r="B234" s="70">
        <v>221</v>
      </c>
      <c r="C234" s="71"/>
      <c r="D234" s="71"/>
      <c r="E234" s="274"/>
      <c r="F234" s="214"/>
      <c r="G234" s="191"/>
      <c r="H234" s="74"/>
      <c r="I234" s="74"/>
      <c r="J234" s="74"/>
      <c r="K234" s="74"/>
      <c r="L234" s="73"/>
      <c r="M234" s="74"/>
      <c r="N234" s="71"/>
      <c r="O234" s="74"/>
      <c r="P234" s="74"/>
      <c r="Q234" s="74"/>
      <c r="R234" s="73"/>
      <c r="S234" s="73"/>
      <c r="T234" s="73"/>
      <c r="U234" s="73"/>
      <c r="V234" s="73"/>
      <c r="W234" s="143"/>
      <c r="X234" s="45" t="str">
        <f>IF(M234="","",'Pricing Details'!D224+'Pricing Details'!Q224)</f>
        <v/>
      </c>
      <c r="Y234" s="45" t="str">
        <f>IF(M234="","",'Pricing Details'!V224)</f>
        <v/>
      </c>
      <c r="Z234" s="43" t="str">
        <f>IF(M234="","",'Pricing Details'!X224)</f>
        <v/>
      </c>
      <c r="AA234" s="183" t="str">
        <f>'Pricing Details'!Z224</f>
        <v/>
      </c>
      <c r="AB234" s="178" t="str">
        <f>'Pricing Details'!AC224</f>
        <v/>
      </c>
      <c r="AC234" s="79"/>
      <c r="AD234" s="41" t="str">
        <f>IFERROR(_xlfn.XLOOKUP(K234,Collection[Display],Collection[Line])&amp;_xlfn.XLOOKUP(L234,Sleeve[Display],Sleeve[Sleeve]),"")</f>
        <v/>
      </c>
    </row>
    <row r="235" spans="1:30" s="41" customFormat="1" ht="30" customHeight="1" x14ac:dyDescent="0.2">
      <c r="A235" s="79"/>
      <c r="B235" s="70">
        <v>222</v>
      </c>
      <c r="C235" s="71"/>
      <c r="D235" s="71"/>
      <c r="E235" s="274"/>
      <c r="F235" s="214"/>
      <c r="G235" s="191"/>
      <c r="H235" s="74"/>
      <c r="I235" s="74"/>
      <c r="J235" s="74"/>
      <c r="K235" s="74"/>
      <c r="L235" s="73"/>
      <c r="M235" s="74"/>
      <c r="N235" s="71"/>
      <c r="O235" s="74"/>
      <c r="P235" s="74"/>
      <c r="Q235" s="74"/>
      <c r="R235" s="73"/>
      <c r="S235" s="73"/>
      <c r="T235" s="73"/>
      <c r="U235" s="73"/>
      <c r="V235" s="73"/>
      <c r="W235" s="143"/>
      <c r="X235" s="45" t="str">
        <f>IF(M235="","",'Pricing Details'!D225+'Pricing Details'!Q225)</f>
        <v/>
      </c>
      <c r="Y235" s="45" t="str">
        <f>IF(M235="","",'Pricing Details'!V225)</f>
        <v/>
      </c>
      <c r="Z235" s="43" t="str">
        <f>IF(M235="","",'Pricing Details'!X225)</f>
        <v/>
      </c>
      <c r="AA235" s="183" t="str">
        <f>'Pricing Details'!Z225</f>
        <v/>
      </c>
      <c r="AB235" s="178" t="str">
        <f>'Pricing Details'!AC225</f>
        <v/>
      </c>
      <c r="AC235" s="79"/>
      <c r="AD235" s="41" t="str">
        <f>IFERROR(_xlfn.XLOOKUP(K235,Collection[Display],Collection[Line])&amp;_xlfn.XLOOKUP(L235,Sleeve[Display],Sleeve[Sleeve]),"")</f>
        <v/>
      </c>
    </row>
    <row r="236" spans="1:30" s="41" customFormat="1" ht="30" customHeight="1" x14ac:dyDescent="0.2">
      <c r="A236" s="79"/>
      <c r="B236" s="70">
        <v>223</v>
      </c>
      <c r="C236" s="71"/>
      <c r="D236" s="71"/>
      <c r="E236" s="274"/>
      <c r="F236" s="214"/>
      <c r="G236" s="191"/>
      <c r="H236" s="74"/>
      <c r="I236" s="74"/>
      <c r="J236" s="74"/>
      <c r="K236" s="74"/>
      <c r="L236" s="73"/>
      <c r="M236" s="74"/>
      <c r="N236" s="71"/>
      <c r="O236" s="74"/>
      <c r="P236" s="74"/>
      <c r="Q236" s="74"/>
      <c r="R236" s="73"/>
      <c r="S236" s="73"/>
      <c r="T236" s="73"/>
      <c r="U236" s="73"/>
      <c r="V236" s="73"/>
      <c r="W236" s="143"/>
      <c r="X236" s="45" t="str">
        <f>IF(M236="","",'Pricing Details'!D226+'Pricing Details'!Q226)</f>
        <v/>
      </c>
      <c r="Y236" s="45" t="str">
        <f>IF(M236="","",'Pricing Details'!V226)</f>
        <v/>
      </c>
      <c r="Z236" s="43" t="str">
        <f>IF(M236="","",'Pricing Details'!X226)</f>
        <v/>
      </c>
      <c r="AA236" s="183" t="str">
        <f>'Pricing Details'!Z226</f>
        <v/>
      </c>
      <c r="AB236" s="178" t="str">
        <f>'Pricing Details'!AC226</f>
        <v/>
      </c>
      <c r="AC236" s="79"/>
      <c r="AD236" s="41" t="str">
        <f>IFERROR(_xlfn.XLOOKUP(K236,Collection[Display],Collection[Line])&amp;_xlfn.XLOOKUP(L236,Sleeve[Display],Sleeve[Sleeve]),"")</f>
        <v/>
      </c>
    </row>
    <row r="237" spans="1:30" s="41" customFormat="1" ht="30" customHeight="1" x14ac:dyDescent="0.2">
      <c r="A237" s="79"/>
      <c r="B237" s="70">
        <v>224</v>
      </c>
      <c r="C237" s="71"/>
      <c r="D237" s="71"/>
      <c r="E237" s="274"/>
      <c r="F237" s="214"/>
      <c r="G237" s="191"/>
      <c r="H237" s="74"/>
      <c r="I237" s="74"/>
      <c r="J237" s="74"/>
      <c r="K237" s="74"/>
      <c r="L237" s="73"/>
      <c r="M237" s="74"/>
      <c r="N237" s="71"/>
      <c r="O237" s="74"/>
      <c r="P237" s="74"/>
      <c r="Q237" s="74"/>
      <c r="R237" s="73"/>
      <c r="S237" s="73"/>
      <c r="T237" s="73"/>
      <c r="U237" s="73"/>
      <c r="V237" s="73"/>
      <c r="W237" s="143"/>
      <c r="X237" s="45" t="str">
        <f>IF(M237="","",'Pricing Details'!D227+'Pricing Details'!Q227)</f>
        <v/>
      </c>
      <c r="Y237" s="45" t="str">
        <f>IF(M237="","",'Pricing Details'!V227)</f>
        <v/>
      </c>
      <c r="Z237" s="43" t="str">
        <f>IF(M237="","",'Pricing Details'!X227)</f>
        <v/>
      </c>
      <c r="AA237" s="183" t="str">
        <f>'Pricing Details'!Z227</f>
        <v/>
      </c>
      <c r="AB237" s="178" t="str">
        <f>'Pricing Details'!AC227</f>
        <v/>
      </c>
      <c r="AC237" s="79"/>
      <c r="AD237" s="41" t="str">
        <f>IFERROR(_xlfn.XLOOKUP(K237,Collection[Display],Collection[Line])&amp;_xlfn.XLOOKUP(L237,Sleeve[Display],Sleeve[Sleeve]),"")</f>
        <v/>
      </c>
    </row>
    <row r="238" spans="1:30" s="41" customFormat="1" ht="30" customHeight="1" x14ac:dyDescent="0.2">
      <c r="A238" s="79"/>
      <c r="B238" s="70">
        <v>225</v>
      </c>
      <c r="C238" s="71"/>
      <c r="D238" s="71"/>
      <c r="E238" s="274"/>
      <c r="F238" s="214"/>
      <c r="G238" s="191"/>
      <c r="H238" s="74"/>
      <c r="I238" s="74"/>
      <c r="J238" s="74"/>
      <c r="K238" s="74"/>
      <c r="L238" s="73"/>
      <c r="M238" s="74"/>
      <c r="N238" s="71"/>
      <c r="O238" s="74"/>
      <c r="P238" s="74"/>
      <c r="Q238" s="74"/>
      <c r="R238" s="73"/>
      <c r="S238" s="73"/>
      <c r="T238" s="73"/>
      <c r="U238" s="73"/>
      <c r="V238" s="73"/>
      <c r="W238" s="143"/>
      <c r="X238" s="45" t="str">
        <f>IF(M238="","",'Pricing Details'!D228+'Pricing Details'!Q228)</f>
        <v/>
      </c>
      <c r="Y238" s="45" t="str">
        <f>IF(M238="","",'Pricing Details'!V228)</f>
        <v/>
      </c>
      <c r="Z238" s="43" t="str">
        <f>IF(M238="","",'Pricing Details'!X228)</f>
        <v/>
      </c>
      <c r="AA238" s="183" t="str">
        <f>'Pricing Details'!Z228</f>
        <v/>
      </c>
      <c r="AB238" s="178" t="str">
        <f>'Pricing Details'!AC228</f>
        <v/>
      </c>
      <c r="AC238" s="79"/>
      <c r="AD238" s="41" t="str">
        <f>IFERROR(_xlfn.XLOOKUP(K238,Collection[Display],Collection[Line])&amp;_xlfn.XLOOKUP(L238,Sleeve[Display],Sleeve[Sleeve]),"")</f>
        <v/>
      </c>
    </row>
    <row r="239" spans="1:30" s="41" customFormat="1" ht="30" customHeight="1" x14ac:dyDescent="0.2">
      <c r="A239" s="79"/>
      <c r="B239" s="70">
        <v>226</v>
      </c>
      <c r="C239" s="71"/>
      <c r="D239" s="71"/>
      <c r="E239" s="274"/>
      <c r="F239" s="214"/>
      <c r="G239" s="191"/>
      <c r="H239" s="74"/>
      <c r="I239" s="74"/>
      <c r="J239" s="74"/>
      <c r="K239" s="74"/>
      <c r="L239" s="73"/>
      <c r="M239" s="74"/>
      <c r="N239" s="71"/>
      <c r="O239" s="74"/>
      <c r="P239" s="74"/>
      <c r="Q239" s="74"/>
      <c r="R239" s="73"/>
      <c r="S239" s="73"/>
      <c r="T239" s="73"/>
      <c r="U239" s="73"/>
      <c r="V239" s="73"/>
      <c r="W239" s="143"/>
      <c r="X239" s="45" t="str">
        <f>IF(M239="","",'Pricing Details'!D229+'Pricing Details'!Q229)</f>
        <v/>
      </c>
      <c r="Y239" s="45" t="str">
        <f>IF(M239="","",'Pricing Details'!V229)</f>
        <v/>
      </c>
      <c r="Z239" s="43" t="str">
        <f>IF(M239="","",'Pricing Details'!X229)</f>
        <v/>
      </c>
      <c r="AA239" s="183" t="str">
        <f>'Pricing Details'!Z229</f>
        <v/>
      </c>
      <c r="AB239" s="178" t="str">
        <f>'Pricing Details'!AC229</f>
        <v/>
      </c>
      <c r="AC239" s="79"/>
      <c r="AD239" s="41" t="str">
        <f>IFERROR(_xlfn.XLOOKUP(K239,Collection[Display],Collection[Line])&amp;_xlfn.XLOOKUP(L239,Sleeve[Display],Sleeve[Sleeve]),"")</f>
        <v/>
      </c>
    </row>
    <row r="240" spans="1:30" s="41" customFormat="1" ht="30" customHeight="1" x14ac:dyDescent="0.2">
      <c r="A240" s="79"/>
      <c r="B240" s="70">
        <v>227</v>
      </c>
      <c r="C240" s="71"/>
      <c r="D240" s="71"/>
      <c r="E240" s="274"/>
      <c r="F240" s="214"/>
      <c r="G240" s="191"/>
      <c r="H240" s="74"/>
      <c r="I240" s="74"/>
      <c r="J240" s="74"/>
      <c r="K240" s="74"/>
      <c r="L240" s="73"/>
      <c r="M240" s="74"/>
      <c r="N240" s="71"/>
      <c r="O240" s="74"/>
      <c r="P240" s="74"/>
      <c r="Q240" s="74"/>
      <c r="R240" s="73"/>
      <c r="S240" s="73"/>
      <c r="T240" s="73"/>
      <c r="U240" s="73"/>
      <c r="V240" s="73"/>
      <c r="W240" s="143"/>
      <c r="X240" s="45" t="str">
        <f>IF(M240="","",'Pricing Details'!D230+'Pricing Details'!Q230)</f>
        <v/>
      </c>
      <c r="Y240" s="45" t="str">
        <f>IF(M240="","",'Pricing Details'!V230)</f>
        <v/>
      </c>
      <c r="Z240" s="43" t="str">
        <f>IF(M240="","",'Pricing Details'!X230)</f>
        <v/>
      </c>
      <c r="AA240" s="183" t="str">
        <f>'Pricing Details'!Z230</f>
        <v/>
      </c>
      <c r="AB240" s="178" t="str">
        <f>'Pricing Details'!AC230</f>
        <v/>
      </c>
      <c r="AC240" s="79"/>
      <c r="AD240" s="41" t="str">
        <f>IFERROR(_xlfn.XLOOKUP(K240,Collection[Display],Collection[Line])&amp;_xlfn.XLOOKUP(L240,Sleeve[Display],Sleeve[Sleeve]),"")</f>
        <v/>
      </c>
    </row>
    <row r="241" spans="1:30" s="41" customFormat="1" ht="30" customHeight="1" x14ac:dyDescent="0.2">
      <c r="A241" s="79"/>
      <c r="B241" s="70">
        <v>228</v>
      </c>
      <c r="C241" s="71"/>
      <c r="D241" s="71"/>
      <c r="E241" s="274"/>
      <c r="F241" s="214"/>
      <c r="G241" s="191"/>
      <c r="H241" s="74"/>
      <c r="I241" s="74"/>
      <c r="J241" s="74"/>
      <c r="K241" s="74"/>
      <c r="L241" s="73"/>
      <c r="M241" s="74"/>
      <c r="N241" s="71"/>
      <c r="O241" s="74"/>
      <c r="P241" s="74"/>
      <c r="Q241" s="74"/>
      <c r="R241" s="73"/>
      <c r="S241" s="73"/>
      <c r="T241" s="73"/>
      <c r="U241" s="73"/>
      <c r="V241" s="73"/>
      <c r="W241" s="143"/>
      <c r="X241" s="45" t="str">
        <f>IF(M241="","",'Pricing Details'!D231+'Pricing Details'!Q231)</f>
        <v/>
      </c>
      <c r="Y241" s="45" t="str">
        <f>IF(M241="","",'Pricing Details'!V231)</f>
        <v/>
      </c>
      <c r="Z241" s="43" t="str">
        <f>IF(M241="","",'Pricing Details'!X231)</f>
        <v/>
      </c>
      <c r="AA241" s="183" t="str">
        <f>'Pricing Details'!Z231</f>
        <v/>
      </c>
      <c r="AB241" s="178" t="str">
        <f>'Pricing Details'!AC231</f>
        <v/>
      </c>
      <c r="AC241" s="79"/>
      <c r="AD241" s="41" t="str">
        <f>IFERROR(_xlfn.XLOOKUP(K241,Collection[Display],Collection[Line])&amp;_xlfn.XLOOKUP(L241,Sleeve[Display],Sleeve[Sleeve]),"")</f>
        <v/>
      </c>
    </row>
    <row r="242" spans="1:30" s="41" customFormat="1" ht="30" customHeight="1" x14ac:dyDescent="0.2">
      <c r="A242" s="79"/>
      <c r="B242" s="70">
        <v>229</v>
      </c>
      <c r="C242" s="71"/>
      <c r="D242" s="71"/>
      <c r="E242" s="274"/>
      <c r="F242" s="214"/>
      <c r="G242" s="191"/>
      <c r="H242" s="74"/>
      <c r="I242" s="74"/>
      <c r="J242" s="74"/>
      <c r="K242" s="74"/>
      <c r="L242" s="73"/>
      <c r="M242" s="74"/>
      <c r="N242" s="71"/>
      <c r="O242" s="74"/>
      <c r="P242" s="74"/>
      <c r="Q242" s="74"/>
      <c r="R242" s="73"/>
      <c r="S242" s="73"/>
      <c r="T242" s="73"/>
      <c r="U242" s="73"/>
      <c r="V242" s="73"/>
      <c r="W242" s="143"/>
      <c r="X242" s="45" t="str">
        <f>IF(M242="","",'Pricing Details'!D232+'Pricing Details'!Q232)</f>
        <v/>
      </c>
      <c r="Y242" s="45" t="str">
        <f>IF(M242="","",'Pricing Details'!V232)</f>
        <v/>
      </c>
      <c r="Z242" s="43" t="str">
        <f>IF(M242="","",'Pricing Details'!X232)</f>
        <v/>
      </c>
      <c r="AA242" s="183" t="str">
        <f>'Pricing Details'!Z232</f>
        <v/>
      </c>
      <c r="AB242" s="178" t="str">
        <f>'Pricing Details'!AC232</f>
        <v/>
      </c>
      <c r="AC242" s="79"/>
      <c r="AD242" s="41" t="str">
        <f>IFERROR(_xlfn.XLOOKUP(K242,Collection[Display],Collection[Line])&amp;_xlfn.XLOOKUP(L242,Sleeve[Display],Sleeve[Sleeve]),"")</f>
        <v/>
      </c>
    </row>
    <row r="243" spans="1:30" s="41" customFormat="1" ht="30" customHeight="1" x14ac:dyDescent="0.2">
      <c r="A243" s="79"/>
      <c r="B243" s="70">
        <v>230</v>
      </c>
      <c r="C243" s="71"/>
      <c r="D243" s="71"/>
      <c r="E243" s="274"/>
      <c r="F243" s="214"/>
      <c r="G243" s="191"/>
      <c r="H243" s="74"/>
      <c r="I243" s="74"/>
      <c r="J243" s="74"/>
      <c r="K243" s="74"/>
      <c r="L243" s="73"/>
      <c r="M243" s="74"/>
      <c r="N243" s="71"/>
      <c r="O243" s="74"/>
      <c r="P243" s="74"/>
      <c r="Q243" s="74"/>
      <c r="R243" s="73"/>
      <c r="S243" s="73"/>
      <c r="T243" s="73"/>
      <c r="U243" s="73"/>
      <c r="V243" s="73"/>
      <c r="W243" s="143"/>
      <c r="X243" s="45" t="str">
        <f>IF(M243="","",'Pricing Details'!D233+'Pricing Details'!Q233)</f>
        <v/>
      </c>
      <c r="Y243" s="45" t="str">
        <f>IF(M243="","",'Pricing Details'!V233)</f>
        <v/>
      </c>
      <c r="Z243" s="43" t="str">
        <f>IF(M243="","",'Pricing Details'!X233)</f>
        <v/>
      </c>
      <c r="AA243" s="183" t="str">
        <f>'Pricing Details'!Z233</f>
        <v/>
      </c>
      <c r="AB243" s="178" t="str">
        <f>'Pricing Details'!AC233</f>
        <v/>
      </c>
      <c r="AC243" s="79"/>
      <c r="AD243" s="41" t="str">
        <f>IFERROR(_xlfn.XLOOKUP(K243,Collection[Display],Collection[Line])&amp;_xlfn.XLOOKUP(L243,Sleeve[Display],Sleeve[Sleeve]),"")</f>
        <v/>
      </c>
    </row>
    <row r="244" spans="1:30" s="41" customFormat="1" ht="30" customHeight="1" x14ac:dyDescent="0.2">
      <c r="A244" s="79"/>
      <c r="B244" s="70">
        <v>231</v>
      </c>
      <c r="C244" s="71"/>
      <c r="D244" s="71"/>
      <c r="E244" s="274"/>
      <c r="F244" s="214"/>
      <c r="G244" s="191"/>
      <c r="H244" s="74"/>
      <c r="I244" s="74"/>
      <c r="J244" s="74"/>
      <c r="K244" s="74"/>
      <c r="L244" s="73"/>
      <c r="M244" s="74"/>
      <c r="N244" s="71"/>
      <c r="O244" s="74"/>
      <c r="P244" s="74"/>
      <c r="Q244" s="74"/>
      <c r="R244" s="73"/>
      <c r="S244" s="73"/>
      <c r="T244" s="73"/>
      <c r="U244" s="73"/>
      <c r="V244" s="73"/>
      <c r="W244" s="143"/>
      <c r="X244" s="45" t="str">
        <f>IF(M244="","",'Pricing Details'!D234+'Pricing Details'!Q234)</f>
        <v/>
      </c>
      <c r="Y244" s="45" t="str">
        <f>IF(M244="","",'Pricing Details'!V234)</f>
        <v/>
      </c>
      <c r="Z244" s="43" t="str">
        <f>IF(M244="","",'Pricing Details'!X234)</f>
        <v/>
      </c>
      <c r="AA244" s="183" t="str">
        <f>'Pricing Details'!Z234</f>
        <v/>
      </c>
      <c r="AB244" s="178" t="str">
        <f>'Pricing Details'!AC234</f>
        <v/>
      </c>
      <c r="AC244" s="79"/>
      <c r="AD244" s="41" t="str">
        <f>IFERROR(_xlfn.XLOOKUP(K244,Collection[Display],Collection[Line])&amp;_xlfn.XLOOKUP(L244,Sleeve[Display],Sleeve[Sleeve]),"")</f>
        <v/>
      </c>
    </row>
    <row r="245" spans="1:30" s="41" customFormat="1" ht="30" customHeight="1" x14ac:dyDescent="0.2">
      <c r="A245" s="79"/>
      <c r="B245" s="70">
        <v>232</v>
      </c>
      <c r="C245" s="71"/>
      <c r="D245" s="71"/>
      <c r="E245" s="274"/>
      <c r="F245" s="214"/>
      <c r="G245" s="191"/>
      <c r="H245" s="74"/>
      <c r="I245" s="74"/>
      <c r="J245" s="74"/>
      <c r="K245" s="74"/>
      <c r="L245" s="73"/>
      <c r="M245" s="74"/>
      <c r="N245" s="71"/>
      <c r="O245" s="74"/>
      <c r="P245" s="74"/>
      <c r="Q245" s="74"/>
      <c r="R245" s="73"/>
      <c r="S245" s="73"/>
      <c r="T245" s="73"/>
      <c r="U245" s="73"/>
      <c r="V245" s="73"/>
      <c r="W245" s="143"/>
      <c r="X245" s="45" t="str">
        <f>IF(M245="","",'Pricing Details'!D235+'Pricing Details'!Q235)</f>
        <v/>
      </c>
      <c r="Y245" s="45" t="str">
        <f>IF(M245="","",'Pricing Details'!V235)</f>
        <v/>
      </c>
      <c r="Z245" s="43" t="str">
        <f>IF(M245="","",'Pricing Details'!X235)</f>
        <v/>
      </c>
      <c r="AA245" s="183" t="str">
        <f>'Pricing Details'!Z235</f>
        <v/>
      </c>
      <c r="AB245" s="178" t="str">
        <f>'Pricing Details'!AC235</f>
        <v/>
      </c>
      <c r="AC245" s="79"/>
      <c r="AD245" s="41" t="str">
        <f>IFERROR(_xlfn.XLOOKUP(K245,Collection[Display],Collection[Line])&amp;_xlfn.XLOOKUP(L245,Sleeve[Display],Sleeve[Sleeve]),"")</f>
        <v/>
      </c>
    </row>
    <row r="246" spans="1:30" s="41" customFormat="1" ht="30" customHeight="1" x14ac:dyDescent="0.2">
      <c r="A246" s="79"/>
      <c r="B246" s="70">
        <v>233</v>
      </c>
      <c r="C246" s="71"/>
      <c r="D246" s="71"/>
      <c r="E246" s="274"/>
      <c r="F246" s="214"/>
      <c r="G246" s="191"/>
      <c r="H246" s="74"/>
      <c r="I246" s="74"/>
      <c r="J246" s="74"/>
      <c r="K246" s="74"/>
      <c r="L246" s="73"/>
      <c r="M246" s="74"/>
      <c r="N246" s="71"/>
      <c r="O246" s="74"/>
      <c r="P246" s="74"/>
      <c r="Q246" s="74"/>
      <c r="R246" s="73"/>
      <c r="S246" s="73"/>
      <c r="T246" s="73"/>
      <c r="U246" s="73"/>
      <c r="V246" s="73"/>
      <c r="W246" s="143"/>
      <c r="X246" s="45" t="str">
        <f>IF(M246="","",'Pricing Details'!D236+'Pricing Details'!Q236)</f>
        <v/>
      </c>
      <c r="Y246" s="45" t="str">
        <f>IF(M246="","",'Pricing Details'!V236)</f>
        <v/>
      </c>
      <c r="Z246" s="43" t="str">
        <f>IF(M246="","",'Pricing Details'!X236)</f>
        <v/>
      </c>
      <c r="AA246" s="183" t="str">
        <f>'Pricing Details'!Z236</f>
        <v/>
      </c>
      <c r="AB246" s="178" t="str">
        <f>'Pricing Details'!AC236</f>
        <v/>
      </c>
      <c r="AC246" s="79"/>
      <c r="AD246" s="41" t="str">
        <f>IFERROR(_xlfn.XLOOKUP(K246,Collection[Display],Collection[Line])&amp;_xlfn.XLOOKUP(L246,Sleeve[Display],Sleeve[Sleeve]),"")</f>
        <v/>
      </c>
    </row>
    <row r="247" spans="1:30" s="41" customFormat="1" ht="30" customHeight="1" x14ac:dyDescent="0.2">
      <c r="A247" s="79"/>
      <c r="B247" s="70">
        <v>234</v>
      </c>
      <c r="C247" s="71"/>
      <c r="D247" s="71"/>
      <c r="E247" s="274"/>
      <c r="F247" s="214"/>
      <c r="G247" s="191"/>
      <c r="H247" s="74"/>
      <c r="I247" s="74"/>
      <c r="J247" s="74"/>
      <c r="K247" s="74"/>
      <c r="L247" s="73"/>
      <c r="M247" s="74"/>
      <c r="N247" s="71"/>
      <c r="O247" s="74"/>
      <c r="P247" s="74"/>
      <c r="Q247" s="74"/>
      <c r="R247" s="73"/>
      <c r="S247" s="73"/>
      <c r="T247" s="73"/>
      <c r="U247" s="73"/>
      <c r="V247" s="73"/>
      <c r="W247" s="143"/>
      <c r="X247" s="45" t="str">
        <f>IF(M247="","",'Pricing Details'!D237+'Pricing Details'!Q237)</f>
        <v/>
      </c>
      <c r="Y247" s="45" t="str">
        <f>IF(M247="","",'Pricing Details'!V237)</f>
        <v/>
      </c>
      <c r="Z247" s="43" t="str">
        <f>IF(M247="","",'Pricing Details'!X237)</f>
        <v/>
      </c>
      <c r="AA247" s="183" t="str">
        <f>'Pricing Details'!Z237</f>
        <v/>
      </c>
      <c r="AB247" s="178" t="str">
        <f>'Pricing Details'!AC237</f>
        <v/>
      </c>
      <c r="AC247" s="79"/>
      <c r="AD247" s="41" t="str">
        <f>IFERROR(_xlfn.XLOOKUP(K247,Collection[Display],Collection[Line])&amp;_xlfn.XLOOKUP(L247,Sleeve[Display],Sleeve[Sleeve]),"")</f>
        <v/>
      </c>
    </row>
    <row r="248" spans="1:30" s="41" customFormat="1" ht="30" customHeight="1" x14ac:dyDescent="0.2">
      <c r="A248" s="79"/>
      <c r="B248" s="70">
        <v>235</v>
      </c>
      <c r="C248" s="71"/>
      <c r="D248" s="71"/>
      <c r="E248" s="274"/>
      <c r="F248" s="214"/>
      <c r="G248" s="191"/>
      <c r="H248" s="74"/>
      <c r="I248" s="74"/>
      <c r="J248" s="74"/>
      <c r="K248" s="74"/>
      <c r="L248" s="73"/>
      <c r="M248" s="74"/>
      <c r="N248" s="71"/>
      <c r="O248" s="74"/>
      <c r="P248" s="74"/>
      <c r="Q248" s="74"/>
      <c r="R248" s="73"/>
      <c r="S248" s="73"/>
      <c r="T248" s="73"/>
      <c r="U248" s="73"/>
      <c r="V248" s="73"/>
      <c r="W248" s="143"/>
      <c r="X248" s="45" t="str">
        <f>IF(M248="","",'Pricing Details'!D238+'Pricing Details'!Q238)</f>
        <v/>
      </c>
      <c r="Y248" s="45" t="str">
        <f>IF(M248="","",'Pricing Details'!V238)</f>
        <v/>
      </c>
      <c r="Z248" s="43" t="str">
        <f>IF(M248="","",'Pricing Details'!X238)</f>
        <v/>
      </c>
      <c r="AA248" s="183" t="str">
        <f>'Pricing Details'!Z238</f>
        <v/>
      </c>
      <c r="AB248" s="178" t="str">
        <f>'Pricing Details'!AC238</f>
        <v/>
      </c>
      <c r="AC248" s="79"/>
      <c r="AD248" s="41" t="str">
        <f>IFERROR(_xlfn.XLOOKUP(K248,Collection[Display],Collection[Line])&amp;_xlfn.XLOOKUP(L248,Sleeve[Display],Sleeve[Sleeve]),"")</f>
        <v/>
      </c>
    </row>
    <row r="249" spans="1:30" s="41" customFormat="1" ht="30" customHeight="1" x14ac:dyDescent="0.2">
      <c r="A249" s="79"/>
      <c r="B249" s="70">
        <v>236</v>
      </c>
      <c r="C249" s="71"/>
      <c r="D249" s="71"/>
      <c r="E249" s="274"/>
      <c r="F249" s="214"/>
      <c r="G249" s="191"/>
      <c r="H249" s="74"/>
      <c r="I249" s="74"/>
      <c r="J249" s="74"/>
      <c r="K249" s="74"/>
      <c r="L249" s="73"/>
      <c r="M249" s="74"/>
      <c r="N249" s="71"/>
      <c r="O249" s="74"/>
      <c r="P249" s="74"/>
      <c r="Q249" s="74"/>
      <c r="R249" s="73"/>
      <c r="S249" s="73"/>
      <c r="T249" s="73"/>
      <c r="U249" s="73"/>
      <c r="V249" s="73"/>
      <c r="W249" s="143"/>
      <c r="X249" s="45" t="str">
        <f>IF(M249="","",'Pricing Details'!D239+'Pricing Details'!Q239)</f>
        <v/>
      </c>
      <c r="Y249" s="45" t="str">
        <f>IF(M249="","",'Pricing Details'!V239)</f>
        <v/>
      </c>
      <c r="Z249" s="43" t="str">
        <f>IF(M249="","",'Pricing Details'!X239)</f>
        <v/>
      </c>
      <c r="AA249" s="183" t="str">
        <f>'Pricing Details'!Z239</f>
        <v/>
      </c>
      <c r="AB249" s="178" t="str">
        <f>'Pricing Details'!AC239</f>
        <v/>
      </c>
      <c r="AC249" s="79"/>
      <c r="AD249" s="41" t="str">
        <f>IFERROR(_xlfn.XLOOKUP(K249,Collection[Display],Collection[Line])&amp;_xlfn.XLOOKUP(L249,Sleeve[Display],Sleeve[Sleeve]),"")</f>
        <v/>
      </c>
    </row>
    <row r="250" spans="1:30" s="41" customFormat="1" ht="30" customHeight="1" x14ac:dyDescent="0.2">
      <c r="A250" s="79"/>
      <c r="B250" s="70">
        <v>237</v>
      </c>
      <c r="C250" s="71"/>
      <c r="D250" s="71"/>
      <c r="E250" s="274"/>
      <c r="F250" s="214"/>
      <c r="G250" s="191"/>
      <c r="H250" s="74"/>
      <c r="I250" s="74"/>
      <c r="J250" s="74"/>
      <c r="K250" s="74"/>
      <c r="L250" s="73"/>
      <c r="M250" s="74"/>
      <c r="N250" s="71"/>
      <c r="O250" s="74"/>
      <c r="P250" s="74"/>
      <c r="Q250" s="74"/>
      <c r="R250" s="73"/>
      <c r="S250" s="73"/>
      <c r="T250" s="73"/>
      <c r="U250" s="73"/>
      <c r="V250" s="73"/>
      <c r="W250" s="143"/>
      <c r="X250" s="45" t="str">
        <f>IF(M250="","",'Pricing Details'!D240+'Pricing Details'!Q240)</f>
        <v/>
      </c>
      <c r="Y250" s="45" t="str">
        <f>IF(M250="","",'Pricing Details'!V240)</f>
        <v/>
      </c>
      <c r="Z250" s="43" t="str">
        <f>IF(M250="","",'Pricing Details'!X240)</f>
        <v/>
      </c>
      <c r="AA250" s="183" t="str">
        <f>'Pricing Details'!Z240</f>
        <v/>
      </c>
      <c r="AB250" s="178" t="str">
        <f>'Pricing Details'!AC240</f>
        <v/>
      </c>
      <c r="AC250" s="79"/>
      <c r="AD250" s="41" t="str">
        <f>IFERROR(_xlfn.XLOOKUP(K250,Collection[Display],Collection[Line])&amp;_xlfn.XLOOKUP(L250,Sleeve[Display],Sleeve[Sleeve]),"")</f>
        <v/>
      </c>
    </row>
    <row r="251" spans="1:30" s="41" customFormat="1" ht="30" customHeight="1" x14ac:dyDescent="0.2">
      <c r="A251" s="79"/>
      <c r="B251" s="70">
        <v>238</v>
      </c>
      <c r="C251" s="71"/>
      <c r="D251" s="71"/>
      <c r="E251" s="274"/>
      <c r="F251" s="214"/>
      <c r="G251" s="191"/>
      <c r="H251" s="74"/>
      <c r="I251" s="74"/>
      <c r="J251" s="74"/>
      <c r="K251" s="74"/>
      <c r="L251" s="73"/>
      <c r="M251" s="74"/>
      <c r="N251" s="71"/>
      <c r="O251" s="74"/>
      <c r="P251" s="74"/>
      <c r="Q251" s="74"/>
      <c r="R251" s="73"/>
      <c r="S251" s="73"/>
      <c r="T251" s="73"/>
      <c r="U251" s="73"/>
      <c r="V251" s="73"/>
      <c r="W251" s="143"/>
      <c r="X251" s="45" t="str">
        <f>IF(M251="","",'Pricing Details'!D241+'Pricing Details'!Q241)</f>
        <v/>
      </c>
      <c r="Y251" s="45" t="str">
        <f>IF(M251="","",'Pricing Details'!V241)</f>
        <v/>
      </c>
      <c r="Z251" s="43" t="str">
        <f>IF(M251="","",'Pricing Details'!X241)</f>
        <v/>
      </c>
      <c r="AA251" s="183" t="str">
        <f>'Pricing Details'!Z241</f>
        <v/>
      </c>
      <c r="AB251" s="178" t="str">
        <f>'Pricing Details'!AC241</f>
        <v/>
      </c>
      <c r="AC251" s="79"/>
      <c r="AD251" s="41" t="str">
        <f>IFERROR(_xlfn.XLOOKUP(K251,Collection[Display],Collection[Line])&amp;_xlfn.XLOOKUP(L251,Sleeve[Display],Sleeve[Sleeve]),"")</f>
        <v/>
      </c>
    </row>
    <row r="252" spans="1:30" s="41" customFormat="1" ht="30" customHeight="1" x14ac:dyDescent="0.2">
      <c r="A252" s="79"/>
      <c r="B252" s="70">
        <v>239</v>
      </c>
      <c r="C252" s="71"/>
      <c r="D252" s="71"/>
      <c r="E252" s="274"/>
      <c r="F252" s="214"/>
      <c r="G252" s="191"/>
      <c r="H252" s="74"/>
      <c r="I252" s="74"/>
      <c r="J252" s="74"/>
      <c r="K252" s="74"/>
      <c r="L252" s="73"/>
      <c r="M252" s="74"/>
      <c r="N252" s="71"/>
      <c r="O252" s="74"/>
      <c r="P252" s="74"/>
      <c r="Q252" s="74"/>
      <c r="R252" s="73"/>
      <c r="S252" s="73"/>
      <c r="T252" s="73"/>
      <c r="U252" s="73"/>
      <c r="V252" s="73"/>
      <c r="W252" s="143"/>
      <c r="X252" s="45" t="str">
        <f>IF(M252="","",'Pricing Details'!D242+'Pricing Details'!Q242)</f>
        <v/>
      </c>
      <c r="Y252" s="45" t="str">
        <f>IF(M252="","",'Pricing Details'!V242)</f>
        <v/>
      </c>
      <c r="Z252" s="43" t="str">
        <f>IF(M252="","",'Pricing Details'!X242)</f>
        <v/>
      </c>
      <c r="AA252" s="183" t="str">
        <f>'Pricing Details'!Z242</f>
        <v/>
      </c>
      <c r="AB252" s="178" t="str">
        <f>'Pricing Details'!AC242</f>
        <v/>
      </c>
      <c r="AC252" s="79"/>
      <c r="AD252" s="41" t="str">
        <f>IFERROR(_xlfn.XLOOKUP(K252,Collection[Display],Collection[Line])&amp;_xlfn.XLOOKUP(L252,Sleeve[Display],Sleeve[Sleeve]),"")</f>
        <v/>
      </c>
    </row>
    <row r="253" spans="1:30" s="41" customFormat="1" ht="30" customHeight="1" x14ac:dyDescent="0.2">
      <c r="A253" s="79"/>
      <c r="B253" s="70">
        <v>240</v>
      </c>
      <c r="C253" s="71"/>
      <c r="D253" s="71"/>
      <c r="E253" s="274"/>
      <c r="F253" s="214"/>
      <c r="G253" s="191"/>
      <c r="H253" s="74"/>
      <c r="I253" s="74"/>
      <c r="J253" s="74"/>
      <c r="K253" s="74"/>
      <c r="L253" s="73"/>
      <c r="M253" s="74"/>
      <c r="N253" s="71"/>
      <c r="O253" s="74"/>
      <c r="P253" s="74"/>
      <c r="Q253" s="74"/>
      <c r="R253" s="73"/>
      <c r="S253" s="73"/>
      <c r="T253" s="73"/>
      <c r="U253" s="73"/>
      <c r="V253" s="73"/>
      <c r="W253" s="143"/>
      <c r="X253" s="45" t="str">
        <f>IF(M253="","",'Pricing Details'!D243+'Pricing Details'!Q243)</f>
        <v/>
      </c>
      <c r="Y253" s="45" t="str">
        <f>IF(M253="","",'Pricing Details'!V243)</f>
        <v/>
      </c>
      <c r="Z253" s="43" t="str">
        <f>IF(M253="","",'Pricing Details'!X243)</f>
        <v/>
      </c>
      <c r="AA253" s="183" t="str">
        <f>'Pricing Details'!Z243</f>
        <v/>
      </c>
      <c r="AB253" s="178" t="str">
        <f>'Pricing Details'!AC243</f>
        <v/>
      </c>
      <c r="AC253" s="79"/>
      <c r="AD253" s="41" t="str">
        <f>IFERROR(_xlfn.XLOOKUP(K253,Collection[Display],Collection[Line])&amp;_xlfn.XLOOKUP(L253,Sleeve[Display],Sleeve[Sleeve]),"")</f>
        <v/>
      </c>
    </row>
    <row r="254" spans="1:30" s="41" customFormat="1" ht="30" customHeight="1" x14ac:dyDescent="0.2">
      <c r="A254" s="79"/>
      <c r="B254" s="70">
        <v>241</v>
      </c>
      <c r="C254" s="71"/>
      <c r="D254" s="71"/>
      <c r="E254" s="274"/>
      <c r="F254" s="214"/>
      <c r="G254" s="191"/>
      <c r="H254" s="74"/>
      <c r="I254" s="74"/>
      <c r="J254" s="74"/>
      <c r="K254" s="74"/>
      <c r="L254" s="73"/>
      <c r="M254" s="74"/>
      <c r="N254" s="71"/>
      <c r="O254" s="74"/>
      <c r="P254" s="74"/>
      <c r="Q254" s="74"/>
      <c r="R254" s="73"/>
      <c r="S254" s="73"/>
      <c r="T254" s="73"/>
      <c r="U254" s="73"/>
      <c r="V254" s="73"/>
      <c r="W254" s="143"/>
      <c r="X254" s="45" t="str">
        <f>IF(M254="","",'Pricing Details'!D244+'Pricing Details'!Q244)</f>
        <v/>
      </c>
      <c r="Y254" s="45" t="str">
        <f>IF(M254="","",'Pricing Details'!V244)</f>
        <v/>
      </c>
      <c r="Z254" s="43" t="str">
        <f>IF(M254="","",'Pricing Details'!X244)</f>
        <v/>
      </c>
      <c r="AA254" s="183" t="str">
        <f>'Pricing Details'!Z244</f>
        <v/>
      </c>
      <c r="AB254" s="178" t="str">
        <f>'Pricing Details'!AC244</f>
        <v/>
      </c>
      <c r="AC254" s="79"/>
      <c r="AD254" s="41" t="str">
        <f>IFERROR(_xlfn.XLOOKUP(K254,Collection[Display],Collection[Line])&amp;_xlfn.XLOOKUP(L254,Sleeve[Display],Sleeve[Sleeve]),"")</f>
        <v/>
      </c>
    </row>
    <row r="255" spans="1:30" s="41" customFormat="1" ht="30" customHeight="1" x14ac:dyDescent="0.2">
      <c r="A255" s="79"/>
      <c r="B255" s="70">
        <v>242</v>
      </c>
      <c r="C255" s="71"/>
      <c r="D255" s="71"/>
      <c r="E255" s="274"/>
      <c r="F255" s="214"/>
      <c r="G255" s="191"/>
      <c r="H255" s="74"/>
      <c r="I255" s="74"/>
      <c r="J255" s="74"/>
      <c r="K255" s="74"/>
      <c r="L255" s="73"/>
      <c r="M255" s="74"/>
      <c r="N255" s="71"/>
      <c r="O255" s="74"/>
      <c r="P255" s="74"/>
      <c r="Q255" s="74"/>
      <c r="R255" s="73"/>
      <c r="S255" s="73"/>
      <c r="T255" s="73"/>
      <c r="U255" s="73"/>
      <c r="V255" s="73"/>
      <c r="W255" s="143"/>
      <c r="X255" s="45" t="str">
        <f>IF(M255="","",'Pricing Details'!D245+'Pricing Details'!Q245)</f>
        <v/>
      </c>
      <c r="Y255" s="45" t="str">
        <f>IF(M255="","",'Pricing Details'!V245)</f>
        <v/>
      </c>
      <c r="Z255" s="43" t="str">
        <f>IF(M255="","",'Pricing Details'!X245)</f>
        <v/>
      </c>
      <c r="AA255" s="183" t="str">
        <f>'Pricing Details'!Z245</f>
        <v/>
      </c>
      <c r="AB255" s="178" t="str">
        <f>'Pricing Details'!AC245</f>
        <v/>
      </c>
      <c r="AC255" s="79"/>
      <c r="AD255" s="41" t="str">
        <f>IFERROR(_xlfn.XLOOKUP(K255,Collection[Display],Collection[Line])&amp;_xlfn.XLOOKUP(L255,Sleeve[Display],Sleeve[Sleeve]),"")</f>
        <v/>
      </c>
    </row>
    <row r="256" spans="1:30" s="41" customFormat="1" ht="30" customHeight="1" x14ac:dyDescent="0.2">
      <c r="A256" s="79"/>
      <c r="B256" s="70">
        <v>243</v>
      </c>
      <c r="C256" s="71"/>
      <c r="D256" s="71"/>
      <c r="E256" s="274"/>
      <c r="F256" s="214"/>
      <c r="G256" s="191"/>
      <c r="H256" s="74"/>
      <c r="I256" s="74"/>
      <c r="J256" s="74"/>
      <c r="K256" s="74"/>
      <c r="L256" s="73"/>
      <c r="M256" s="74"/>
      <c r="N256" s="71"/>
      <c r="O256" s="74"/>
      <c r="P256" s="74"/>
      <c r="Q256" s="74"/>
      <c r="R256" s="73"/>
      <c r="S256" s="73"/>
      <c r="T256" s="73"/>
      <c r="U256" s="73"/>
      <c r="V256" s="73"/>
      <c r="W256" s="143"/>
      <c r="X256" s="45" t="str">
        <f>IF(M256="","",'Pricing Details'!D246+'Pricing Details'!Q246)</f>
        <v/>
      </c>
      <c r="Y256" s="45" t="str">
        <f>IF(M256="","",'Pricing Details'!V246)</f>
        <v/>
      </c>
      <c r="Z256" s="43" t="str">
        <f>IF(M256="","",'Pricing Details'!X246)</f>
        <v/>
      </c>
      <c r="AA256" s="183" t="str">
        <f>'Pricing Details'!Z246</f>
        <v/>
      </c>
      <c r="AB256" s="178" t="str">
        <f>'Pricing Details'!AC246</f>
        <v/>
      </c>
      <c r="AC256" s="79"/>
      <c r="AD256" s="41" t="str">
        <f>IFERROR(_xlfn.XLOOKUP(K256,Collection[Display],Collection[Line])&amp;_xlfn.XLOOKUP(L256,Sleeve[Display],Sleeve[Sleeve]),"")</f>
        <v/>
      </c>
    </row>
    <row r="257" spans="1:30" s="41" customFormat="1" ht="30" customHeight="1" x14ac:dyDescent="0.2">
      <c r="A257" s="79"/>
      <c r="B257" s="70">
        <v>244</v>
      </c>
      <c r="C257" s="71"/>
      <c r="D257" s="71"/>
      <c r="E257" s="274"/>
      <c r="F257" s="214"/>
      <c r="G257" s="191"/>
      <c r="H257" s="74"/>
      <c r="I257" s="74"/>
      <c r="J257" s="74"/>
      <c r="K257" s="74"/>
      <c r="L257" s="73"/>
      <c r="M257" s="74"/>
      <c r="N257" s="71"/>
      <c r="O257" s="74"/>
      <c r="P257" s="74"/>
      <c r="Q257" s="74"/>
      <c r="R257" s="73"/>
      <c r="S257" s="73"/>
      <c r="T257" s="73"/>
      <c r="U257" s="73"/>
      <c r="V257" s="73"/>
      <c r="W257" s="143"/>
      <c r="X257" s="45" t="str">
        <f>IF(M257="","",'Pricing Details'!D247+'Pricing Details'!Q247)</f>
        <v/>
      </c>
      <c r="Y257" s="45" t="str">
        <f>IF(M257="","",'Pricing Details'!V247)</f>
        <v/>
      </c>
      <c r="Z257" s="43" t="str">
        <f>IF(M257="","",'Pricing Details'!X247)</f>
        <v/>
      </c>
      <c r="AA257" s="183" t="str">
        <f>'Pricing Details'!Z247</f>
        <v/>
      </c>
      <c r="AB257" s="178" t="str">
        <f>'Pricing Details'!AC247</f>
        <v/>
      </c>
      <c r="AC257" s="79"/>
      <c r="AD257" s="41" t="str">
        <f>IFERROR(_xlfn.XLOOKUP(K257,Collection[Display],Collection[Line])&amp;_xlfn.XLOOKUP(L257,Sleeve[Display],Sleeve[Sleeve]),"")</f>
        <v/>
      </c>
    </row>
    <row r="258" spans="1:30" s="41" customFormat="1" ht="30" customHeight="1" x14ac:dyDescent="0.2">
      <c r="A258" s="79"/>
      <c r="B258" s="70">
        <v>245</v>
      </c>
      <c r="C258" s="71"/>
      <c r="D258" s="71"/>
      <c r="E258" s="274"/>
      <c r="F258" s="214"/>
      <c r="G258" s="191"/>
      <c r="H258" s="74"/>
      <c r="I258" s="74"/>
      <c r="J258" s="74"/>
      <c r="K258" s="74"/>
      <c r="L258" s="73"/>
      <c r="M258" s="74"/>
      <c r="N258" s="71"/>
      <c r="O258" s="74"/>
      <c r="P258" s="74"/>
      <c r="Q258" s="74"/>
      <c r="R258" s="73"/>
      <c r="S258" s="73"/>
      <c r="T258" s="73"/>
      <c r="U258" s="73"/>
      <c r="V258" s="73"/>
      <c r="W258" s="143"/>
      <c r="X258" s="45" t="str">
        <f>IF(M258="","",'Pricing Details'!D248+'Pricing Details'!Q248)</f>
        <v/>
      </c>
      <c r="Y258" s="45" t="str">
        <f>IF(M258="","",'Pricing Details'!V248)</f>
        <v/>
      </c>
      <c r="Z258" s="43" t="str">
        <f>IF(M258="","",'Pricing Details'!X248)</f>
        <v/>
      </c>
      <c r="AA258" s="183" t="str">
        <f>'Pricing Details'!Z248</f>
        <v/>
      </c>
      <c r="AB258" s="178" t="str">
        <f>'Pricing Details'!AC248</f>
        <v/>
      </c>
      <c r="AC258" s="79"/>
      <c r="AD258" s="41" t="str">
        <f>IFERROR(_xlfn.XLOOKUP(K258,Collection[Display],Collection[Line])&amp;_xlfn.XLOOKUP(L258,Sleeve[Display],Sleeve[Sleeve]),"")</f>
        <v/>
      </c>
    </row>
    <row r="259" spans="1:30" s="41" customFormat="1" ht="30" customHeight="1" x14ac:dyDescent="0.2">
      <c r="A259" s="79"/>
      <c r="B259" s="70">
        <v>246</v>
      </c>
      <c r="C259" s="71"/>
      <c r="D259" s="71"/>
      <c r="E259" s="274"/>
      <c r="F259" s="214"/>
      <c r="G259" s="191"/>
      <c r="H259" s="74"/>
      <c r="I259" s="74"/>
      <c r="J259" s="74"/>
      <c r="K259" s="74"/>
      <c r="L259" s="73"/>
      <c r="M259" s="74"/>
      <c r="N259" s="71"/>
      <c r="O259" s="74"/>
      <c r="P259" s="74"/>
      <c r="Q259" s="74"/>
      <c r="R259" s="73"/>
      <c r="S259" s="73"/>
      <c r="T259" s="73"/>
      <c r="U259" s="73"/>
      <c r="V259" s="73"/>
      <c r="W259" s="143"/>
      <c r="X259" s="45" t="str">
        <f>IF(M259="","",'Pricing Details'!D249+'Pricing Details'!Q249)</f>
        <v/>
      </c>
      <c r="Y259" s="45" t="str">
        <f>IF(M259="","",'Pricing Details'!V249)</f>
        <v/>
      </c>
      <c r="Z259" s="43" t="str">
        <f>IF(M259="","",'Pricing Details'!X249)</f>
        <v/>
      </c>
      <c r="AA259" s="183" t="str">
        <f>'Pricing Details'!Z249</f>
        <v/>
      </c>
      <c r="AB259" s="178" t="str">
        <f>'Pricing Details'!AC249</f>
        <v/>
      </c>
      <c r="AC259" s="79"/>
      <c r="AD259" s="41" t="str">
        <f>IFERROR(_xlfn.XLOOKUP(K259,Collection[Display],Collection[Line])&amp;_xlfn.XLOOKUP(L259,Sleeve[Display],Sleeve[Sleeve]),"")</f>
        <v/>
      </c>
    </row>
    <row r="260" spans="1:30" s="41" customFormat="1" ht="30" customHeight="1" x14ac:dyDescent="0.2">
      <c r="A260" s="79"/>
      <c r="B260" s="70">
        <v>247</v>
      </c>
      <c r="C260" s="71"/>
      <c r="D260" s="71"/>
      <c r="E260" s="274"/>
      <c r="F260" s="214"/>
      <c r="G260" s="191"/>
      <c r="H260" s="74"/>
      <c r="I260" s="74"/>
      <c r="J260" s="74"/>
      <c r="K260" s="74"/>
      <c r="L260" s="73"/>
      <c r="M260" s="74"/>
      <c r="N260" s="71"/>
      <c r="O260" s="74"/>
      <c r="P260" s="74"/>
      <c r="Q260" s="74"/>
      <c r="R260" s="73"/>
      <c r="S260" s="73"/>
      <c r="T260" s="73"/>
      <c r="U260" s="73"/>
      <c r="V260" s="73"/>
      <c r="W260" s="143"/>
      <c r="X260" s="45" t="str">
        <f>IF(M260="","",'Pricing Details'!D250+'Pricing Details'!Q250)</f>
        <v/>
      </c>
      <c r="Y260" s="45" t="str">
        <f>IF(M260="","",'Pricing Details'!V250)</f>
        <v/>
      </c>
      <c r="Z260" s="43" t="str">
        <f>IF(M260="","",'Pricing Details'!X250)</f>
        <v/>
      </c>
      <c r="AA260" s="183" t="str">
        <f>'Pricing Details'!Z250</f>
        <v/>
      </c>
      <c r="AB260" s="178" t="str">
        <f>'Pricing Details'!AC250</f>
        <v/>
      </c>
      <c r="AC260" s="79"/>
      <c r="AD260" s="41" t="str">
        <f>IFERROR(_xlfn.XLOOKUP(K260,Collection[Display],Collection[Line])&amp;_xlfn.XLOOKUP(L260,Sleeve[Display],Sleeve[Sleeve]),"")</f>
        <v/>
      </c>
    </row>
    <row r="261" spans="1:30" s="41" customFormat="1" ht="30" customHeight="1" x14ac:dyDescent="0.2">
      <c r="A261" s="79"/>
      <c r="B261" s="70">
        <v>248</v>
      </c>
      <c r="C261" s="71"/>
      <c r="D261" s="71"/>
      <c r="E261" s="274"/>
      <c r="F261" s="214"/>
      <c r="G261" s="191"/>
      <c r="H261" s="74"/>
      <c r="I261" s="74"/>
      <c r="J261" s="74"/>
      <c r="K261" s="74"/>
      <c r="L261" s="73"/>
      <c r="M261" s="74"/>
      <c r="N261" s="71"/>
      <c r="O261" s="74"/>
      <c r="P261" s="74"/>
      <c r="Q261" s="74"/>
      <c r="R261" s="73"/>
      <c r="S261" s="73"/>
      <c r="T261" s="73"/>
      <c r="U261" s="73"/>
      <c r="V261" s="73"/>
      <c r="W261" s="143"/>
      <c r="X261" s="45" t="str">
        <f>IF(M261="","",'Pricing Details'!D251+'Pricing Details'!Q251)</f>
        <v/>
      </c>
      <c r="Y261" s="45" t="str">
        <f>IF(M261="","",'Pricing Details'!V251)</f>
        <v/>
      </c>
      <c r="Z261" s="43" t="str">
        <f>IF(M261="","",'Pricing Details'!X251)</f>
        <v/>
      </c>
      <c r="AA261" s="183" t="str">
        <f>'Pricing Details'!Z251</f>
        <v/>
      </c>
      <c r="AB261" s="178" t="str">
        <f>'Pricing Details'!AC251</f>
        <v/>
      </c>
      <c r="AC261" s="79"/>
      <c r="AD261" s="41" t="str">
        <f>IFERROR(_xlfn.XLOOKUP(K261,Collection[Display],Collection[Line])&amp;_xlfn.XLOOKUP(L261,Sleeve[Display],Sleeve[Sleeve]),"")</f>
        <v/>
      </c>
    </row>
    <row r="262" spans="1:30" s="41" customFormat="1" ht="30" customHeight="1" x14ac:dyDescent="0.2">
      <c r="A262" s="79"/>
      <c r="B262" s="70">
        <v>249</v>
      </c>
      <c r="C262" s="71"/>
      <c r="D262" s="71"/>
      <c r="E262" s="274"/>
      <c r="F262" s="214"/>
      <c r="G262" s="191"/>
      <c r="H262" s="74"/>
      <c r="I262" s="74"/>
      <c r="J262" s="74"/>
      <c r="K262" s="74"/>
      <c r="L262" s="73"/>
      <c r="M262" s="74"/>
      <c r="N262" s="71"/>
      <c r="O262" s="74"/>
      <c r="P262" s="74"/>
      <c r="Q262" s="74"/>
      <c r="R262" s="73"/>
      <c r="S262" s="73"/>
      <c r="T262" s="73"/>
      <c r="U262" s="73"/>
      <c r="V262" s="73"/>
      <c r="W262" s="143"/>
      <c r="X262" s="45" t="str">
        <f>IF(M262="","",'Pricing Details'!D252+'Pricing Details'!Q252)</f>
        <v/>
      </c>
      <c r="Y262" s="45" t="str">
        <f>IF(M262="","",'Pricing Details'!V252)</f>
        <v/>
      </c>
      <c r="Z262" s="43" t="str">
        <f>IF(M262="","",'Pricing Details'!X252)</f>
        <v/>
      </c>
      <c r="AA262" s="183" t="str">
        <f>'Pricing Details'!Z252</f>
        <v/>
      </c>
      <c r="AB262" s="178" t="str">
        <f>'Pricing Details'!AC252</f>
        <v/>
      </c>
      <c r="AC262" s="79"/>
      <c r="AD262" s="41" t="str">
        <f>IFERROR(_xlfn.XLOOKUP(K262,Collection[Display],Collection[Line])&amp;_xlfn.XLOOKUP(L262,Sleeve[Display],Sleeve[Sleeve]),"")</f>
        <v/>
      </c>
    </row>
    <row r="263" spans="1:30" s="41" customFormat="1" ht="30" customHeight="1" x14ac:dyDescent="0.2">
      <c r="A263" s="79"/>
      <c r="B263" s="70">
        <v>250</v>
      </c>
      <c r="C263" s="71"/>
      <c r="D263" s="71"/>
      <c r="E263" s="274"/>
      <c r="F263" s="214"/>
      <c r="G263" s="191"/>
      <c r="H263" s="74"/>
      <c r="I263" s="74"/>
      <c r="J263" s="74"/>
      <c r="K263" s="74"/>
      <c r="L263" s="73"/>
      <c r="M263" s="74"/>
      <c r="N263" s="71"/>
      <c r="O263" s="74"/>
      <c r="P263" s="74"/>
      <c r="Q263" s="74"/>
      <c r="R263" s="73"/>
      <c r="S263" s="73"/>
      <c r="T263" s="73"/>
      <c r="U263" s="73"/>
      <c r="V263" s="73"/>
      <c r="W263" s="143"/>
      <c r="X263" s="45" t="str">
        <f>IF(M263="","",'Pricing Details'!D253+'Pricing Details'!Q253)</f>
        <v/>
      </c>
      <c r="Y263" s="45" t="str">
        <f>IF(M263="","",'Pricing Details'!V253)</f>
        <v/>
      </c>
      <c r="Z263" s="43" t="str">
        <f>IF(M263="","",'Pricing Details'!X253)</f>
        <v/>
      </c>
      <c r="AA263" s="183" t="str">
        <f>'Pricing Details'!Z253</f>
        <v/>
      </c>
      <c r="AB263" s="178" t="str">
        <f>'Pricing Details'!AC253</f>
        <v/>
      </c>
      <c r="AC263" s="79"/>
      <c r="AD263" s="41" t="str">
        <f>IFERROR(_xlfn.XLOOKUP(K263,Collection[Display],Collection[Line])&amp;_xlfn.XLOOKUP(L263,Sleeve[Display],Sleeve[Sleeve]),"")</f>
        <v/>
      </c>
    </row>
    <row r="264" spans="1:30" s="41" customFormat="1" ht="30" customHeight="1" x14ac:dyDescent="0.2">
      <c r="A264" s="79"/>
      <c r="B264" s="70">
        <v>251</v>
      </c>
      <c r="C264" s="71"/>
      <c r="D264" s="71"/>
      <c r="E264" s="274"/>
      <c r="F264" s="214"/>
      <c r="G264" s="191"/>
      <c r="H264" s="74"/>
      <c r="I264" s="74"/>
      <c r="J264" s="74"/>
      <c r="K264" s="74"/>
      <c r="L264" s="73"/>
      <c r="M264" s="74"/>
      <c r="N264" s="71"/>
      <c r="O264" s="74"/>
      <c r="P264" s="74"/>
      <c r="Q264" s="74"/>
      <c r="R264" s="73"/>
      <c r="S264" s="73"/>
      <c r="T264" s="73"/>
      <c r="U264" s="73"/>
      <c r="V264" s="73"/>
      <c r="W264" s="143"/>
      <c r="X264" s="45" t="str">
        <f>IF(M264="","",'Pricing Details'!D254+'Pricing Details'!Q254)</f>
        <v/>
      </c>
      <c r="Y264" s="45" t="str">
        <f>IF(M264="","",'Pricing Details'!V254)</f>
        <v/>
      </c>
      <c r="Z264" s="43" t="str">
        <f>IF(M264="","",'Pricing Details'!X254)</f>
        <v/>
      </c>
      <c r="AA264" s="183" t="str">
        <f>'Pricing Details'!Z254</f>
        <v/>
      </c>
      <c r="AB264" s="178" t="str">
        <f>'Pricing Details'!AC254</f>
        <v/>
      </c>
      <c r="AC264" s="79"/>
      <c r="AD264" s="41" t="str">
        <f>IFERROR(_xlfn.XLOOKUP(K264,Collection[Display],Collection[Line])&amp;_xlfn.XLOOKUP(L264,Sleeve[Display],Sleeve[Sleeve]),"")</f>
        <v/>
      </c>
    </row>
    <row r="265" spans="1:30" s="41" customFormat="1" ht="30" customHeight="1" x14ac:dyDescent="0.2">
      <c r="A265" s="79"/>
      <c r="B265" s="70">
        <v>252</v>
      </c>
      <c r="C265" s="71"/>
      <c r="D265" s="71"/>
      <c r="E265" s="274"/>
      <c r="F265" s="214"/>
      <c r="G265" s="191"/>
      <c r="H265" s="74"/>
      <c r="I265" s="74"/>
      <c r="J265" s="74"/>
      <c r="K265" s="74"/>
      <c r="L265" s="73"/>
      <c r="M265" s="74"/>
      <c r="N265" s="71"/>
      <c r="O265" s="74"/>
      <c r="P265" s="74"/>
      <c r="Q265" s="74"/>
      <c r="R265" s="73"/>
      <c r="S265" s="73"/>
      <c r="T265" s="73"/>
      <c r="U265" s="73"/>
      <c r="V265" s="73"/>
      <c r="W265" s="143"/>
      <c r="X265" s="45" t="str">
        <f>IF(M265="","",'Pricing Details'!D255+'Pricing Details'!Q255)</f>
        <v/>
      </c>
      <c r="Y265" s="45" t="str">
        <f>IF(M265="","",'Pricing Details'!V255)</f>
        <v/>
      </c>
      <c r="Z265" s="43" t="str">
        <f>IF(M265="","",'Pricing Details'!X255)</f>
        <v/>
      </c>
      <c r="AA265" s="183" t="str">
        <f>'Pricing Details'!Z255</f>
        <v/>
      </c>
      <c r="AB265" s="178" t="str">
        <f>'Pricing Details'!AC255</f>
        <v/>
      </c>
      <c r="AC265" s="79"/>
      <c r="AD265" s="41" t="str">
        <f>IFERROR(_xlfn.XLOOKUP(K265,Collection[Display],Collection[Line])&amp;_xlfn.XLOOKUP(L265,Sleeve[Display],Sleeve[Sleeve]),"")</f>
        <v/>
      </c>
    </row>
    <row r="266" spans="1:30" s="41" customFormat="1" ht="30" customHeight="1" x14ac:dyDescent="0.2">
      <c r="A266" s="79"/>
      <c r="B266" s="70">
        <v>253</v>
      </c>
      <c r="C266" s="71"/>
      <c r="D266" s="71"/>
      <c r="E266" s="274"/>
      <c r="F266" s="214"/>
      <c r="G266" s="191"/>
      <c r="H266" s="74"/>
      <c r="I266" s="74"/>
      <c r="J266" s="74"/>
      <c r="K266" s="74"/>
      <c r="L266" s="73"/>
      <c r="M266" s="74"/>
      <c r="N266" s="71"/>
      <c r="O266" s="74"/>
      <c r="P266" s="74"/>
      <c r="Q266" s="74"/>
      <c r="R266" s="73"/>
      <c r="S266" s="73"/>
      <c r="T266" s="73"/>
      <c r="U266" s="73"/>
      <c r="V266" s="73"/>
      <c r="W266" s="143"/>
      <c r="X266" s="45" t="str">
        <f>IF(M266="","",'Pricing Details'!D256+'Pricing Details'!Q256)</f>
        <v/>
      </c>
      <c r="Y266" s="45" t="str">
        <f>IF(M266="","",'Pricing Details'!V256)</f>
        <v/>
      </c>
      <c r="Z266" s="43" t="str">
        <f>IF(M266="","",'Pricing Details'!X256)</f>
        <v/>
      </c>
      <c r="AA266" s="183" t="str">
        <f>'Pricing Details'!Z256</f>
        <v/>
      </c>
      <c r="AB266" s="178" t="str">
        <f>'Pricing Details'!AC256</f>
        <v/>
      </c>
      <c r="AC266" s="79"/>
      <c r="AD266" s="41" t="str">
        <f>IFERROR(_xlfn.XLOOKUP(K266,Collection[Display],Collection[Line])&amp;_xlfn.XLOOKUP(L266,Sleeve[Display],Sleeve[Sleeve]),"")</f>
        <v/>
      </c>
    </row>
    <row r="267" spans="1:30" s="41" customFormat="1" ht="30" customHeight="1" x14ac:dyDescent="0.2">
      <c r="A267" s="79"/>
      <c r="B267" s="70">
        <v>254</v>
      </c>
      <c r="C267" s="71"/>
      <c r="D267" s="71"/>
      <c r="E267" s="274"/>
      <c r="F267" s="214"/>
      <c r="G267" s="191"/>
      <c r="H267" s="74"/>
      <c r="I267" s="74"/>
      <c r="J267" s="74"/>
      <c r="K267" s="74"/>
      <c r="L267" s="73"/>
      <c r="M267" s="74"/>
      <c r="N267" s="71"/>
      <c r="O267" s="74"/>
      <c r="P267" s="74"/>
      <c r="Q267" s="74"/>
      <c r="R267" s="73"/>
      <c r="S267" s="73"/>
      <c r="T267" s="73"/>
      <c r="U267" s="73"/>
      <c r="V267" s="73"/>
      <c r="W267" s="143"/>
      <c r="X267" s="45" t="str">
        <f>IF(M267="","",'Pricing Details'!D257+'Pricing Details'!Q257)</f>
        <v/>
      </c>
      <c r="Y267" s="45" t="str">
        <f>IF(M267="","",'Pricing Details'!V257)</f>
        <v/>
      </c>
      <c r="Z267" s="43" t="str">
        <f>IF(M267="","",'Pricing Details'!X257)</f>
        <v/>
      </c>
      <c r="AA267" s="183" t="str">
        <f>'Pricing Details'!Z257</f>
        <v/>
      </c>
      <c r="AB267" s="178" t="str">
        <f>'Pricing Details'!AC257</f>
        <v/>
      </c>
      <c r="AC267" s="79"/>
      <c r="AD267" s="41" t="str">
        <f>IFERROR(_xlfn.XLOOKUP(K267,Collection[Display],Collection[Line])&amp;_xlfn.XLOOKUP(L267,Sleeve[Display],Sleeve[Sleeve]),"")</f>
        <v/>
      </c>
    </row>
    <row r="268" spans="1:30" s="41" customFormat="1" ht="30" customHeight="1" x14ac:dyDescent="0.2">
      <c r="A268" s="79"/>
      <c r="B268" s="70">
        <v>255</v>
      </c>
      <c r="C268" s="71"/>
      <c r="D268" s="71"/>
      <c r="E268" s="274"/>
      <c r="F268" s="214"/>
      <c r="G268" s="191"/>
      <c r="H268" s="74"/>
      <c r="I268" s="74"/>
      <c r="J268" s="74"/>
      <c r="K268" s="74"/>
      <c r="L268" s="73"/>
      <c r="M268" s="74"/>
      <c r="N268" s="71"/>
      <c r="O268" s="74"/>
      <c r="P268" s="74"/>
      <c r="Q268" s="74"/>
      <c r="R268" s="73"/>
      <c r="S268" s="73"/>
      <c r="T268" s="73"/>
      <c r="U268" s="73"/>
      <c r="V268" s="73"/>
      <c r="W268" s="143"/>
      <c r="X268" s="45" t="str">
        <f>IF(M268="","",'Pricing Details'!D258+'Pricing Details'!Q258)</f>
        <v/>
      </c>
      <c r="Y268" s="45" t="str">
        <f>IF(M268="","",'Pricing Details'!V258)</f>
        <v/>
      </c>
      <c r="Z268" s="43" t="str">
        <f>IF(M268="","",'Pricing Details'!X258)</f>
        <v/>
      </c>
      <c r="AA268" s="183" t="str">
        <f>'Pricing Details'!Z258</f>
        <v/>
      </c>
      <c r="AB268" s="178" t="str">
        <f>'Pricing Details'!AC258</f>
        <v/>
      </c>
      <c r="AC268" s="79"/>
      <c r="AD268" s="41" t="str">
        <f>IFERROR(_xlfn.XLOOKUP(K268,Collection[Display],Collection[Line])&amp;_xlfn.XLOOKUP(L268,Sleeve[Display],Sleeve[Sleeve]),"")</f>
        <v/>
      </c>
    </row>
    <row r="269" spans="1:30" s="41" customFormat="1" ht="30" customHeight="1" x14ac:dyDescent="0.2">
      <c r="A269" s="79"/>
      <c r="B269" s="70">
        <v>256</v>
      </c>
      <c r="C269" s="71"/>
      <c r="D269" s="71"/>
      <c r="E269" s="274"/>
      <c r="F269" s="214"/>
      <c r="G269" s="191"/>
      <c r="H269" s="74"/>
      <c r="I269" s="74"/>
      <c r="J269" s="74"/>
      <c r="K269" s="74"/>
      <c r="L269" s="73"/>
      <c r="M269" s="74"/>
      <c r="N269" s="71"/>
      <c r="O269" s="74"/>
      <c r="P269" s="74"/>
      <c r="Q269" s="74"/>
      <c r="R269" s="73"/>
      <c r="S269" s="73"/>
      <c r="T269" s="73"/>
      <c r="U269" s="73"/>
      <c r="V269" s="73"/>
      <c r="W269" s="143"/>
      <c r="X269" s="45" t="str">
        <f>IF(M269="","",'Pricing Details'!D259+'Pricing Details'!Q259)</f>
        <v/>
      </c>
      <c r="Y269" s="45" t="str">
        <f>IF(M269="","",'Pricing Details'!V259)</f>
        <v/>
      </c>
      <c r="Z269" s="43" t="str">
        <f>IF(M269="","",'Pricing Details'!X259)</f>
        <v/>
      </c>
      <c r="AA269" s="183" t="str">
        <f>'Pricing Details'!Z259</f>
        <v/>
      </c>
      <c r="AB269" s="178" t="str">
        <f>'Pricing Details'!AC259</f>
        <v/>
      </c>
      <c r="AC269" s="79"/>
      <c r="AD269" s="41" t="str">
        <f>IFERROR(_xlfn.XLOOKUP(K269,Collection[Display],Collection[Line])&amp;_xlfn.XLOOKUP(L269,Sleeve[Display],Sleeve[Sleeve]),"")</f>
        <v/>
      </c>
    </row>
    <row r="270" spans="1:30" s="41" customFormat="1" ht="30" customHeight="1" x14ac:dyDescent="0.2">
      <c r="A270" s="79"/>
      <c r="B270" s="70">
        <v>257</v>
      </c>
      <c r="C270" s="71"/>
      <c r="D270" s="71"/>
      <c r="E270" s="274"/>
      <c r="F270" s="214"/>
      <c r="G270" s="191"/>
      <c r="H270" s="74"/>
      <c r="I270" s="74"/>
      <c r="J270" s="74"/>
      <c r="K270" s="74"/>
      <c r="L270" s="73"/>
      <c r="M270" s="74"/>
      <c r="N270" s="71"/>
      <c r="O270" s="74"/>
      <c r="P270" s="74"/>
      <c r="Q270" s="74"/>
      <c r="R270" s="73"/>
      <c r="S270" s="73"/>
      <c r="T270" s="73"/>
      <c r="U270" s="73"/>
      <c r="V270" s="73"/>
      <c r="W270" s="143"/>
      <c r="X270" s="45" t="str">
        <f>IF(M270="","",'Pricing Details'!D260+'Pricing Details'!Q260)</f>
        <v/>
      </c>
      <c r="Y270" s="45" t="str">
        <f>IF(M270="","",'Pricing Details'!V260)</f>
        <v/>
      </c>
      <c r="Z270" s="43" t="str">
        <f>IF(M270="","",'Pricing Details'!X260)</f>
        <v/>
      </c>
      <c r="AA270" s="183" t="str">
        <f>'Pricing Details'!Z260</f>
        <v/>
      </c>
      <c r="AB270" s="178" t="str">
        <f>'Pricing Details'!AC260</f>
        <v/>
      </c>
      <c r="AC270" s="79"/>
      <c r="AD270" s="41" t="str">
        <f>IFERROR(_xlfn.XLOOKUP(K270,Collection[Display],Collection[Line])&amp;_xlfn.XLOOKUP(L270,Sleeve[Display],Sleeve[Sleeve]),"")</f>
        <v/>
      </c>
    </row>
    <row r="271" spans="1:30" s="41" customFormat="1" ht="30" customHeight="1" x14ac:dyDescent="0.2">
      <c r="A271" s="79"/>
      <c r="B271" s="70">
        <v>258</v>
      </c>
      <c r="C271" s="71"/>
      <c r="D271" s="71"/>
      <c r="E271" s="274"/>
      <c r="F271" s="214"/>
      <c r="G271" s="191"/>
      <c r="H271" s="74"/>
      <c r="I271" s="74"/>
      <c r="J271" s="74"/>
      <c r="K271" s="74"/>
      <c r="L271" s="73"/>
      <c r="M271" s="74"/>
      <c r="N271" s="71"/>
      <c r="O271" s="74"/>
      <c r="P271" s="74"/>
      <c r="Q271" s="74"/>
      <c r="R271" s="73"/>
      <c r="S271" s="73"/>
      <c r="T271" s="73"/>
      <c r="U271" s="73"/>
      <c r="V271" s="73"/>
      <c r="W271" s="143"/>
      <c r="X271" s="45" t="str">
        <f>IF(M271="","",'Pricing Details'!D261+'Pricing Details'!Q261)</f>
        <v/>
      </c>
      <c r="Y271" s="45" t="str">
        <f>IF(M271="","",'Pricing Details'!V261)</f>
        <v/>
      </c>
      <c r="Z271" s="43" t="str">
        <f>IF(M271="","",'Pricing Details'!X261)</f>
        <v/>
      </c>
      <c r="AA271" s="183" t="str">
        <f>'Pricing Details'!Z261</f>
        <v/>
      </c>
      <c r="AB271" s="178" t="str">
        <f>'Pricing Details'!AC261</f>
        <v/>
      </c>
      <c r="AC271" s="79"/>
      <c r="AD271" s="41" t="str">
        <f>IFERROR(_xlfn.XLOOKUP(K271,Collection[Display],Collection[Line])&amp;_xlfn.XLOOKUP(L271,Sleeve[Display],Sleeve[Sleeve]),"")</f>
        <v/>
      </c>
    </row>
    <row r="272" spans="1:30" s="41" customFormat="1" ht="30" customHeight="1" x14ac:dyDescent="0.2">
      <c r="A272" s="79"/>
      <c r="B272" s="70">
        <v>259</v>
      </c>
      <c r="C272" s="71"/>
      <c r="D272" s="71"/>
      <c r="E272" s="274"/>
      <c r="F272" s="214"/>
      <c r="G272" s="191"/>
      <c r="H272" s="74"/>
      <c r="I272" s="74"/>
      <c r="J272" s="74"/>
      <c r="K272" s="74"/>
      <c r="L272" s="73"/>
      <c r="M272" s="74"/>
      <c r="N272" s="71"/>
      <c r="O272" s="74"/>
      <c r="P272" s="74"/>
      <c r="Q272" s="74"/>
      <c r="R272" s="73"/>
      <c r="S272" s="73"/>
      <c r="T272" s="73"/>
      <c r="U272" s="73"/>
      <c r="V272" s="73"/>
      <c r="W272" s="143"/>
      <c r="X272" s="45" t="str">
        <f>IF(M272="","",'Pricing Details'!D262+'Pricing Details'!Q262)</f>
        <v/>
      </c>
      <c r="Y272" s="45" t="str">
        <f>IF(M272="","",'Pricing Details'!V262)</f>
        <v/>
      </c>
      <c r="Z272" s="43" t="str">
        <f>IF(M272="","",'Pricing Details'!X262)</f>
        <v/>
      </c>
      <c r="AA272" s="183" t="str">
        <f>'Pricing Details'!Z262</f>
        <v/>
      </c>
      <c r="AB272" s="178" t="str">
        <f>'Pricing Details'!AC262</f>
        <v/>
      </c>
      <c r="AC272" s="79"/>
      <c r="AD272" s="41" t="str">
        <f>IFERROR(_xlfn.XLOOKUP(K272,Collection[Display],Collection[Line])&amp;_xlfn.XLOOKUP(L272,Sleeve[Display],Sleeve[Sleeve]),"")</f>
        <v/>
      </c>
    </row>
    <row r="273" spans="1:30" s="41" customFormat="1" ht="30" customHeight="1" x14ac:dyDescent="0.2">
      <c r="A273" s="79"/>
      <c r="B273" s="70">
        <v>260</v>
      </c>
      <c r="C273" s="71"/>
      <c r="D273" s="71"/>
      <c r="E273" s="274"/>
      <c r="F273" s="214"/>
      <c r="G273" s="191"/>
      <c r="H273" s="74"/>
      <c r="I273" s="74"/>
      <c r="J273" s="74"/>
      <c r="K273" s="74"/>
      <c r="L273" s="73"/>
      <c r="M273" s="74"/>
      <c r="N273" s="71"/>
      <c r="O273" s="74"/>
      <c r="P273" s="74"/>
      <c r="Q273" s="74"/>
      <c r="R273" s="73"/>
      <c r="S273" s="73"/>
      <c r="T273" s="73"/>
      <c r="U273" s="73"/>
      <c r="V273" s="73"/>
      <c r="W273" s="143"/>
      <c r="X273" s="45" t="str">
        <f>IF(M273="","",'Pricing Details'!D263+'Pricing Details'!Q263)</f>
        <v/>
      </c>
      <c r="Y273" s="45" t="str">
        <f>IF(M273="","",'Pricing Details'!V263)</f>
        <v/>
      </c>
      <c r="Z273" s="43" t="str">
        <f>IF(M273="","",'Pricing Details'!X263)</f>
        <v/>
      </c>
      <c r="AA273" s="183" t="str">
        <f>'Pricing Details'!Z263</f>
        <v/>
      </c>
      <c r="AB273" s="178" t="str">
        <f>'Pricing Details'!AC263</f>
        <v/>
      </c>
      <c r="AC273" s="79"/>
      <c r="AD273" s="41" t="str">
        <f>IFERROR(_xlfn.XLOOKUP(K273,Collection[Display],Collection[Line])&amp;_xlfn.XLOOKUP(L273,Sleeve[Display],Sleeve[Sleeve]),"")</f>
        <v/>
      </c>
    </row>
    <row r="274" spans="1:30" s="41" customFormat="1" ht="30" customHeight="1" x14ac:dyDescent="0.2">
      <c r="A274" s="79"/>
      <c r="B274" s="70">
        <v>261</v>
      </c>
      <c r="C274" s="71"/>
      <c r="D274" s="71"/>
      <c r="E274" s="274"/>
      <c r="F274" s="214"/>
      <c r="G274" s="191"/>
      <c r="H274" s="74"/>
      <c r="I274" s="74"/>
      <c r="J274" s="74"/>
      <c r="K274" s="74"/>
      <c r="L274" s="73"/>
      <c r="M274" s="74"/>
      <c r="N274" s="71"/>
      <c r="O274" s="74"/>
      <c r="P274" s="74"/>
      <c r="Q274" s="74"/>
      <c r="R274" s="73"/>
      <c r="S274" s="73"/>
      <c r="T274" s="73"/>
      <c r="U274" s="73"/>
      <c r="V274" s="73"/>
      <c r="W274" s="143"/>
      <c r="X274" s="45" t="str">
        <f>IF(M274="","",'Pricing Details'!D264+'Pricing Details'!Q264)</f>
        <v/>
      </c>
      <c r="Y274" s="45" t="str">
        <f>IF(M274="","",'Pricing Details'!V264)</f>
        <v/>
      </c>
      <c r="Z274" s="43" t="str">
        <f>IF(M274="","",'Pricing Details'!X264)</f>
        <v/>
      </c>
      <c r="AA274" s="183" t="str">
        <f>'Pricing Details'!Z264</f>
        <v/>
      </c>
      <c r="AB274" s="178" t="str">
        <f>'Pricing Details'!AC264</f>
        <v/>
      </c>
      <c r="AC274" s="79"/>
      <c r="AD274" s="41" t="str">
        <f>IFERROR(_xlfn.XLOOKUP(K274,Collection[Display],Collection[Line])&amp;_xlfn.XLOOKUP(L274,Sleeve[Display],Sleeve[Sleeve]),"")</f>
        <v/>
      </c>
    </row>
    <row r="275" spans="1:30" s="41" customFormat="1" ht="30" customHeight="1" x14ac:dyDescent="0.2">
      <c r="A275" s="79"/>
      <c r="B275" s="70">
        <v>262</v>
      </c>
      <c r="C275" s="71"/>
      <c r="D275" s="71"/>
      <c r="E275" s="274"/>
      <c r="F275" s="214"/>
      <c r="G275" s="191"/>
      <c r="H275" s="74"/>
      <c r="I275" s="74"/>
      <c r="J275" s="74"/>
      <c r="K275" s="74"/>
      <c r="L275" s="73"/>
      <c r="M275" s="74"/>
      <c r="N275" s="71"/>
      <c r="O275" s="74"/>
      <c r="P275" s="74"/>
      <c r="Q275" s="74"/>
      <c r="R275" s="73"/>
      <c r="S275" s="73"/>
      <c r="T275" s="73"/>
      <c r="U275" s="73"/>
      <c r="V275" s="73"/>
      <c r="W275" s="143"/>
      <c r="X275" s="45" t="str">
        <f>IF(M275="","",'Pricing Details'!D265+'Pricing Details'!Q265)</f>
        <v/>
      </c>
      <c r="Y275" s="45" t="str">
        <f>IF(M275="","",'Pricing Details'!V265)</f>
        <v/>
      </c>
      <c r="Z275" s="43" t="str">
        <f>IF(M275="","",'Pricing Details'!X265)</f>
        <v/>
      </c>
      <c r="AA275" s="183" t="str">
        <f>'Pricing Details'!Z265</f>
        <v/>
      </c>
      <c r="AB275" s="178" t="str">
        <f>'Pricing Details'!AC265</f>
        <v/>
      </c>
      <c r="AC275" s="79"/>
      <c r="AD275" s="41" t="str">
        <f>IFERROR(_xlfn.XLOOKUP(K275,Collection[Display],Collection[Line])&amp;_xlfn.XLOOKUP(L275,Sleeve[Display],Sleeve[Sleeve]),"")</f>
        <v/>
      </c>
    </row>
    <row r="276" spans="1:30" s="41" customFormat="1" ht="30" customHeight="1" x14ac:dyDescent="0.2">
      <c r="A276" s="79"/>
      <c r="B276" s="70">
        <v>263</v>
      </c>
      <c r="C276" s="71"/>
      <c r="D276" s="71"/>
      <c r="E276" s="274"/>
      <c r="F276" s="214"/>
      <c r="G276" s="191"/>
      <c r="H276" s="74"/>
      <c r="I276" s="74"/>
      <c r="J276" s="74"/>
      <c r="K276" s="74"/>
      <c r="L276" s="73"/>
      <c r="M276" s="74"/>
      <c r="N276" s="71"/>
      <c r="O276" s="74"/>
      <c r="P276" s="74"/>
      <c r="Q276" s="74"/>
      <c r="R276" s="73"/>
      <c r="S276" s="73"/>
      <c r="T276" s="73"/>
      <c r="U276" s="73"/>
      <c r="V276" s="73"/>
      <c r="W276" s="143"/>
      <c r="X276" s="45" t="str">
        <f>IF(M276="","",'Pricing Details'!D266+'Pricing Details'!Q266)</f>
        <v/>
      </c>
      <c r="Y276" s="45" t="str">
        <f>IF(M276="","",'Pricing Details'!V266)</f>
        <v/>
      </c>
      <c r="Z276" s="43" t="str">
        <f>IF(M276="","",'Pricing Details'!X266)</f>
        <v/>
      </c>
      <c r="AA276" s="183" t="str">
        <f>'Pricing Details'!Z266</f>
        <v/>
      </c>
      <c r="AB276" s="178" t="str">
        <f>'Pricing Details'!AC266</f>
        <v/>
      </c>
      <c r="AC276" s="79"/>
      <c r="AD276" s="41" t="str">
        <f>IFERROR(_xlfn.XLOOKUP(K276,Collection[Display],Collection[Line])&amp;_xlfn.XLOOKUP(L276,Sleeve[Display],Sleeve[Sleeve]),"")</f>
        <v/>
      </c>
    </row>
    <row r="277" spans="1:30" s="41" customFormat="1" ht="30" customHeight="1" x14ac:dyDescent="0.2">
      <c r="A277" s="79"/>
      <c r="B277" s="70">
        <v>264</v>
      </c>
      <c r="C277" s="71"/>
      <c r="D277" s="71"/>
      <c r="E277" s="274"/>
      <c r="F277" s="214"/>
      <c r="G277" s="191"/>
      <c r="H277" s="74"/>
      <c r="I277" s="74"/>
      <c r="J277" s="74"/>
      <c r="K277" s="74"/>
      <c r="L277" s="73"/>
      <c r="M277" s="74"/>
      <c r="N277" s="71"/>
      <c r="O277" s="74"/>
      <c r="P277" s="74"/>
      <c r="Q277" s="74"/>
      <c r="R277" s="73"/>
      <c r="S277" s="73"/>
      <c r="T277" s="73"/>
      <c r="U277" s="73"/>
      <c r="V277" s="73"/>
      <c r="W277" s="143"/>
      <c r="X277" s="45" t="str">
        <f>IF(M277="","",'Pricing Details'!D267+'Pricing Details'!Q267)</f>
        <v/>
      </c>
      <c r="Y277" s="45" t="str">
        <f>IF(M277="","",'Pricing Details'!V267)</f>
        <v/>
      </c>
      <c r="Z277" s="43" t="str">
        <f>IF(M277="","",'Pricing Details'!X267)</f>
        <v/>
      </c>
      <c r="AA277" s="183" t="str">
        <f>'Pricing Details'!Z267</f>
        <v/>
      </c>
      <c r="AB277" s="178" t="str">
        <f>'Pricing Details'!AC267</f>
        <v/>
      </c>
      <c r="AC277" s="79"/>
      <c r="AD277" s="41" t="str">
        <f>IFERROR(_xlfn.XLOOKUP(K277,Collection[Display],Collection[Line])&amp;_xlfn.XLOOKUP(L277,Sleeve[Display],Sleeve[Sleeve]),"")</f>
        <v/>
      </c>
    </row>
    <row r="278" spans="1:30" s="41" customFormat="1" ht="30" customHeight="1" x14ac:dyDescent="0.2">
      <c r="A278" s="79"/>
      <c r="B278" s="70">
        <v>265</v>
      </c>
      <c r="C278" s="71"/>
      <c r="D278" s="71"/>
      <c r="E278" s="274"/>
      <c r="F278" s="214"/>
      <c r="G278" s="191"/>
      <c r="H278" s="74"/>
      <c r="I278" s="74"/>
      <c r="J278" s="74"/>
      <c r="K278" s="74"/>
      <c r="L278" s="73"/>
      <c r="M278" s="74"/>
      <c r="N278" s="71"/>
      <c r="O278" s="74"/>
      <c r="P278" s="74"/>
      <c r="Q278" s="74"/>
      <c r="R278" s="73"/>
      <c r="S278" s="73"/>
      <c r="T278" s="73"/>
      <c r="U278" s="73"/>
      <c r="V278" s="73"/>
      <c r="W278" s="143"/>
      <c r="X278" s="45" t="str">
        <f>IF(M278="","",'Pricing Details'!D268+'Pricing Details'!Q268)</f>
        <v/>
      </c>
      <c r="Y278" s="45" t="str">
        <f>IF(M278="","",'Pricing Details'!V268)</f>
        <v/>
      </c>
      <c r="Z278" s="43" t="str">
        <f>IF(M278="","",'Pricing Details'!X268)</f>
        <v/>
      </c>
      <c r="AA278" s="183" t="str">
        <f>'Pricing Details'!Z268</f>
        <v/>
      </c>
      <c r="AB278" s="178" t="str">
        <f>'Pricing Details'!AC268</f>
        <v/>
      </c>
      <c r="AC278" s="79"/>
      <c r="AD278" s="41" t="str">
        <f>IFERROR(_xlfn.XLOOKUP(K278,Collection[Display],Collection[Line])&amp;_xlfn.XLOOKUP(L278,Sleeve[Display],Sleeve[Sleeve]),"")</f>
        <v/>
      </c>
    </row>
    <row r="279" spans="1:30" s="41" customFormat="1" ht="30" customHeight="1" x14ac:dyDescent="0.2">
      <c r="A279" s="79"/>
      <c r="B279" s="70">
        <v>266</v>
      </c>
      <c r="C279" s="71"/>
      <c r="D279" s="71"/>
      <c r="E279" s="274"/>
      <c r="F279" s="214"/>
      <c r="G279" s="191"/>
      <c r="H279" s="74"/>
      <c r="I279" s="74"/>
      <c r="J279" s="74"/>
      <c r="K279" s="74"/>
      <c r="L279" s="73"/>
      <c r="M279" s="74"/>
      <c r="N279" s="71"/>
      <c r="O279" s="74"/>
      <c r="P279" s="74"/>
      <c r="Q279" s="74"/>
      <c r="R279" s="73"/>
      <c r="S279" s="73"/>
      <c r="T279" s="73"/>
      <c r="U279" s="73"/>
      <c r="V279" s="73"/>
      <c r="W279" s="143"/>
      <c r="X279" s="45" t="str">
        <f>IF(M279="","",'Pricing Details'!D269+'Pricing Details'!Q269)</f>
        <v/>
      </c>
      <c r="Y279" s="45" t="str">
        <f>IF(M279="","",'Pricing Details'!V269)</f>
        <v/>
      </c>
      <c r="Z279" s="43" t="str">
        <f>IF(M279="","",'Pricing Details'!X269)</f>
        <v/>
      </c>
      <c r="AA279" s="183" t="str">
        <f>'Pricing Details'!Z269</f>
        <v/>
      </c>
      <c r="AB279" s="178" t="str">
        <f>'Pricing Details'!AC269</f>
        <v/>
      </c>
      <c r="AC279" s="79"/>
      <c r="AD279" s="41" t="str">
        <f>IFERROR(_xlfn.XLOOKUP(K279,Collection[Display],Collection[Line])&amp;_xlfn.XLOOKUP(L279,Sleeve[Display],Sleeve[Sleeve]),"")</f>
        <v/>
      </c>
    </row>
    <row r="280" spans="1:30" s="41" customFormat="1" ht="30" customHeight="1" x14ac:dyDescent="0.2">
      <c r="A280" s="79"/>
      <c r="B280" s="70">
        <v>267</v>
      </c>
      <c r="C280" s="71"/>
      <c r="D280" s="71"/>
      <c r="E280" s="274"/>
      <c r="F280" s="214"/>
      <c r="G280" s="191"/>
      <c r="H280" s="74"/>
      <c r="I280" s="74"/>
      <c r="J280" s="74"/>
      <c r="K280" s="74"/>
      <c r="L280" s="73"/>
      <c r="M280" s="74"/>
      <c r="N280" s="71"/>
      <c r="O280" s="74"/>
      <c r="P280" s="74"/>
      <c r="Q280" s="74"/>
      <c r="R280" s="73"/>
      <c r="S280" s="73"/>
      <c r="T280" s="73"/>
      <c r="U280" s="73"/>
      <c r="V280" s="73"/>
      <c r="W280" s="143"/>
      <c r="X280" s="45" t="str">
        <f>IF(M280="","",'Pricing Details'!D270+'Pricing Details'!Q270)</f>
        <v/>
      </c>
      <c r="Y280" s="45" t="str">
        <f>IF(M280="","",'Pricing Details'!V270)</f>
        <v/>
      </c>
      <c r="Z280" s="43" t="str">
        <f>IF(M280="","",'Pricing Details'!X270)</f>
        <v/>
      </c>
      <c r="AA280" s="183" t="str">
        <f>'Pricing Details'!Z270</f>
        <v/>
      </c>
      <c r="AB280" s="178" t="str">
        <f>'Pricing Details'!AC270</f>
        <v/>
      </c>
      <c r="AC280" s="79"/>
      <c r="AD280" s="41" t="str">
        <f>IFERROR(_xlfn.XLOOKUP(K280,Collection[Display],Collection[Line])&amp;_xlfn.XLOOKUP(L280,Sleeve[Display],Sleeve[Sleeve]),"")</f>
        <v/>
      </c>
    </row>
    <row r="281" spans="1:30" s="41" customFormat="1" ht="30" customHeight="1" x14ac:dyDescent="0.2">
      <c r="A281" s="79"/>
      <c r="B281" s="70">
        <v>268</v>
      </c>
      <c r="C281" s="71"/>
      <c r="D281" s="71"/>
      <c r="E281" s="274"/>
      <c r="F281" s="214"/>
      <c r="G281" s="191"/>
      <c r="H281" s="74"/>
      <c r="I281" s="74"/>
      <c r="J281" s="74"/>
      <c r="K281" s="74"/>
      <c r="L281" s="73"/>
      <c r="M281" s="74"/>
      <c r="N281" s="71"/>
      <c r="O281" s="74"/>
      <c r="P281" s="74"/>
      <c r="Q281" s="74"/>
      <c r="R281" s="73"/>
      <c r="S281" s="73"/>
      <c r="T281" s="73"/>
      <c r="U281" s="73"/>
      <c r="V281" s="73"/>
      <c r="W281" s="143"/>
      <c r="X281" s="45" t="str">
        <f>IF(M281="","",'Pricing Details'!D271+'Pricing Details'!Q271)</f>
        <v/>
      </c>
      <c r="Y281" s="45" t="str">
        <f>IF(M281="","",'Pricing Details'!V271)</f>
        <v/>
      </c>
      <c r="Z281" s="43" t="str">
        <f>IF(M281="","",'Pricing Details'!X271)</f>
        <v/>
      </c>
      <c r="AA281" s="183" t="str">
        <f>'Pricing Details'!Z271</f>
        <v/>
      </c>
      <c r="AB281" s="178" t="str">
        <f>'Pricing Details'!AC271</f>
        <v/>
      </c>
      <c r="AC281" s="79"/>
      <c r="AD281" s="41" t="str">
        <f>IFERROR(_xlfn.XLOOKUP(K281,Collection[Display],Collection[Line])&amp;_xlfn.XLOOKUP(L281,Sleeve[Display],Sleeve[Sleeve]),"")</f>
        <v/>
      </c>
    </row>
    <row r="282" spans="1:30" s="41" customFormat="1" ht="30" customHeight="1" x14ac:dyDescent="0.2">
      <c r="A282" s="79"/>
      <c r="B282" s="70">
        <v>269</v>
      </c>
      <c r="C282" s="71"/>
      <c r="D282" s="71"/>
      <c r="E282" s="274"/>
      <c r="F282" s="214"/>
      <c r="G282" s="191"/>
      <c r="H282" s="74"/>
      <c r="I282" s="74"/>
      <c r="J282" s="74"/>
      <c r="K282" s="74"/>
      <c r="L282" s="73"/>
      <c r="M282" s="74"/>
      <c r="N282" s="71"/>
      <c r="O282" s="74"/>
      <c r="P282" s="74"/>
      <c r="Q282" s="74"/>
      <c r="R282" s="73"/>
      <c r="S282" s="73"/>
      <c r="T282" s="73"/>
      <c r="U282" s="73"/>
      <c r="V282" s="73"/>
      <c r="W282" s="143"/>
      <c r="X282" s="45" t="str">
        <f>IF(M282="","",'Pricing Details'!D272+'Pricing Details'!Q272)</f>
        <v/>
      </c>
      <c r="Y282" s="45" t="str">
        <f>IF(M282="","",'Pricing Details'!V272)</f>
        <v/>
      </c>
      <c r="Z282" s="43" t="str">
        <f>IF(M282="","",'Pricing Details'!X272)</f>
        <v/>
      </c>
      <c r="AA282" s="183" t="str">
        <f>'Pricing Details'!Z272</f>
        <v/>
      </c>
      <c r="AB282" s="178" t="str">
        <f>'Pricing Details'!AC272</f>
        <v/>
      </c>
      <c r="AC282" s="79"/>
      <c r="AD282" s="41" t="str">
        <f>IFERROR(_xlfn.XLOOKUP(K282,Collection[Display],Collection[Line])&amp;_xlfn.XLOOKUP(L282,Sleeve[Display],Sleeve[Sleeve]),"")</f>
        <v/>
      </c>
    </row>
    <row r="283" spans="1:30" s="41" customFormat="1" ht="30" customHeight="1" x14ac:dyDescent="0.2">
      <c r="A283" s="79"/>
      <c r="B283" s="70">
        <v>270</v>
      </c>
      <c r="C283" s="71"/>
      <c r="D283" s="71"/>
      <c r="E283" s="274"/>
      <c r="F283" s="214"/>
      <c r="G283" s="191"/>
      <c r="H283" s="74"/>
      <c r="I283" s="74"/>
      <c r="J283" s="74"/>
      <c r="K283" s="74"/>
      <c r="L283" s="73"/>
      <c r="M283" s="74"/>
      <c r="N283" s="71"/>
      <c r="O283" s="74"/>
      <c r="P283" s="74"/>
      <c r="Q283" s="74"/>
      <c r="R283" s="73"/>
      <c r="S283" s="73"/>
      <c r="T283" s="73"/>
      <c r="U283" s="73"/>
      <c r="V283" s="73"/>
      <c r="W283" s="143"/>
      <c r="X283" s="45" t="str">
        <f>IF(M283="","",'Pricing Details'!D273+'Pricing Details'!Q273)</f>
        <v/>
      </c>
      <c r="Y283" s="45" t="str">
        <f>IF(M283="","",'Pricing Details'!V273)</f>
        <v/>
      </c>
      <c r="Z283" s="43" t="str">
        <f>IF(M283="","",'Pricing Details'!X273)</f>
        <v/>
      </c>
      <c r="AA283" s="183" t="str">
        <f>'Pricing Details'!Z273</f>
        <v/>
      </c>
      <c r="AB283" s="178" t="str">
        <f>'Pricing Details'!AC273</f>
        <v/>
      </c>
      <c r="AC283" s="79"/>
      <c r="AD283" s="41" t="str">
        <f>IFERROR(_xlfn.XLOOKUP(K283,Collection[Display],Collection[Line])&amp;_xlfn.XLOOKUP(L283,Sleeve[Display],Sleeve[Sleeve]),"")</f>
        <v/>
      </c>
    </row>
    <row r="284" spans="1:30" s="41" customFormat="1" ht="30" customHeight="1" x14ac:dyDescent="0.2">
      <c r="A284" s="79"/>
      <c r="B284" s="70">
        <v>271</v>
      </c>
      <c r="C284" s="71"/>
      <c r="D284" s="71"/>
      <c r="E284" s="274"/>
      <c r="F284" s="214"/>
      <c r="G284" s="191"/>
      <c r="H284" s="74"/>
      <c r="I284" s="74"/>
      <c r="J284" s="74"/>
      <c r="K284" s="74"/>
      <c r="L284" s="73"/>
      <c r="M284" s="74"/>
      <c r="N284" s="71"/>
      <c r="O284" s="74"/>
      <c r="P284" s="74"/>
      <c r="Q284" s="74"/>
      <c r="R284" s="73"/>
      <c r="S284" s="73"/>
      <c r="T284" s="73"/>
      <c r="U284" s="73"/>
      <c r="V284" s="73"/>
      <c r="W284" s="143"/>
      <c r="X284" s="45" t="str">
        <f>IF(M284="","",'Pricing Details'!D274+'Pricing Details'!Q274)</f>
        <v/>
      </c>
      <c r="Y284" s="45" t="str">
        <f>IF(M284="","",'Pricing Details'!V274)</f>
        <v/>
      </c>
      <c r="Z284" s="43" t="str">
        <f>IF(M284="","",'Pricing Details'!X274)</f>
        <v/>
      </c>
      <c r="AA284" s="183" t="str">
        <f>'Pricing Details'!Z274</f>
        <v/>
      </c>
      <c r="AB284" s="178" t="str">
        <f>'Pricing Details'!AC274</f>
        <v/>
      </c>
      <c r="AC284" s="79"/>
      <c r="AD284" s="41" t="str">
        <f>IFERROR(_xlfn.XLOOKUP(K284,Collection[Display],Collection[Line])&amp;_xlfn.XLOOKUP(L284,Sleeve[Display],Sleeve[Sleeve]),"")</f>
        <v/>
      </c>
    </row>
    <row r="285" spans="1:30" s="41" customFormat="1" ht="30" customHeight="1" x14ac:dyDescent="0.2">
      <c r="A285" s="79"/>
      <c r="B285" s="70">
        <v>272</v>
      </c>
      <c r="C285" s="71"/>
      <c r="D285" s="71"/>
      <c r="E285" s="274"/>
      <c r="F285" s="214"/>
      <c r="G285" s="191"/>
      <c r="H285" s="74"/>
      <c r="I285" s="74"/>
      <c r="J285" s="74"/>
      <c r="K285" s="74"/>
      <c r="L285" s="73"/>
      <c r="M285" s="74"/>
      <c r="N285" s="71"/>
      <c r="O285" s="74"/>
      <c r="P285" s="74"/>
      <c r="Q285" s="74"/>
      <c r="R285" s="73"/>
      <c r="S285" s="73"/>
      <c r="T285" s="73"/>
      <c r="U285" s="73"/>
      <c r="V285" s="73"/>
      <c r="W285" s="143"/>
      <c r="X285" s="45" t="str">
        <f>IF(M285="","",'Pricing Details'!D275+'Pricing Details'!Q275)</f>
        <v/>
      </c>
      <c r="Y285" s="45" t="str">
        <f>IF(M285="","",'Pricing Details'!V275)</f>
        <v/>
      </c>
      <c r="Z285" s="43" t="str">
        <f>IF(M285="","",'Pricing Details'!X275)</f>
        <v/>
      </c>
      <c r="AA285" s="183" t="str">
        <f>'Pricing Details'!Z275</f>
        <v/>
      </c>
      <c r="AB285" s="178" t="str">
        <f>'Pricing Details'!AC275</f>
        <v/>
      </c>
      <c r="AC285" s="79"/>
      <c r="AD285" s="41" t="str">
        <f>IFERROR(_xlfn.XLOOKUP(K285,Collection[Display],Collection[Line])&amp;_xlfn.XLOOKUP(L285,Sleeve[Display],Sleeve[Sleeve]),"")</f>
        <v/>
      </c>
    </row>
    <row r="286" spans="1:30" s="41" customFormat="1" ht="30" customHeight="1" x14ac:dyDescent="0.2">
      <c r="A286" s="79"/>
      <c r="B286" s="70">
        <v>273</v>
      </c>
      <c r="C286" s="71"/>
      <c r="D286" s="71"/>
      <c r="E286" s="274"/>
      <c r="F286" s="214"/>
      <c r="G286" s="191"/>
      <c r="H286" s="74"/>
      <c r="I286" s="74"/>
      <c r="J286" s="74"/>
      <c r="K286" s="74"/>
      <c r="L286" s="73"/>
      <c r="M286" s="74"/>
      <c r="N286" s="71"/>
      <c r="O286" s="74"/>
      <c r="P286" s="74"/>
      <c r="Q286" s="74"/>
      <c r="R286" s="73"/>
      <c r="S286" s="73"/>
      <c r="T286" s="73"/>
      <c r="U286" s="73"/>
      <c r="V286" s="73"/>
      <c r="W286" s="143"/>
      <c r="X286" s="45" t="str">
        <f>IF(M286="","",'Pricing Details'!D276+'Pricing Details'!Q276)</f>
        <v/>
      </c>
      <c r="Y286" s="45" t="str">
        <f>IF(M286="","",'Pricing Details'!V276)</f>
        <v/>
      </c>
      <c r="Z286" s="43" t="str">
        <f>IF(M286="","",'Pricing Details'!X276)</f>
        <v/>
      </c>
      <c r="AA286" s="183" t="str">
        <f>'Pricing Details'!Z276</f>
        <v/>
      </c>
      <c r="AB286" s="178" t="str">
        <f>'Pricing Details'!AC276</f>
        <v/>
      </c>
      <c r="AC286" s="79"/>
      <c r="AD286" s="41" t="str">
        <f>IFERROR(_xlfn.XLOOKUP(K286,Collection[Display],Collection[Line])&amp;_xlfn.XLOOKUP(L286,Sleeve[Display],Sleeve[Sleeve]),"")</f>
        <v/>
      </c>
    </row>
    <row r="287" spans="1:30" s="41" customFormat="1" ht="30" customHeight="1" x14ac:dyDescent="0.2">
      <c r="A287" s="79"/>
      <c r="B287" s="70">
        <v>274</v>
      </c>
      <c r="C287" s="71"/>
      <c r="D287" s="71"/>
      <c r="E287" s="274"/>
      <c r="F287" s="214"/>
      <c r="G287" s="191"/>
      <c r="H287" s="74"/>
      <c r="I287" s="74"/>
      <c r="J287" s="74"/>
      <c r="K287" s="74"/>
      <c r="L287" s="73"/>
      <c r="M287" s="74"/>
      <c r="N287" s="71"/>
      <c r="O287" s="74"/>
      <c r="P287" s="74"/>
      <c r="Q287" s="74"/>
      <c r="R287" s="73"/>
      <c r="S287" s="73"/>
      <c r="T287" s="73"/>
      <c r="U287" s="73"/>
      <c r="V287" s="73"/>
      <c r="W287" s="143"/>
      <c r="X287" s="45" t="str">
        <f>IF(M287="","",'Pricing Details'!D277+'Pricing Details'!Q277)</f>
        <v/>
      </c>
      <c r="Y287" s="45" t="str">
        <f>IF(M287="","",'Pricing Details'!V277)</f>
        <v/>
      </c>
      <c r="Z287" s="43" t="str">
        <f>IF(M287="","",'Pricing Details'!X277)</f>
        <v/>
      </c>
      <c r="AA287" s="183" t="str">
        <f>'Pricing Details'!Z277</f>
        <v/>
      </c>
      <c r="AB287" s="178" t="str">
        <f>'Pricing Details'!AC277</f>
        <v/>
      </c>
      <c r="AC287" s="79"/>
      <c r="AD287" s="41" t="str">
        <f>IFERROR(_xlfn.XLOOKUP(K287,Collection[Display],Collection[Line])&amp;_xlfn.XLOOKUP(L287,Sleeve[Display],Sleeve[Sleeve]),"")</f>
        <v/>
      </c>
    </row>
    <row r="288" spans="1:30" s="41" customFormat="1" ht="30" customHeight="1" x14ac:dyDescent="0.2">
      <c r="A288" s="79"/>
      <c r="B288" s="70">
        <v>275</v>
      </c>
      <c r="C288" s="71"/>
      <c r="D288" s="71"/>
      <c r="E288" s="274"/>
      <c r="F288" s="214"/>
      <c r="G288" s="191"/>
      <c r="H288" s="74"/>
      <c r="I288" s="74"/>
      <c r="J288" s="74"/>
      <c r="K288" s="74"/>
      <c r="L288" s="73"/>
      <c r="M288" s="74"/>
      <c r="N288" s="71"/>
      <c r="O288" s="74"/>
      <c r="P288" s="74"/>
      <c r="Q288" s="74"/>
      <c r="R288" s="73"/>
      <c r="S288" s="73"/>
      <c r="T288" s="73"/>
      <c r="U288" s="73"/>
      <c r="V288" s="73"/>
      <c r="W288" s="143"/>
      <c r="X288" s="45" t="str">
        <f>IF(M288="","",'Pricing Details'!D278+'Pricing Details'!Q278)</f>
        <v/>
      </c>
      <c r="Y288" s="45" t="str">
        <f>IF(M288="","",'Pricing Details'!V278)</f>
        <v/>
      </c>
      <c r="Z288" s="43" t="str">
        <f>IF(M288="","",'Pricing Details'!X278)</f>
        <v/>
      </c>
      <c r="AA288" s="183" t="str">
        <f>'Pricing Details'!Z278</f>
        <v/>
      </c>
      <c r="AB288" s="178" t="str">
        <f>'Pricing Details'!AC278</f>
        <v/>
      </c>
      <c r="AC288" s="79"/>
      <c r="AD288" s="41" t="str">
        <f>IFERROR(_xlfn.XLOOKUP(K288,Collection[Display],Collection[Line])&amp;_xlfn.XLOOKUP(L288,Sleeve[Display],Sleeve[Sleeve]),"")</f>
        <v/>
      </c>
    </row>
    <row r="289" spans="1:30" s="41" customFormat="1" ht="30" customHeight="1" x14ac:dyDescent="0.2">
      <c r="A289" s="79"/>
      <c r="B289" s="70">
        <v>276</v>
      </c>
      <c r="C289" s="71"/>
      <c r="D289" s="71"/>
      <c r="E289" s="274"/>
      <c r="F289" s="214"/>
      <c r="G289" s="191"/>
      <c r="H289" s="74"/>
      <c r="I289" s="74"/>
      <c r="J289" s="74"/>
      <c r="K289" s="74"/>
      <c r="L289" s="73"/>
      <c r="M289" s="74"/>
      <c r="N289" s="71"/>
      <c r="O289" s="74"/>
      <c r="P289" s="74"/>
      <c r="Q289" s="74"/>
      <c r="R289" s="73"/>
      <c r="S289" s="73"/>
      <c r="T289" s="73"/>
      <c r="U289" s="73"/>
      <c r="V289" s="73"/>
      <c r="W289" s="143"/>
      <c r="X289" s="45" t="str">
        <f>IF(M289="","",'Pricing Details'!D279+'Pricing Details'!Q279)</f>
        <v/>
      </c>
      <c r="Y289" s="45" t="str">
        <f>IF(M289="","",'Pricing Details'!V279)</f>
        <v/>
      </c>
      <c r="Z289" s="43" t="str">
        <f>IF(M289="","",'Pricing Details'!X279)</f>
        <v/>
      </c>
      <c r="AA289" s="183" t="str">
        <f>'Pricing Details'!Z279</f>
        <v/>
      </c>
      <c r="AB289" s="178" t="str">
        <f>'Pricing Details'!AC279</f>
        <v/>
      </c>
      <c r="AC289" s="79"/>
      <c r="AD289" s="41" t="str">
        <f>IFERROR(_xlfn.XLOOKUP(K289,Collection[Display],Collection[Line])&amp;_xlfn.XLOOKUP(L289,Sleeve[Display],Sleeve[Sleeve]),"")</f>
        <v/>
      </c>
    </row>
    <row r="290" spans="1:30" s="41" customFormat="1" ht="30" customHeight="1" x14ac:dyDescent="0.2">
      <c r="A290" s="79"/>
      <c r="B290" s="70">
        <v>277</v>
      </c>
      <c r="C290" s="71"/>
      <c r="D290" s="71"/>
      <c r="E290" s="274"/>
      <c r="F290" s="214"/>
      <c r="G290" s="191"/>
      <c r="H290" s="74"/>
      <c r="I290" s="74"/>
      <c r="J290" s="74"/>
      <c r="K290" s="74"/>
      <c r="L290" s="73"/>
      <c r="M290" s="74"/>
      <c r="N290" s="71"/>
      <c r="O290" s="74"/>
      <c r="P290" s="74"/>
      <c r="Q290" s="74"/>
      <c r="R290" s="73"/>
      <c r="S290" s="73"/>
      <c r="T290" s="73"/>
      <c r="U290" s="73"/>
      <c r="V290" s="73"/>
      <c r="W290" s="143"/>
      <c r="X290" s="45" t="str">
        <f>IF(M290="","",'Pricing Details'!D280+'Pricing Details'!Q280)</f>
        <v/>
      </c>
      <c r="Y290" s="45" t="str">
        <f>IF(M290="","",'Pricing Details'!V280)</f>
        <v/>
      </c>
      <c r="Z290" s="43" t="str">
        <f>IF(M290="","",'Pricing Details'!X280)</f>
        <v/>
      </c>
      <c r="AA290" s="183" t="str">
        <f>'Pricing Details'!Z280</f>
        <v/>
      </c>
      <c r="AB290" s="178" t="str">
        <f>'Pricing Details'!AC280</f>
        <v/>
      </c>
      <c r="AC290" s="79"/>
      <c r="AD290" s="41" t="str">
        <f>IFERROR(_xlfn.XLOOKUP(K290,Collection[Display],Collection[Line])&amp;_xlfn.XLOOKUP(L290,Sleeve[Display],Sleeve[Sleeve]),"")</f>
        <v/>
      </c>
    </row>
    <row r="291" spans="1:30" s="41" customFormat="1" ht="30" customHeight="1" x14ac:dyDescent="0.2">
      <c r="A291" s="79"/>
      <c r="B291" s="70">
        <v>278</v>
      </c>
      <c r="C291" s="71"/>
      <c r="D291" s="71"/>
      <c r="E291" s="274"/>
      <c r="F291" s="214"/>
      <c r="G291" s="191"/>
      <c r="H291" s="74"/>
      <c r="I291" s="74"/>
      <c r="J291" s="74"/>
      <c r="K291" s="74"/>
      <c r="L291" s="73"/>
      <c r="M291" s="74"/>
      <c r="N291" s="71"/>
      <c r="O291" s="74"/>
      <c r="P291" s="74"/>
      <c r="Q291" s="74"/>
      <c r="R291" s="73"/>
      <c r="S291" s="73"/>
      <c r="T291" s="73"/>
      <c r="U291" s="73"/>
      <c r="V291" s="73"/>
      <c r="W291" s="143"/>
      <c r="X291" s="45" t="str">
        <f>IF(M291="","",'Pricing Details'!D281+'Pricing Details'!Q281)</f>
        <v/>
      </c>
      <c r="Y291" s="45" t="str">
        <f>IF(M291="","",'Pricing Details'!V281)</f>
        <v/>
      </c>
      <c r="Z291" s="43" t="str">
        <f>IF(M291="","",'Pricing Details'!X281)</f>
        <v/>
      </c>
      <c r="AA291" s="183" t="str">
        <f>'Pricing Details'!Z281</f>
        <v/>
      </c>
      <c r="AB291" s="178" t="str">
        <f>'Pricing Details'!AC281</f>
        <v/>
      </c>
      <c r="AC291" s="79"/>
      <c r="AD291" s="41" t="str">
        <f>IFERROR(_xlfn.XLOOKUP(K291,Collection[Display],Collection[Line])&amp;_xlfn.XLOOKUP(L291,Sleeve[Display],Sleeve[Sleeve]),"")</f>
        <v/>
      </c>
    </row>
    <row r="292" spans="1:30" s="41" customFormat="1" ht="30" customHeight="1" x14ac:dyDescent="0.2">
      <c r="A292" s="79"/>
      <c r="B292" s="70">
        <v>279</v>
      </c>
      <c r="C292" s="71"/>
      <c r="D292" s="71"/>
      <c r="E292" s="274"/>
      <c r="F292" s="214"/>
      <c r="G292" s="191"/>
      <c r="H292" s="74"/>
      <c r="I292" s="74"/>
      <c r="J292" s="74"/>
      <c r="K292" s="74"/>
      <c r="L292" s="73"/>
      <c r="M292" s="74"/>
      <c r="N292" s="71"/>
      <c r="O292" s="74"/>
      <c r="P292" s="74"/>
      <c r="Q292" s="74"/>
      <c r="R292" s="73"/>
      <c r="S292" s="73"/>
      <c r="T292" s="73"/>
      <c r="U292" s="73"/>
      <c r="V292" s="73"/>
      <c r="W292" s="143"/>
      <c r="X292" s="45" t="str">
        <f>IF(M292="","",'Pricing Details'!D282+'Pricing Details'!Q282)</f>
        <v/>
      </c>
      <c r="Y292" s="45" t="str">
        <f>IF(M292="","",'Pricing Details'!V282)</f>
        <v/>
      </c>
      <c r="Z292" s="43" t="str">
        <f>IF(M292="","",'Pricing Details'!X282)</f>
        <v/>
      </c>
      <c r="AA292" s="183" t="str">
        <f>'Pricing Details'!Z282</f>
        <v/>
      </c>
      <c r="AB292" s="178" t="str">
        <f>'Pricing Details'!AC282</f>
        <v/>
      </c>
      <c r="AC292" s="79"/>
      <c r="AD292" s="41" t="str">
        <f>IFERROR(_xlfn.XLOOKUP(K292,Collection[Display],Collection[Line])&amp;_xlfn.XLOOKUP(L292,Sleeve[Display],Sleeve[Sleeve]),"")</f>
        <v/>
      </c>
    </row>
    <row r="293" spans="1:30" s="41" customFormat="1" ht="30" customHeight="1" x14ac:dyDescent="0.2">
      <c r="A293" s="79"/>
      <c r="B293" s="70">
        <v>280</v>
      </c>
      <c r="C293" s="71"/>
      <c r="D293" s="71"/>
      <c r="E293" s="274"/>
      <c r="F293" s="214"/>
      <c r="G293" s="191"/>
      <c r="H293" s="74"/>
      <c r="I293" s="74"/>
      <c r="J293" s="74"/>
      <c r="K293" s="74"/>
      <c r="L293" s="73"/>
      <c r="M293" s="74"/>
      <c r="N293" s="71"/>
      <c r="O293" s="74"/>
      <c r="P293" s="74"/>
      <c r="Q293" s="74"/>
      <c r="R293" s="73"/>
      <c r="S293" s="73"/>
      <c r="T293" s="73"/>
      <c r="U293" s="73"/>
      <c r="V293" s="73"/>
      <c r="W293" s="143"/>
      <c r="X293" s="45" t="str">
        <f>IF(M293="","",'Pricing Details'!D283+'Pricing Details'!Q283)</f>
        <v/>
      </c>
      <c r="Y293" s="45" t="str">
        <f>IF(M293="","",'Pricing Details'!V283)</f>
        <v/>
      </c>
      <c r="Z293" s="43" t="str">
        <f>IF(M293="","",'Pricing Details'!X283)</f>
        <v/>
      </c>
      <c r="AA293" s="183" t="str">
        <f>'Pricing Details'!Z283</f>
        <v/>
      </c>
      <c r="AB293" s="178" t="str">
        <f>'Pricing Details'!AC283</f>
        <v/>
      </c>
      <c r="AC293" s="79"/>
      <c r="AD293" s="41" t="str">
        <f>IFERROR(_xlfn.XLOOKUP(K293,Collection[Display],Collection[Line])&amp;_xlfn.XLOOKUP(L293,Sleeve[Display],Sleeve[Sleeve]),"")</f>
        <v/>
      </c>
    </row>
    <row r="294" spans="1:30" s="41" customFormat="1" ht="30" customHeight="1" x14ac:dyDescent="0.2">
      <c r="A294" s="79"/>
      <c r="B294" s="70">
        <v>281</v>
      </c>
      <c r="C294" s="71"/>
      <c r="D294" s="71"/>
      <c r="E294" s="274"/>
      <c r="F294" s="214"/>
      <c r="G294" s="191"/>
      <c r="H294" s="74"/>
      <c r="I294" s="74"/>
      <c r="J294" s="74"/>
      <c r="K294" s="74"/>
      <c r="L294" s="73"/>
      <c r="M294" s="74"/>
      <c r="N294" s="71"/>
      <c r="O294" s="74"/>
      <c r="P294" s="74"/>
      <c r="Q294" s="74"/>
      <c r="R294" s="73"/>
      <c r="S294" s="73"/>
      <c r="T294" s="73"/>
      <c r="U294" s="73"/>
      <c r="V294" s="73"/>
      <c r="W294" s="143"/>
      <c r="X294" s="45" t="str">
        <f>IF(M294="","",'Pricing Details'!D284+'Pricing Details'!Q284)</f>
        <v/>
      </c>
      <c r="Y294" s="45" t="str">
        <f>IF(M294="","",'Pricing Details'!V284)</f>
        <v/>
      </c>
      <c r="Z294" s="43" t="str">
        <f>IF(M294="","",'Pricing Details'!X284)</f>
        <v/>
      </c>
      <c r="AA294" s="183" t="str">
        <f>'Pricing Details'!Z284</f>
        <v/>
      </c>
      <c r="AB294" s="178" t="str">
        <f>'Pricing Details'!AC284</f>
        <v/>
      </c>
      <c r="AC294" s="79"/>
      <c r="AD294" s="41" t="str">
        <f>IFERROR(_xlfn.XLOOKUP(K294,Collection[Display],Collection[Line])&amp;_xlfn.XLOOKUP(L294,Sleeve[Display],Sleeve[Sleeve]),"")</f>
        <v/>
      </c>
    </row>
    <row r="295" spans="1:30" s="41" customFormat="1" ht="30" customHeight="1" x14ac:dyDescent="0.2">
      <c r="A295" s="79"/>
      <c r="B295" s="70">
        <v>282</v>
      </c>
      <c r="C295" s="71"/>
      <c r="D295" s="71"/>
      <c r="E295" s="274"/>
      <c r="F295" s="214"/>
      <c r="G295" s="191"/>
      <c r="H295" s="74"/>
      <c r="I295" s="74"/>
      <c r="J295" s="74"/>
      <c r="K295" s="74"/>
      <c r="L295" s="73"/>
      <c r="M295" s="74"/>
      <c r="N295" s="71"/>
      <c r="O295" s="74"/>
      <c r="P295" s="74"/>
      <c r="Q295" s="74"/>
      <c r="R295" s="73"/>
      <c r="S295" s="73"/>
      <c r="T295" s="73"/>
      <c r="U295" s="73"/>
      <c r="V295" s="73"/>
      <c r="W295" s="143"/>
      <c r="X295" s="45" t="str">
        <f>IF(M295="","",'Pricing Details'!D285+'Pricing Details'!Q285)</f>
        <v/>
      </c>
      <c r="Y295" s="45" t="str">
        <f>IF(M295="","",'Pricing Details'!V285)</f>
        <v/>
      </c>
      <c r="Z295" s="43" t="str">
        <f>IF(M295="","",'Pricing Details'!X285)</f>
        <v/>
      </c>
      <c r="AA295" s="183" t="str">
        <f>'Pricing Details'!Z285</f>
        <v/>
      </c>
      <c r="AB295" s="178" t="str">
        <f>'Pricing Details'!AC285</f>
        <v/>
      </c>
      <c r="AC295" s="79"/>
      <c r="AD295" s="41" t="str">
        <f>IFERROR(_xlfn.XLOOKUP(K295,Collection[Display],Collection[Line])&amp;_xlfn.XLOOKUP(L295,Sleeve[Display],Sleeve[Sleeve]),"")</f>
        <v/>
      </c>
    </row>
    <row r="296" spans="1:30" s="41" customFormat="1" ht="30" customHeight="1" x14ac:dyDescent="0.2">
      <c r="A296" s="79"/>
      <c r="B296" s="70">
        <v>283</v>
      </c>
      <c r="C296" s="71"/>
      <c r="D296" s="71"/>
      <c r="E296" s="274"/>
      <c r="F296" s="214"/>
      <c r="G296" s="191"/>
      <c r="H296" s="74"/>
      <c r="I296" s="74"/>
      <c r="J296" s="74"/>
      <c r="K296" s="74"/>
      <c r="L296" s="73"/>
      <c r="M296" s="74"/>
      <c r="N296" s="71"/>
      <c r="O296" s="74"/>
      <c r="P296" s="74"/>
      <c r="Q296" s="74"/>
      <c r="R296" s="73"/>
      <c r="S296" s="73"/>
      <c r="T296" s="73"/>
      <c r="U296" s="73"/>
      <c r="V296" s="73"/>
      <c r="W296" s="143"/>
      <c r="X296" s="45" t="str">
        <f>IF(M296="","",'Pricing Details'!D286+'Pricing Details'!Q286)</f>
        <v/>
      </c>
      <c r="Y296" s="45" t="str">
        <f>IF(M296="","",'Pricing Details'!V286)</f>
        <v/>
      </c>
      <c r="Z296" s="43" t="str">
        <f>IF(M296="","",'Pricing Details'!X286)</f>
        <v/>
      </c>
      <c r="AA296" s="183" t="str">
        <f>'Pricing Details'!Z286</f>
        <v/>
      </c>
      <c r="AB296" s="178" t="str">
        <f>'Pricing Details'!AC286</f>
        <v/>
      </c>
      <c r="AC296" s="79"/>
      <c r="AD296" s="41" t="str">
        <f>IFERROR(_xlfn.XLOOKUP(K296,Collection[Display],Collection[Line])&amp;_xlfn.XLOOKUP(L296,Sleeve[Display],Sleeve[Sleeve]),"")</f>
        <v/>
      </c>
    </row>
    <row r="297" spans="1:30" s="41" customFormat="1" ht="30" customHeight="1" x14ac:dyDescent="0.2">
      <c r="A297" s="79"/>
      <c r="B297" s="70">
        <v>284</v>
      </c>
      <c r="C297" s="71"/>
      <c r="D297" s="71"/>
      <c r="E297" s="274"/>
      <c r="F297" s="214"/>
      <c r="G297" s="191"/>
      <c r="H297" s="74"/>
      <c r="I297" s="74"/>
      <c r="J297" s="74"/>
      <c r="K297" s="74"/>
      <c r="L297" s="73"/>
      <c r="M297" s="74"/>
      <c r="N297" s="71"/>
      <c r="O297" s="74"/>
      <c r="P297" s="74"/>
      <c r="Q297" s="74"/>
      <c r="R297" s="73"/>
      <c r="S297" s="73"/>
      <c r="T297" s="73"/>
      <c r="U297" s="73"/>
      <c r="V297" s="73"/>
      <c r="W297" s="143"/>
      <c r="X297" s="45" t="str">
        <f>IF(M297="","",'Pricing Details'!D287+'Pricing Details'!Q287)</f>
        <v/>
      </c>
      <c r="Y297" s="45" t="str">
        <f>IF(M297="","",'Pricing Details'!V287)</f>
        <v/>
      </c>
      <c r="Z297" s="43" t="str">
        <f>IF(M297="","",'Pricing Details'!X287)</f>
        <v/>
      </c>
      <c r="AA297" s="183" t="str">
        <f>'Pricing Details'!Z287</f>
        <v/>
      </c>
      <c r="AB297" s="178" t="str">
        <f>'Pricing Details'!AC287</f>
        <v/>
      </c>
      <c r="AC297" s="79"/>
      <c r="AD297" s="41" t="str">
        <f>IFERROR(_xlfn.XLOOKUP(K297,Collection[Display],Collection[Line])&amp;_xlfn.XLOOKUP(L297,Sleeve[Display],Sleeve[Sleeve]),"")</f>
        <v/>
      </c>
    </row>
    <row r="298" spans="1:30" s="41" customFormat="1" ht="30" customHeight="1" x14ac:dyDescent="0.2">
      <c r="A298" s="79"/>
      <c r="B298" s="70">
        <v>285</v>
      </c>
      <c r="C298" s="71"/>
      <c r="D298" s="71"/>
      <c r="E298" s="274"/>
      <c r="F298" s="214"/>
      <c r="G298" s="191"/>
      <c r="H298" s="74"/>
      <c r="I298" s="74"/>
      <c r="J298" s="74"/>
      <c r="K298" s="74"/>
      <c r="L298" s="73"/>
      <c r="M298" s="74"/>
      <c r="N298" s="71"/>
      <c r="O298" s="74"/>
      <c r="P298" s="74"/>
      <c r="Q298" s="74"/>
      <c r="R298" s="73"/>
      <c r="S298" s="73"/>
      <c r="T298" s="73"/>
      <c r="U298" s="73"/>
      <c r="V298" s="73"/>
      <c r="W298" s="143"/>
      <c r="X298" s="45" t="str">
        <f>IF(M298="","",'Pricing Details'!D288+'Pricing Details'!Q288)</f>
        <v/>
      </c>
      <c r="Y298" s="45" t="str">
        <f>IF(M298="","",'Pricing Details'!V288)</f>
        <v/>
      </c>
      <c r="Z298" s="43" t="str">
        <f>IF(M298="","",'Pricing Details'!X288)</f>
        <v/>
      </c>
      <c r="AA298" s="183" t="str">
        <f>'Pricing Details'!Z288</f>
        <v/>
      </c>
      <c r="AB298" s="178" t="str">
        <f>'Pricing Details'!AC288</f>
        <v/>
      </c>
      <c r="AC298" s="79"/>
      <c r="AD298" s="41" t="str">
        <f>IFERROR(_xlfn.XLOOKUP(K298,Collection[Display],Collection[Line])&amp;_xlfn.XLOOKUP(L298,Sleeve[Display],Sleeve[Sleeve]),"")</f>
        <v/>
      </c>
    </row>
    <row r="299" spans="1:30" s="41" customFormat="1" ht="30" customHeight="1" x14ac:dyDescent="0.2">
      <c r="A299" s="79"/>
      <c r="B299" s="70">
        <v>286</v>
      </c>
      <c r="C299" s="71"/>
      <c r="D299" s="71"/>
      <c r="E299" s="274"/>
      <c r="F299" s="214"/>
      <c r="G299" s="191"/>
      <c r="H299" s="74"/>
      <c r="I299" s="74"/>
      <c r="J299" s="74"/>
      <c r="K299" s="74"/>
      <c r="L299" s="73"/>
      <c r="M299" s="74"/>
      <c r="N299" s="71"/>
      <c r="O299" s="74"/>
      <c r="P299" s="74"/>
      <c r="Q299" s="74"/>
      <c r="R299" s="73"/>
      <c r="S299" s="73"/>
      <c r="T299" s="73"/>
      <c r="U299" s="73"/>
      <c r="V299" s="73"/>
      <c r="W299" s="143"/>
      <c r="X299" s="45" t="str">
        <f>IF(M299="","",'Pricing Details'!D289+'Pricing Details'!Q289)</f>
        <v/>
      </c>
      <c r="Y299" s="45" t="str">
        <f>IF(M299="","",'Pricing Details'!V289)</f>
        <v/>
      </c>
      <c r="Z299" s="43" t="str">
        <f>IF(M299="","",'Pricing Details'!X289)</f>
        <v/>
      </c>
      <c r="AA299" s="183" t="str">
        <f>'Pricing Details'!Z289</f>
        <v/>
      </c>
      <c r="AB299" s="178" t="str">
        <f>'Pricing Details'!AC289</f>
        <v/>
      </c>
      <c r="AC299" s="79"/>
      <c r="AD299" s="41" t="str">
        <f>IFERROR(_xlfn.XLOOKUP(K299,Collection[Display],Collection[Line])&amp;_xlfn.XLOOKUP(L299,Sleeve[Display],Sleeve[Sleeve]),"")</f>
        <v/>
      </c>
    </row>
    <row r="300" spans="1:30" s="41" customFormat="1" ht="30" customHeight="1" x14ac:dyDescent="0.2">
      <c r="A300" s="79"/>
      <c r="B300" s="70">
        <v>287</v>
      </c>
      <c r="C300" s="71"/>
      <c r="D300" s="71"/>
      <c r="E300" s="274"/>
      <c r="F300" s="214"/>
      <c r="G300" s="191"/>
      <c r="H300" s="74"/>
      <c r="I300" s="74"/>
      <c r="J300" s="74"/>
      <c r="K300" s="74"/>
      <c r="L300" s="73"/>
      <c r="M300" s="74"/>
      <c r="N300" s="71"/>
      <c r="O300" s="74"/>
      <c r="P300" s="74"/>
      <c r="Q300" s="74"/>
      <c r="R300" s="73"/>
      <c r="S300" s="73"/>
      <c r="T300" s="73"/>
      <c r="U300" s="73"/>
      <c r="V300" s="73"/>
      <c r="W300" s="143"/>
      <c r="X300" s="45" t="str">
        <f>IF(M300="","",'Pricing Details'!D290+'Pricing Details'!Q290)</f>
        <v/>
      </c>
      <c r="Y300" s="45" t="str">
        <f>IF(M300="","",'Pricing Details'!V290)</f>
        <v/>
      </c>
      <c r="Z300" s="43" t="str">
        <f>IF(M300="","",'Pricing Details'!X290)</f>
        <v/>
      </c>
      <c r="AA300" s="183" t="str">
        <f>'Pricing Details'!Z290</f>
        <v/>
      </c>
      <c r="AB300" s="178" t="str">
        <f>'Pricing Details'!AC290</f>
        <v/>
      </c>
      <c r="AC300" s="79"/>
      <c r="AD300" s="41" t="str">
        <f>IFERROR(_xlfn.XLOOKUP(K300,Collection[Display],Collection[Line])&amp;_xlfn.XLOOKUP(L300,Sleeve[Display],Sleeve[Sleeve]),"")</f>
        <v/>
      </c>
    </row>
    <row r="301" spans="1:30" s="41" customFormat="1" ht="30" customHeight="1" x14ac:dyDescent="0.2">
      <c r="A301" s="79"/>
      <c r="B301" s="70">
        <v>288</v>
      </c>
      <c r="C301" s="71"/>
      <c r="D301" s="71"/>
      <c r="E301" s="274"/>
      <c r="F301" s="214"/>
      <c r="G301" s="191"/>
      <c r="H301" s="74"/>
      <c r="I301" s="74"/>
      <c r="J301" s="74"/>
      <c r="K301" s="74"/>
      <c r="L301" s="73"/>
      <c r="M301" s="74"/>
      <c r="N301" s="71"/>
      <c r="O301" s="74"/>
      <c r="P301" s="74"/>
      <c r="Q301" s="74"/>
      <c r="R301" s="73"/>
      <c r="S301" s="73"/>
      <c r="T301" s="73"/>
      <c r="U301" s="73"/>
      <c r="V301" s="73"/>
      <c r="W301" s="143"/>
      <c r="X301" s="45" t="str">
        <f>IF(M301="","",'Pricing Details'!D291+'Pricing Details'!Q291)</f>
        <v/>
      </c>
      <c r="Y301" s="45" t="str">
        <f>IF(M301="","",'Pricing Details'!V291)</f>
        <v/>
      </c>
      <c r="Z301" s="43" t="str">
        <f>IF(M301="","",'Pricing Details'!X291)</f>
        <v/>
      </c>
      <c r="AA301" s="183" t="str">
        <f>'Pricing Details'!Z291</f>
        <v/>
      </c>
      <c r="AB301" s="178" t="str">
        <f>'Pricing Details'!AC291</f>
        <v/>
      </c>
      <c r="AC301" s="79"/>
      <c r="AD301" s="41" t="str">
        <f>IFERROR(_xlfn.XLOOKUP(K301,Collection[Display],Collection[Line])&amp;_xlfn.XLOOKUP(L301,Sleeve[Display],Sleeve[Sleeve]),"")</f>
        <v/>
      </c>
    </row>
    <row r="302" spans="1:30" s="41" customFormat="1" ht="30" customHeight="1" x14ac:dyDescent="0.2">
      <c r="A302" s="79"/>
      <c r="B302" s="70">
        <v>289</v>
      </c>
      <c r="C302" s="71"/>
      <c r="D302" s="71"/>
      <c r="E302" s="274"/>
      <c r="F302" s="214"/>
      <c r="G302" s="191"/>
      <c r="H302" s="74"/>
      <c r="I302" s="74"/>
      <c r="J302" s="74"/>
      <c r="K302" s="74"/>
      <c r="L302" s="73"/>
      <c r="M302" s="74"/>
      <c r="N302" s="71"/>
      <c r="O302" s="74"/>
      <c r="P302" s="74"/>
      <c r="Q302" s="74"/>
      <c r="R302" s="73"/>
      <c r="S302" s="73"/>
      <c r="T302" s="73"/>
      <c r="U302" s="73"/>
      <c r="V302" s="73"/>
      <c r="W302" s="143"/>
      <c r="X302" s="45" t="str">
        <f>IF(M302="","",'Pricing Details'!D292+'Pricing Details'!Q292)</f>
        <v/>
      </c>
      <c r="Y302" s="45" t="str">
        <f>IF(M302="","",'Pricing Details'!V292)</f>
        <v/>
      </c>
      <c r="Z302" s="43" t="str">
        <f>IF(M302="","",'Pricing Details'!X292)</f>
        <v/>
      </c>
      <c r="AA302" s="183" t="str">
        <f>'Pricing Details'!Z292</f>
        <v/>
      </c>
      <c r="AB302" s="178" t="str">
        <f>'Pricing Details'!AC292</f>
        <v/>
      </c>
      <c r="AC302" s="79"/>
      <c r="AD302" s="41" t="str">
        <f>IFERROR(_xlfn.XLOOKUP(K302,Collection[Display],Collection[Line])&amp;_xlfn.XLOOKUP(L302,Sleeve[Display],Sleeve[Sleeve]),"")</f>
        <v/>
      </c>
    </row>
    <row r="303" spans="1:30" s="41" customFormat="1" ht="30" customHeight="1" x14ac:dyDescent="0.2">
      <c r="A303" s="79"/>
      <c r="B303" s="70">
        <v>290</v>
      </c>
      <c r="C303" s="71"/>
      <c r="D303" s="71"/>
      <c r="E303" s="274"/>
      <c r="F303" s="214"/>
      <c r="G303" s="191"/>
      <c r="H303" s="74"/>
      <c r="I303" s="74"/>
      <c r="J303" s="74"/>
      <c r="K303" s="74"/>
      <c r="L303" s="73"/>
      <c r="M303" s="74"/>
      <c r="N303" s="71"/>
      <c r="O303" s="74"/>
      <c r="P303" s="74"/>
      <c r="Q303" s="74"/>
      <c r="R303" s="73"/>
      <c r="S303" s="73"/>
      <c r="T303" s="73"/>
      <c r="U303" s="73"/>
      <c r="V303" s="73"/>
      <c r="W303" s="143"/>
      <c r="X303" s="45" t="str">
        <f>IF(M303="","",'Pricing Details'!D293+'Pricing Details'!Q293)</f>
        <v/>
      </c>
      <c r="Y303" s="45" t="str">
        <f>IF(M303="","",'Pricing Details'!V293)</f>
        <v/>
      </c>
      <c r="Z303" s="43" t="str">
        <f>IF(M303="","",'Pricing Details'!X293)</f>
        <v/>
      </c>
      <c r="AA303" s="183" t="str">
        <f>'Pricing Details'!Z293</f>
        <v/>
      </c>
      <c r="AB303" s="178" t="str">
        <f>'Pricing Details'!AC293</f>
        <v/>
      </c>
      <c r="AC303" s="79"/>
      <c r="AD303" s="41" t="str">
        <f>IFERROR(_xlfn.XLOOKUP(K303,Collection[Display],Collection[Line])&amp;_xlfn.XLOOKUP(L303,Sleeve[Display],Sleeve[Sleeve]),"")</f>
        <v/>
      </c>
    </row>
    <row r="304" spans="1:30" s="41" customFormat="1" ht="30" customHeight="1" x14ac:dyDescent="0.2">
      <c r="A304" s="79"/>
      <c r="B304" s="70">
        <v>291</v>
      </c>
      <c r="C304" s="71"/>
      <c r="D304" s="71"/>
      <c r="E304" s="274"/>
      <c r="F304" s="214"/>
      <c r="G304" s="191"/>
      <c r="H304" s="74"/>
      <c r="I304" s="74"/>
      <c r="J304" s="74"/>
      <c r="K304" s="74"/>
      <c r="L304" s="73"/>
      <c r="M304" s="74"/>
      <c r="N304" s="71"/>
      <c r="O304" s="74"/>
      <c r="P304" s="74"/>
      <c r="Q304" s="74"/>
      <c r="R304" s="73"/>
      <c r="S304" s="73"/>
      <c r="T304" s="73"/>
      <c r="U304" s="73"/>
      <c r="V304" s="73"/>
      <c r="W304" s="143"/>
      <c r="X304" s="45" t="str">
        <f>IF(M304="","",'Pricing Details'!D294+'Pricing Details'!Q294)</f>
        <v/>
      </c>
      <c r="Y304" s="45" t="str">
        <f>IF(M304="","",'Pricing Details'!V294)</f>
        <v/>
      </c>
      <c r="Z304" s="43" t="str">
        <f>IF(M304="","",'Pricing Details'!X294)</f>
        <v/>
      </c>
      <c r="AA304" s="183" t="str">
        <f>'Pricing Details'!Z294</f>
        <v/>
      </c>
      <c r="AB304" s="178" t="str">
        <f>'Pricing Details'!AC294</f>
        <v/>
      </c>
      <c r="AC304" s="79"/>
      <c r="AD304" s="41" t="str">
        <f>IFERROR(_xlfn.XLOOKUP(K304,Collection[Display],Collection[Line])&amp;_xlfn.XLOOKUP(L304,Sleeve[Display],Sleeve[Sleeve]),"")</f>
        <v/>
      </c>
    </row>
    <row r="305" spans="1:30" s="41" customFormat="1" ht="30" customHeight="1" x14ac:dyDescent="0.2">
      <c r="A305" s="79"/>
      <c r="B305" s="70">
        <v>292</v>
      </c>
      <c r="C305" s="71"/>
      <c r="D305" s="71"/>
      <c r="E305" s="274"/>
      <c r="F305" s="214"/>
      <c r="G305" s="191"/>
      <c r="H305" s="74"/>
      <c r="I305" s="74"/>
      <c r="J305" s="74"/>
      <c r="K305" s="74"/>
      <c r="L305" s="73"/>
      <c r="M305" s="74"/>
      <c r="N305" s="71"/>
      <c r="O305" s="74"/>
      <c r="P305" s="74"/>
      <c r="Q305" s="74"/>
      <c r="R305" s="73"/>
      <c r="S305" s="73"/>
      <c r="T305" s="73"/>
      <c r="U305" s="73"/>
      <c r="V305" s="73"/>
      <c r="W305" s="143"/>
      <c r="X305" s="45" t="str">
        <f>IF(M305="","",'Pricing Details'!D295+'Pricing Details'!Q295)</f>
        <v/>
      </c>
      <c r="Y305" s="45" t="str">
        <f>IF(M305="","",'Pricing Details'!V295)</f>
        <v/>
      </c>
      <c r="Z305" s="43" t="str">
        <f>IF(M305="","",'Pricing Details'!X295)</f>
        <v/>
      </c>
      <c r="AA305" s="183" t="str">
        <f>'Pricing Details'!Z295</f>
        <v/>
      </c>
      <c r="AB305" s="178" t="str">
        <f>'Pricing Details'!AC295</f>
        <v/>
      </c>
      <c r="AC305" s="79"/>
      <c r="AD305" s="41" t="str">
        <f>IFERROR(_xlfn.XLOOKUP(K305,Collection[Display],Collection[Line])&amp;_xlfn.XLOOKUP(L305,Sleeve[Display],Sleeve[Sleeve]),"")</f>
        <v/>
      </c>
    </row>
    <row r="306" spans="1:30" s="41" customFormat="1" ht="30" customHeight="1" x14ac:dyDescent="0.2">
      <c r="A306" s="79"/>
      <c r="B306" s="70">
        <v>293</v>
      </c>
      <c r="C306" s="71"/>
      <c r="D306" s="71"/>
      <c r="E306" s="274"/>
      <c r="F306" s="214"/>
      <c r="G306" s="191"/>
      <c r="H306" s="74"/>
      <c r="I306" s="74"/>
      <c r="J306" s="74"/>
      <c r="K306" s="74"/>
      <c r="L306" s="73"/>
      <c r="M306" s="74"/>
      <c r="N306" s="71"/>
      <c r="O306" s="74"/>
      <c r="P306" s="74"/>
      <c r="Q306" s="74"/>
      <c r="R306" s="73"/>
      <c r="S306" s="73"/>
      <c r="T306" s="73"/>
      <c r="U306" s="73"/>
      <c r="V306" s="73"/>
      <c r="W306" s="143"/>
      <c r="X306" s="45" t="str">
        <f>IF(M306="","",'Pricing Details'!D296+'Pricing Details'!Q296)</f>
        <v/>
      </c>
      <c r="Y306" s="45" t="str">
        <f>IF(M306="","",'Pricing Details'!V296)</f>
        <v/>
      </c>
      <c r="Z306" s="43" t="str">
        <f>IF(M306="","",'Pricing Details'!X296)</f>
        <v/>
      </c>
      <c r="AA306" s="183" t="str">
        <f>'Pricing Details'!Z296</f>
        <v/>
      </c>
      <c r="AB306" s="178" t="str">
        <f>'Pricing Details'!AC296</f>
        <v/>
      </c>
      <c r="AC306" s="79"/>
      <c r="AD306" s="41" t="str">
        <f>IFERROR(_xlfn.XLOOKUP(K306,Collection[Display],Collection[Line])&amp;_xlfn.XLOOKUP(L306,Sleeve[Display],Sleeve[Sleeve]),"")</f>
        <v/>
      </c>
    </row>
    <row r="307" spans="1:30" s="41" customFormat="1" ht="30" customHeight="1" x14ac:dyDescent="0.2">
      <c r="A307" s="79"/>
      <c r="B307" s="70">
        <v>294</v>
      </c>
      <c r="C307" s="71"/>
      <c r="D307" s="71"/>
      <c r="E307" s="274"/>
      <c r="F307" s="214"/>
      <c r="G307" s="191"/>
      <c r="H307" s="74"/>
      <c r="I307" s="74"/>
      <c r="J307" s="74"/>
      <c r="K307" s="74"/>
      <c r="L307" s="73"/>
      <c r="M307" s="74"/>
      <c r="N307" s="71"/>
      <c r="O307" s="74"/>
      <c r="P307" s="74"/>
      <c r="Q307" s="74"/>
      <c r="R307" s="73"/>
      <c r="S307" s="73"/>
      <c r="T307" s="73"/>
      <c r="U307" s="73"/>
      <c r="V307" s="73"/>
      <c r="W307" s="143"/>
      <c r="X307" s="45" t="str">
        <f>IF(M307="","",'Pricing Details'!D297+'Pricing Details'!Q297)</f>
        <v/>
      </c>
      <c r="Y307" s="45" t="str">
        <f>IF(M307="","",'Pricing Details'!V297)</f>
        <v/>
      </c>
      <c r="Z307" s="43" t="str">
        <f>IF(M307="","",'Pricing Details'!X297)</f>
        <v/>
      </c>
      <c r="AA307" s="183" t="str">
        <f>'Pricing Details'!Z297</f>
        <v/>
      </c>
      <c r="AB307" s="178" t="str">
        <f>'Pricing Details'!AC297</f>
        <v/>
      </c>
      <c r="AC307" s="79"/>
      <c r="AD307" s="41" t="str">
        <f>IFERROR(_xlfn.XLOOKUP(K307,Collection[Display],Collection[Line])&amp;_xlfn.XLOOKUP(L307,Sleeve[Display],Sleeve[Sleeve]),"")</f>
        <v/>
      </c>
    </row>
    <row r="308" spans="1:30" s="41" customFormat="1" ht="30" customHeight="1" x14ac:dyDescent="0.2">
      <c r="A308" s="79"/>
      <c r="B308" s="70">
        <v>295</v>
      </c>
      <c r="C308" s="71"/>
      <c r="D308" s="71"/>
      <c r="E308" s="274"/>
      <c r="F308" s="214"/>
      <c r="G308" s="191"/>
      <c r="H308" s="74"/>
      <c r="I308" s="74"/>
      <c r="J308" s="74"/>
      <c r="K308" s="74"/>
      <c r="L308" s="73"/>
      <c r="M308" s="74"/>
      <c r="N308" s="71"/>
      <c r="O308" s="74"/>
      <c r="P308" s="74"/>
      <c r="Q308" s="74"/>
      <c r="R308" s="73"/>
      <c r="S308" s="73"/>
      <c r="T308" s="73"/>
      <c r="U308" s="73"/>
      <c r="V308" s="73"/>
      <c r="W308" s="143"/>
      <c r="X308" s="45" t="str">
        <f>IF(M308="","",'Pricing Details'!D298+'Pricing Details'!Q298)</f>
        <v/>
      </c>
      <c r="Y308" s="45" t="str">
        <f>IF(M308="","",'Pricing Details'!V298)</f>
        <v/>
      </c>
      <c r="Z308" s="43" t="str">
        <f>IF(M308="","",'Pricing Details'!X298)</f>
        <v/>
      </c>
      <c r="AA308" s="183" t="str">
        <f>'Pricing Details'!Z298</f>
        <v/>
      </c>
      <c r="AB308" s="178" t="str">
        <f>'Pricing Details'!AC298</f>
        <v/>
      </c>
      <c r="AC308" s="79"/>
      <c r="AD308" s="41" t="str">
        <f>IFERROR(_xlfn.XLOOKUP(K308,Collection[Display],Collection[Line])&amp;_xlfn.XLOOKUP(L308,Sleeve[Display],Sleeve[Sleeve]),"")</f>
        <v/>
      </c>
    </row>
    <row r="309" spans="1:30" s="41" customFormat="1" ht="30" customHeight="1" x14ac:dyDescent="0.2">
      <c r="A309" s="79"/>
      <c r="B309" s="70">
        <v>296</v>
      </c>
      <c r="C309" s="71"/>
      <c r="D309" s="71"/>
      <c r="E309" s="274"/>
      <c r="F309" s="214"/>
      <c r="G309" s="191"/>
      <c r="H309" s="74"/>
      <c r="I309" s="74"/>
      <c r="J309" s="74"/>
      <c r="K309" s="74"/>
      <c r="L309" s="73"/>
      <c r="M309" s="74"/>
      <c r="N309" s="71"/>
      <c r="O309" s="74"/>
      <c r="P309" s="74"/>
      <c r="Q309" s="74"/>
      <c r="R309" s="73"/>
      <c r="S309" s="73"/>
      <c r="T309" s="73"/>
      <c r="U309" s="73"/>
      <c r="V309" s="73"/>
      <c r="W309" s="143"/>
      <c r="X309" s="45" t="str">
        <f>IF(M309="","",'Pricing Details'!D299+'Pricing Details'!Q299)</f>
        <v/>
      </c>
      <c r="Y309" s="45" t="str">
        <f>IF(M309="","",'Pricing Details'!V299)</f>
        <v/>
      </c>
      <c r="Z309" s="43" t="str">
        <f>IF(M309="","",'Pricing Details'!X299)</f>
        <v/>
      </c>
      <c r="AA309" s="183" t="str">
        <f>'Pricing Details'!Z299</f>
        <v/>
      </c>
      <c r="AB309" s="178" t="str">
        <f>'Pricing Details'!AC299</f>
        <v/>
      </c>
      <c r="AC309" s="79"/>
      <c r="AD309" s="41" t="str">
        <f>IFERROR(_xlfn.XLOOKUP(K309,Collection[Display],Collection[Line])&amp;_xlfn.XLOOKUP(L309,Sleeve[Display],Sleeve[Sleeve]),"")</f>
        <v/>
      </c>
    </row>
    <row r="310" spans="1:30" s="41" customFormat="1" ht="30" customHeight="1" x14ac:dyDescent="0.2">
      <c r="A310" s="79"/>
      <c r="B310" s="70">
        <v>297</v>
      </c>
      <c r="C310" s="71"/>
      <c r="D310" s="71"/>
      <c r="E310" s="274"/>
      <c r="F310" s="214"/>
      <c r="G310" s="191"/>
      <c r="H310" s="74"/>
      <c r="I310" s="74"/>
      <c r="J310" s="74"/>
      <c r="K310" s="74"/>
      <c r="L310" s="73"/>
      <c r="M310" s="74"/>
      <c r="N310" s="71"/>
      <c r="O310" s="74"/>
      <c r="P310" s="74"/>
      <c r="Q310" s="74"/>
      <c r="R310" s="73"/>
      <c r="S310" s="73"/>
      <c r="T310" s="73"/>
      <c r="U310" s="73"/>
      <c r="V310" s="73"/>
      <c r="W310" s="143"/>
      <c r="X310" s="45" t="str">
        <f>IF(M310="","",'Pricing Details'!D300+'Pricing Details'!Q300)</f>
        <v/>
      </c>
      <c r="Y310" s="45" t="str">
        <f>IF(M310="","",'Pricing Details'!V300)</f>
        <v/>
      </c>
      <c r="Z310" s="43" t="str">
        <f>IF(M310="","",'Pricing Details'!X300)</f>
        <v/>
      </c>
      <c r="AA310" s="183" t="str">
        <f>'Pricing Details'!Z300</f>
        <v/>
      </c>
      <c r="AB310" s="178" t="str">
        <f>'Pricing Details'!AC300</f>
        <v/>
      </c>
      <c r="AC310" s="79"/>
      <c r="AD310" s="41" t="str">
        <f>IFERROR(_xlfn.XLOOKUP(K310,Collection[Display],Collection[Line])&amp;_xlfn.XLOOKUP(L310,Sleeve[Display],Sleeve[Sleeve]),"")</f>
        <v/>
      </c>
    </row>
    <row r="311" spans="1:30" s="41" customFormat="1" ht="30" customHeight="1" x14ac:dyDescent="0.2">
      <c r="A311" s="79"/>
      <c r="B311" s="70">
        <v>298</v>
      </c>
      <c r="C311" s="71"/>
      <c r="D311" s="71"/>
      <c r="E311" s="274"/>
      <c r="F311" s="214"/>
      <c r="G311" s="191"/>
      <c r="H311" s="74"/>
      <c r="I311" s="74"/>
      <c r="J311" s="74"/>
      <c r="K311" s="74"/>
      <c r="L311" s="73"/>
      <c r="M311" s="74"/>
      <c r="N311" s="71"/>
      <c r="O311" s="74"/>
      <c r="P311" s="74"/>
      <c r="Q311" s="74"/>
      <c r="R311" s="73"/>
      <c r="S311" s="73"/>
      <c r="T311" s="73"/>
      <c r="U311" s="73"/>
      <c r="V311" s="73"/>
      <c r="W311" s="143"/>
      <c r="X311" s="45" t="str">
        <f>IF(M311="","",'Pricing Details'!D301+'Pricing Details'!Q301)</f>
        <v/>
      </c>
      <c r="Y311" s="45" t="str">
        <f>IF(M311="","",'Pricing Details'!V301)</f>
        <v/>
      </c>
      <c r="Z311" s="43" t="str">
        <f>IF(M311="","",'Pricing Details'!X301)</f>
        <v/>
      </c>
      <c r="AA311" s="183" t="str">
        <f>'Pricing Details'!Z301</f>
        <v/>
      </c>
      <c r="AB311" s="178" t="str">
        <f>'Pricing Details'!AC301</f>
        <v/>
      </c>
      <c r="AC311" s="79"/>
      <c r="AD311" s="41" t="str">
        <f>IFERROR(_xlfn.XLOOKUP(K311,Collection[Display],Collection[Line])&amp;_xlfn.XLOOKUP(L311,Sleeve[Display],Sleeve[Sleeve]),"")</f>
        <v/>
      </c>
    </row>
    <row r="312" spans="1:30" s="41" customFormat="1" ht="30" customHeight="1" x14ac:dyDescent="0.2">
      <c r="A312" s="79"/>
      <c r="B312" s="70">
        <v>299</v>
      </c>
      <c r="C312" s="71"/>
      <c r="D312" s="71"/>
      <c r="E312" s="274"/>
      <c r="F312" s="214"/>
      <c r="G312" s="191"/>
      <c r="H312" s="74"/>
      <c r="I312" s="74"/>
      <c r="J312" s="74"/>
      <c r="K312" s="74"/>
      <c r="L312" s="73"/>
      <c r="M312" s="74"/>
      <c r="N312" s="71"/>
      <c r="O312" s="74"/>
      <c r="P312" s="74"/>
      <c r="Q312" s="74"/>
      <c r="R312" s="73"/>
      <c r="S312" s="73"/>
      <c r="T312" s="73"/>
      <c r="U312" s="73"/>
      <c r="V312" s="73"/>
      <c r="W312" s="143"/>
      <c r="X312" s="45" t="str">
        <f>IF(M312="","",'Pricing Details'!D302+'Pricing Details'!Q302)</f>
        <v/>
      </c>
      <c r="Y312" s="45" t="str">
        <f>IF(M312="","",'Pricing Details'!V302)</f>
        <v/>
      </c>
      <c r="Z312" s="43" t="str">
        <f>IF(M312="","",'Pricing Details'!X302)</f>
        <v/>
      </c>
      <c r="AA312" s="183" t="str">
        <f>'Pricing Details'!Z302</f>
        <v/>
      </c>
      <c r="AB312" s="178" t="str">
        <f>'Pricing Details'!AC302</f>
        <v/>
      </c>
      <c r="AC312" s="79"/>
      <c r="AD312" s="41" t="str">
        <f>IFERROR(_xlfn.XLOOKUP(K312,Collection[Display],Collection[Line])&amp;_xlfn.XLOOKUP(L312,Sleeve[Display],Sleeve[Sleeve]),"")</f>
        <v/>
      </c>
    </row>
    <row r="313" spans="1:30" s="41" customFormat="1" ht="30" customHeight="1" x14ac:dyDescent="0.2">
      <c r="A313" s="79"/>
      <c r="B313" s="70">
        <v>300</v>
      </c>
      <c r="C313" s="71"/>
      <c r="D313" s="71"/>
      <c r="E313" s="274"/>
      <c r="F313" s="214"/>
      <c r="G313" s="191"/>
      <c r="H313" s="74"/>
      <c r="I313" s="74"/>
      <c r="J313" s="74"/>
      <c r="K313" s="74"/>
      <c r="L313" s="73"/>
      <c r="M313" s="74"/>
      <c r="N313" s="71"/>
      <c r="O313" s="74"/>
      <c r="P313" s="74"/>
      <c r="Q313" s="74"/>
      <c r="R313" s="73"/>
      <c r="S313" s="73"/>
      <c r="T313" s="73"/>
      <c r="U313" s="73"/>
      <c r="V313" s="73"/>
      <c r="W313" s="143"/>
      <c r="X313" s="45" t="str">
        <f>IF(M313="","",'Pricing Details'!D303+'Pricing Details'!Q303)</f>
        <v/>
      </c>
      <c r="Y313" s="45" t="str">
        <f>IF(M313="","",'Pricing Details'!V303)</f>
        <v/>
      </c>
      <c r="Z313" s="43" t="str">
        <f>IF(M313="","",'Pricing Details'!X303)</f>
        <v/>
      </c>
      <c r="AA313" s="183" t="str">
        <f>'Pricing Details'!Z303</f>
        <v/>
      </c>
      <c r="AB313" s="178" t="str">
        <f>'Pricing Details'!AC303</f>
        <v/>
      </c>
      <c r="AC313" s="79"/>
      <c r="AD313" s="41" t="str">
        <f>IFERROR(_xlfn.XLOOKUP(K313,Collection[Display],Collection[Line])&amp;_xlfn.XLOOKUP(L313,Sleeve[Display],Sleeve[Sleeve]),"")</f>
        <v/>
      </c>
    </row>
    <row r="314" spans="1:30" s="79" customFormat="1" ht="15" x14ac:dyDescent="0.2">
      <c r="B314" s="81"/>
      <c r="C314" s="81"/>
      <c r="D314" s="81"/>
      <c r="E314" s="206"/>
      <c r="F314" s="81"/>
      <c r="G314" s="192"/>
      <c r="H314" s="81"/>
      <c r="I314" s="81"/>
      <c r="J314" s="81"/>
      <c r="K314" s="81"/>
      <c r="L314" s="81"/>
      <c r="M314" s="81"/>
      <c r="N314" s="81"/>
      <c r="O314" s="81"/>
      <c r="P314" s="81"/>
      <c r="Q314" s="81"/>
      <c r="R314" s="81"/>
      <c r="S314" s="81"/>
      <c r="T314" s="81"/>
      <c r="U314" s="81"/>
      <c r="V314" s="81"/>
      <c r="W314" s="145"/>
      <c r="X314" s="82"/>
      <c r="Y314" s="82"/>
      <c r="Z314" s="82"/>
      <c r="AA314" s="184"/>
      <c r="AB314" s="82"/>
    </row>
    <row r="315" spans="1:30" ht="15" hidden="1" customHeight="1" x14ac:dyDescent="0.2">
      <c r="W315" s="146"/>
      <c r="X315" s="44"/>
      <c r="AC315" s="75"/>
    </row>
    <row r="316" spans="1:30" ht="15" hidden="1" customHeight="1" x14ac:dyDescent="0.2">
      <c r="W316" s="146"/>
      <c r="X316" s="44"/>
      <c r="AC316" s="75"/>
    </row>
  </sheetData>
  <sheetProtection algorithmName="SHA-512" hashValue="lKBENset6S9T3L+rq7LXqgEFTZNESmphK0R8l+Ot8kmdiKwk9S0jZC6v/nlki8R3AgzewG0j0AjtxgCfFDDJRw==" saltValue="tTRlyEN0VrxG3DnKPPLWow==" spinCount="100000" sheet="1" objects="1" scenarios="1"/>
  <protectedRanges>
    <protectedRange sqref="C14:W313" name="Order Details"/>
    <protectedRange sqref="F8" name="In Hand Date"/>
    <protectedRange sqref="D4:E4" name="Priority Production"/>
  </protectedRanges>
  <mergeCells count="18">
    <mergeCell ref="H7:M7"/>
    <mergeCell ref="R9:W9"/>
    <mergeCell ref="D4:E4"/>
    <mergeCell ref="R5:W5"/>
    <mergeCell ref="R10:W10"/>
    <mergeCell ref="B10:F11"/>
    <mergeCell ref="B9:F9"/>
    <mergeCell ref="H8:L10"/>
    <mergeCell ref="B8:D8"/>
    <mergeCell ref="H11:L11"/>
    <mergeCell ref="H2:M2"/>
    <mergeCell ref="B6:E6"/>
    <mergeCell ref="H3:M3"/>
    <mergeCell ref="H4:M4"/>
    <mergeCell ref="H5:M5"/>
    <mergeCell ref="H6:M6"/>
    <mergeCell ref="B3:E3"/>
    <mergeCell ref="B2:E2"/>
  </mergeCells>
  <conditionalFormatting sqref="B7:E7">
    <cfRule type="expression" dxfId="3" priority="2">
      <formula>$F$7</formula>
    </cfRule>
  </conditionalFormatting>
  <conditionalFormatting sqref="B9:F9">
    <cfRule type="expression" dxfId="2" priority="5">
      <formula>$G$8</formula>
    </cfRule>
  </conditionalFormatting>
  <conditionalFormatting sqref="N3:Q4 N8:Q8">
    <cfRule type="expression" dxfId="0" priority="3">
      <formula>$R$2</formula>
    </cfRule>
  </conditionalFormatting>
  <dataValidations count="1">
    <dataValidation type="list" showInputMessage="1" showErrorMessage="1" sqref="M14:M313" xr:uid="{9B57A76B-A2F7-47CA-91AD-D0AE5DCAF8DC}">
      <formula1>INDIRECT(AD14)</formula1>
    </dataValidation>
  </dataValidations>
  <printOptions horizontalCentered="1"/>
  <pageMargins left="0.25" right="0.25" top="0.25" bottom="0.25" header="0" footer="0"/>
  <pageSetup scale="27" fitToHeight="0" orientation="landscape" r:id="rId1"/>
  <headerFooter>
    <oddFooter>&amp;C&amp;"Helvetica Neue,Regular"&amp;12&amp;K000000&amp;P</oddFooter>
  </headerFooter>
  <extLst>
    <ext xmlns:x14="http://schemas.microsoft.com/office/spreadsheetml/2009/9/main" uri="{78C0D931-6437-407d-A8EE-F0AAD7539E65}">
      <x14:conditionalFormattings>
        <x14:conditionalFormatting xmlns:xm="http://schemas.microsoft.com/office/excel/2006/main">
          <x14:cfRule type="expression" priority="1" id="{1409598F-D105-4F9E-84F9-B670BA1233A4}">
            <xm:f>$F$6&lt;&gt;Summary!$D$27</xm:f>
            <x14:dxf>
              <font>
                <color rgb="FFC00000"/>
              </font>
            </x14:dxf>
          </x14:cfRule>
          <xm:sqref>F6</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DC138EC8-2637-4669-8DE0-90BBD6568F63}">
          <x14:formula1>
            <xm:f>Prices!$BN$3:$BN$22</xm:f>
          </x14:formula1>
          <xm:sqref>R15:R313</xm:sqref>
        </x14:dataValidation>
        <x14:dataValidation type="list" allowBlank="1" showInputMessage="1" showErrorMessage="1" xr:uid="{C34CFE9E-65FE-46A3-A2E8-846A7FAED405}">
          <x14:formula1>
            <xm:f>Prices!$DD$3:$DD$5</xm:f>
          </x14:formula1>
          <xm:sqref>D4</xm:sqref>
        </x14:dataValidation>
        <x14:dataValidation type="list" showInputMessage="1" showErrorMessage="1" xr:uid="{008B092D-4376-45E6-8E4A-571DA0101CB6}">
          <x14:formula1>
            <xm:f>INDIRECT(_xlfn.XLOOKUP($K$14,Prices!$Q$3:$Q$4,Prices!$T$3:$T$4))</xm:f>
          </x14:formula1>
          <xm:sqref>L14:L313</xm:sqref>
        </x14:dataValidation>
        <x14:dataValidation type="list" allowBlank="1" showInputMessage="1" showErrorMessage="1" xr:uid="{5D1E2C15-9C76-4F75-98F9-75B61F085C9E}">
          <x14:formula1>
            <xm:f>INDIRECT(_xlfn.XLOOKUP(H14,Prices!$E$3:$E$6,Prices!$H$3:$H$6))</xm:f>
          </x14:formula1>
          <xm:sqref>I14:I313</xm:sqref>
        </x14:dataValidation>
        <x14:dataValidation type="list" allowBlank="1" showInputMessage="1" showErrorMessage="1" xr:uid="{E53B284F-474B-4631-A07E-75983EFEFA62}">
          <x14:formula1>
            <xm:f>INDIRECT(_xlfn.XLOOKUP(H14,Prices!$E$3:$E$6,Prices!$I$3:$I$6))</xm:f>
          </x14:formula1>
          <xm:sqref>K14:K313</xm:sqref>
        </x14:dataValidation>
        <x14:dataValidation type="list" allowBlank="1" showInputMessage="1" showErrorMessage="1" xr:uid="{CE2A80FE-4A8D-472A-A71B-714E54753BAA}">
          <x14:formula1>
            <xm:f>Prices!$E$3:$E$16</xm:f>
          </x14:formula1>
          <xm:sqref>H14:H313</xm:sqref>
        </x14:dataValidation>
        <x14:dataValidation type="list" allowBlank="1" showInputMessage="1" showErrorMessage="1" xr:uid="{26DF4FF6-EAE7-42EA-BF97-2CAACF730598}">
          <x14:formula1>
            <xm:f>Prices!$BH$3:$BH$15</xm:f>
          </x14:formula1>
          <xm:sqref>J14:J313</xm:sqref>
        </x14:dataValidation>
        <x14:dataValidation type="list" allowBlank="1" showInputMessage="1" showErrorMessage="1" xr:uid="{940D92B3-7124-40AC-A417-A1125D606C3A}">
          <x14:formula1>
            <xm:f>Prices!$BN$3:$BN$32</xm:f>
          </x14:formula1>
          <xm:sqref>R14</xm:sqref>
        </x14:dataValidation>
        <x14:dataValidation type="list" allowBlank="1" showInputMessage="1" showErrorMessage="1" xr:uid="{6A85BCEB-2910-4E7A-9AD5-1BD8282D17DF}">
          <x14:formula1>
            <xm:f>Prices!$CL$3:$CL$18</xm:f>
          </x14:formula1>
          <xm:sqref>V14</xm:sqref>
        </x14:dataValidation>
        <x14:dataValidation type="list" allowBlank="1" showInputMessage="1" showErrorMessage="1" xr:uid="{548395A2-66CF-436E-8848-A67832D786B4}">
          <x14:formula1>
            <xm:f>Prices!#REF!</xm:f>
          </x14:formula1>
          <xm:sqref>S15:U313</xm:sqref>
        </x14:dataValidation>
        <x14:dataValidation type="list" allowBlank="1" showInputMessage="1" showErrorMessage="1" xr:uid="{EE709127-6202-421C-AEF0-B1020EAAEB52}">
          <x14:formula1>
            <xm:f>Prices!$BV$3:$BV$12</xm:f>
          </x14:formula1>
          <xm:sqref>S14:T14</xm:sqref>
        </x14:dataValidation>
        <x14:dataValidation type="list" allowBlank="1" showInputMessage="1" showErrorMessage="1" xr:uid="{4C178CA4-EFCD-4E73-84E2-42D121497E83}">
          <x14:formula1>
            <xm:f>Prices!$CD$3:$CD$12</xm:f>
          </x14:formula1>
          <xm:sqref>V15:V313</xm:sqref>
        </x14:dataValidation>
        <x14:dataValidation type="list" allowBlank="1" showInputMessage="1" showErrorMessage="1" xr:uid="{9AE1BF74-C924-4235-AFCD-D41D34526BF2}">
          <x14:formula1>
            <xm:f>Prices!$CD$3:$CD$16</xm:f>
          </x14:formula1>
          <xm:sqref>U14</xm:sqref>
        </x14:dataValidation>
        <x14:dataValidation type="list" allowBlank="1" showInputMessage="1" showErrorMessage="1" xr:uid="{B8ACD1C1-8F14-47FF-8708-3261460A6566}">
          <x14:formula1>
            <xm:f>Prices!$CW$3:$CW$4</xm:f>
          </x14:formula1>
          <xm:sqref>O14:O313</xm:sqref>
        </x14:dataValidation>
        <x14:dataValidation type="list" allowBlank="1" showInputMessage="1" showErrorMessage="1" xr:uid="{49785765-D018-4FD2-BBC6-25F2BC4F2761}">
          <x14:formula1>
            <xm:f>Prices!$CU$3:$CU$4</xm:f>
          </x14:formula1>
          <xm:sqref>P14:P313</xm:sqref>
        </x14:dataValidation>
        <x14:dataValidation type="list" allowBlank="1" showInputMessage="1" showErrorMessage="1" xr:uid="{B47819AA-2546-41AA-8ECE-4AE6FB50977D}">
          <x14:formula1>
            <xm:f>Prices!$CY$3:$CY$8</xm:f>
          </x14:formula1>
          <xm:sqref>Q14:Q313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Q304"/>
  <sheetViews>
    <sheetView showGridLines="0" workbookViewId="0">
      <selection activeCell="H32" sqref="H32"/>
    </sheetView>
  </sheetViews>
  <sheetFormatPr baseColWidth="10" defaultColWidth="8.6640625" defaultRowHeight="15" customHeight="1" x14ac:dyDescent="0.2"/>
  <cols>
    <col min="1" max="1" width="2.33203125" style="75" customWidth="1"/>
    <col min="2" max="2" width="6.33203125" style="33" customWidth="1"/>
    <col min="3" max="3" width="10.33203125" style="33" customWidth="1"/>
    <col min="4" max="4" width="13.6640625" style="32" customWidth="1"/>
    <col min="5" max="5" width="12.5" style="30" customWidth="1"/>
    <col min="6" max="6" width="8.5" style="17" customWidth="1"/>
    <col min="7" max="7" width="11" style="17" customWidth="1"/>
    <col min="8" max="8" width="13.6640625" style="17" customWidth="1"/>
    <col min="9" max="9" width="10.6640625" style="17" customWidth="1"/>
    <col min="10" max="10" width="10.33203125" style="17" customWidth="1"/>
    <col min="11" max="11" width="8.6640625" style="17" customWidth="1"/>
    <col min="12" max="16" width="8.6640625" style="19" customWidth="1"/>
    <col min="17" max="17" width="8.6640625" style="28" customWidth="1"/>
    <col min="18" max="18" width="11.6640625" style="19" customWidth="1"/>
    <col min="19" max="19" width="11.1640625" style="19" customWidth="1"/>
    <col min="20" max="20" width="12.5" style="19" customWidth="1"/>
    <col min="21" max="21" width="13.6640625" style="19" customWidth="1"/>
    <col min="22" max="22" width="9.6640625" style="26" customWidth="1"/>
    <col min="23" max="23" width="14.6640625" style="35" customWidth="1"/>
    <col min="24" max="24" width="15.33203125" style="38" customWidth="1"/>
    <col min="25" max="25" width="14.5" style="40" customWidth="1"/>
    <col min="26" max="28" width="14.5" style="174" customWidth="1"/>
    <col min="29" max="29" width="14.5" style="35" customWidth="1"/>
    <col min="30" max="30" width="2.6640625" style="75" customWidth="1"/>
    <col min="31" max="32" width="8.6640625" style="156" customWidth="1"/>
    <col min="33" max="33" width="20.1640625" style="156" customWidth="1"/>
    <col min="34" max="38" width="11" style="156" customWidth="1"/>
    <col min="39" max="41" width="20.33203125" style="156" customWidth="1"/>
    <col min="42" max="42" width="43.5" style="156" customWidth="1"/>
    <col min="43" max="16384" width="8.6640625" style="1"/>
  </cols>
  <sheetData>
    <row r="1" spans="1:43" s="75" customFormat="1" ht="15" customHeight="1" x14ac:dyDescent="0.2">
      <c r="B1" s="113"/>
      <c r="C1" s="113"/>
      <c r="D1" s="114"/>
      <c r="E1" s="115"/>
      <c r="F1" s="116"/>
      <c r="G1" s="116"/>
      <c r="H1" s="116"/>
      <c r="I1" s="116"/>
      <c r="J1" s="116"/>
      <c r="K1" s="116"/>
      <c r="L1" s="117"/>
      <c r="M1" s="117"/>
      <c r="N1" s="117"/>
      <c r="O1" s="117"/>
      <c r="P1" s="117"/>
      <c r="Q1" s="118"/>
      <c r="R1" s="117"/>
      <c r="S1" s="117"/>
      <c r="T1" s="117"/>
      <c r="U1" s="117"/>
      <c r="V1" s="118"/>
      <c r="W1" s="118"/>
      <c r="X1" s="115"/>
      <c r="Y1" s="119"/>
      <c r="Z1" s="170"/>
      <c r="AA1" s="170"/>
      <c r="AB1" s="170"/>
      <c r="AC1" s="118"/>
      <c r="AE1" s="155"/>
      <c r="AF1" s="155"/>
      <c r="AG1" s="155"/>
      <c r="AH1" s="155"/>
      <c r="AI1" s="155"/>
      <c r="AJ1" s="155"/>
      <c r="AK1" s="155"/>
      <c r="AL1" s="155"/>
      <c r="AM1" s="155"/>
      <c r="AN1" s="155"/>
      <c r="AO1" s="155"/>
      <c r="AP1" s="155"/>
    </row>
    <row r="2" spans="1:43" ht="15" customHeight="1" x14ac:dyDescent="0.2">
      <c r="D2" s="324" t="s">
        <v>118</v>
      </c>
      <c r="E2" s="324"/>
      <c r="F2" s="325" t="s">
        <v>114</v>
      </c>
      <c r="G2" s="325"/>
      <c r="H2" s="325"/>
      <c r="I2" s="325"/>
      <c r="J2" s="325"/>
      <c r="K2" s="325"/>
      <c r="L2" s="325"/>
      <c r="M2" s="325"/>
      <c r="N2" s="325"/>
      <c r="O2" s="325"/>
      <c r="P2" s="325"/>
      <c r="Q2" s="325"/>
      <c r="R2" s="323" t="s">
        <v>109</v>
      </c>
      <c r="S2" s="323"/>
      <c r="T2" s="323"/>
      <c r="U2" s="323"/>
      <c r="V2" s="323"/>
      <c r="W2" s="326" t="s">
        <v>104</v>
      </c>
      <c r="X2" s="326"/>
      <c r="Y2" s="326"/>
      <c r="Z2" s="171"/>
      <c r="AA2" s="171"/>
      <c r="AB2" s="171"/>
      <c r="AC2" s="169"/>
    </row>
    <row r="3" spans="1:43" s="15" customFormat="1" ht="32" x14ac:dyDescent="0.2">
      <c r="A3" s="120"/>
      <c r="B3" s="157" t="s">
        <v>163</v>
      </c>
      <c r="C3" s="157" t="s">
        <v>0</v>
      </c>
      <c r="D3" s="158" t="s">
        <v>34</v>
      </c>
      <c r="E3" s="158" t="s">
        <v>168</v>
      </c>
      <c r="F3" s="159" t="s">
        <v>1</v>
      </c>
      <c r="G3" s="159" t="s">
        <v>30</v>
      </c>
      <c r="H3" s="159" t="s">
        <v>78</v>
      </c>
      <c r="I3" s="159" t="s">
        <v>72</v>
      </c>
      <c r="J3" s="159" t="s">
        <v>12</v>
      </c>
      <c r="K3" s="159" t="s">
        <v>186</v>
      </c>
      <c r="L3" s="160" t="s">
        <v>4</v>
      </c>
      <c r="M3" s="160" t="s">
        <v>119</v>
      </c>
      <c r="N3" s="160" t="s">
        <v>120</v>
      </c>
      <c r="O3" s="160" t="s">
        <v>121</v>
      </c>
      <c r="P3" s="160" t="s">
        <v>122</v>
      </c>
      <c r="Q3" s="160" t="s">
        <v>115</v>
      </c>
      <c r="R3" s="161" t="s">
        <v>113</v>
      </c>
      <c r="S3" s="161" t="s">
        <v>108</v>
      </c>
      <c r="T3" s="161" t="s">
        <v>110</v>
      </c>
      <c r="U3" s="161" t="s">
        <v>111</v>
      </c>
      <c r="V3" s="161" t="s">
        <v>187</v>
      </c>
      <c r="W3" s="162" t="s">
        <v>116</v>
      </c>
      <c r="X3" s="163" t="s">
        <v>117</v>
      </c>
      <c r="Y3" s="164" t="s">
        <v>132</v>
      </c>
      <c r="Z3" s="172" t="s">
        <v>89</v>
      </c>
      <c r="AA3" s="172" t="s">
        <v>190</v>
      </c>
      <c r="AB3" s="172" t="s">
        <v>35</v>
      </c>
      <c r="AC3" s="175" t="s">
        <v>112</v>
      </c>
      <c r="AD3" s="167" t="s">
        <v>28</v>
      </c>
      <c r="AE3" s="165" t="s">
        <v>174</v>
      </c>
      <c r="AF3" s="165" t="s">
        <v>178</v>
      </c>
      <c r="AG3" s="165" t="s">
        <v>175</v>
      </c>
      <c r="AH3" s="165" t="s">
        <v>179</v>
      </c>
      <c r="AI3" s="165" t="s">
        <v>180</v>
      </c>
      <c r="AJ3" s="165" t="s">
        <v>181</v>
      </c>
      <c r="AK3" s="165" t="s">
        <v>182</v>
      </c>
      <c r="AL3" s="165" t="s">
        <v>183</v>
      </c>
      <c r="AM3" s="165" t="s">
        <v>176</v>
      </c>
      <c r="AN3" s="165" t="s">
        <v>184</v>
      </c>
      <c r="AO3" s="165" t="s">
        <v>3</v>
      </c>
      <c r="AP3" s="165" t="s">
        <v>177</v>
      </c>
      <c r="AQ3" s="166" t="s">
        <v>185</v>
      </c>
    </row>
    <row r="4" spans="1:43" ht="13.5" customHeight="1" x14ac:dyDescent="0.2">
      <c r="B4" s="34">
        <f>'Bulk Order Details'!B14</f>
        <v>1</v>
      </c>
      <c r="C4" s="34" t="str">
        <f>IF('Bulk Order Details'!C14="","",'Bulk Order Details'!C14&amp;" "&amp;'Bulk Order Details'!D14)</f>
        <v/>
      </c>
      <c r="D4" s="31" t="str">
        <f>IF('Bulk Order Details'!M14="","",VLOOKUP(1,Price[],3))</f>
        <v/>
      </c>
      <c r="E4" s="29" t="str">
        <f>IF('Bulk Order Details'!M14="","",Summary!$D$9)</f>
        <v/>
      </c>
      <c r="F4" s="16" t="str">
        <f>IF('Bulk Order Details'!I14="","",_xlfn.XLOOKUP('Bulk Order Details'!I14,Size[Display],Size[Price]))</f>
        <v/>
      </c>
      <c r="G4" s="16" t="str">
        <f>IF('Bulk Order Details'!J14="","",_xlfn.XLOOKUP('Bulk Order Details'!J14,Length[Display],Length[Price]))</f>
        <v/>
      </c>
      <c r="H4" s="16" t="str">
        <f>IF('Bulk Order Details'!K14="","",_xlfn.XLOOKUP('Bulk Order Details'!K14,Collection[Display],Collection[Price]))</f>
        <v/>
      </c>
      <c r="I4" s="16" t="str">
        <f>IF('Bulk Order Details'!L14="","",_xlfn.XLOOKUP('Bulk Order Details'!L14,Sleeve[Display],Sleeve[Price]))</f>
        <v/>
      </c>
      <c r="J4" s="16" t="str">
        <f>IF('Bulk Order Details'!M14="","",_xlfn.XLOOKUP('Bulk Order Details'!M14,Collar[Display],Collar[Price]))</f>
        <v/>
      </c>
      <c r="K4" s="16" t="str">
        <f>IF('Bulk Order Details'!N14="","",_xlfn.XLOOKUP("Name",Name[Name],Name[Price]))</f>
        <v/>
      </c>
      <c r="L4" s="18" t="str">
        <f>IFERROR(IF('Bulk Order Details'!R14="","",IF(_xlfn.XLOOKUP('Bulk Order Details'!R14,Logos[Display],Logos[Use])="Flat",_xlfn.XLOOKUP('Bulk Order Details'!R14,Logos[Display],Logos[Flat]),ROUND(_xlfn.XLOOKUP('Bulk Order Details'!R14,Logos[Display],Logos[Pct])*$E4,2))),"")</f>
        <v/>
      </c>
      <c r="M4" s="18" t="str">
        <f>IFERROR(IF('Bulk Order Details'!S14="","",IF(_xlfn.XLOOKUP('Bulk Order Details'!S14,Chest[Display],Chest[Use])="Flat",_xlfn.XLOOKUP('Bulk Order Details'!S14,Chest[Display],Chest[Flat]),ROUND(_xlfn.XLOOKUP('Bulk Order Details'!S14,Chest[Display],Chest[Pct])*$E4,2))),"")</f>
        <v/>
      </c>
      <c r="N4" s="18" t="str">
        <f>IFERROR(IF('Bulk Order Details'!T14="","",IF(_xlfn.XLOOKUP('Bulk Order Details'!T14,Chest[Display],Chest[Use])="Flat",_xlfn.XLOOKUP('Bulk Order Details'!T14,Chest[Display],Chest[Flat]),ROUND(_xlfn.XLOOKUP('Bulk Order Details'!T14,Chest[Display],Chest[Pct])*$E4,2))),"")</f>
        <v/>
      </c>
      <c r="O4" s="18" t="str">
        <f>IFERROR(IF('Bulk Order Details'!U14="","",IF(_xlfn.XLOOKUP('Bulk Order Details'!U14,LeftSleeve[Display],LeftSleeve[Use])="Flat",_xlfn.XLOOKUP('Bulk Order Details'!U14,LeftSleeve[Display],LeftSleeve[Flat]),ROUND(_xlfn.XLOOKUP('Bulk Order Details'!U14,LeftSleeve[Display],LeftSleeve[Pct])*$E4,2))),"")</f>
        <v/>
      </c>
      <c r="P4" s="18" t="str">
        <f>IFERROR(IF('Bulk Order Details'!V14="","",IF(_xlfn.XLOOKUP('Bulk Order Details'!V14,RightSleeve[Display],RightSleeve[Use])="Flat",_xlfn.XLOOKUP('Bulk Order Details'!V14,RightSleeve[Display],RightSleeve[Flat]),ROUND(_xlfn.XLOOKUP('Bulk Order Details'!V14,RightSleeve[Display],RightSleeve[Pct])*$E4,2))),"")</f>
        <v/>
      </c>
      <c r="Q4" s="27" t="str">
        <f>IF('Bulk Order Details'!M14="","",SUM(F4:P4))</f>
        <v/>
      </c>
      <c r="R4" s="24" t="str">
        <f>IFERROR(E4-D4,"")</f>
        <v/>
      </c>
      <c r="S4" s="23" t="str">
        <f>IFERROR(MIN(IF(Summary!$D$11="Yes",-J4,0),IF(H4&gt;0,-J4,0)),"")</f>
        <v/>
      </c>
      <c r="T4" s="16" t="str">
        <f>IFERROR(IF(Summary!$D$10="Yes",-K4,""),"")</f>
        <v/>
      </c>
      <c r="U4" s="18" t="str">
        <f>IFERROR(IF(Summary!$D$12="Yes",-L4,""),"")</f>
        <v/>
      </c>
      <c r="V4" s="25" t="str">
        <f>IF('Bulk Order Details'!M14="","",SUM(R4:U4))</f>
        <v/>
      </c>
      <c r="W4" s="36" t="str">
        <f>IF('Bulk Order Details'!M14="","",D4+Q4)</f>
        <v/>
      </c>
      <c r="X4" s="37" t="str">
        <f>IF('Bulk Order Details'!M14="","",D4+Q4+V4)</f>
        <v/>
      </c>
      <c r="Y4" s="168" t="str">
        <f t="shared" ref="Y4:Y67" si="0">IFERROR((W4-X4)/W4,"")</f>
        <v/>
      </c>
      <c r="Z4" s="173" t="str">
        <f>IF('Bulk Order Details'!M14="","",MAX(1,'Bulk Order Details'!G14))</f>
        <v/>
      </c>
      <c r="AA4" s="196" t="str">
        <f>IF(Pricing_Details[[#This Row],[Quantity]]="","",Pricing_Details[[#This Row],[Retail Price]]*Pricing_Details[[#This Row],[Quantity]])</f>
        <v/>
      </c>
      <c r="AB4" s="196" t="str">
        <f>IF(Pricing_Details[[#This Row],[Quantity]]="","",Pricing_Details[[#This Row],[Total Discount]]*Pricing_Details[[#This Row],[Quantity]])</f>
        <v/>
      </c>
      <c r="AC4" s="176" t="str">
        <f>IFERROR(ROUND(Pricing_Details[[#This Row],[Actual Price]]*Pricing_Details[[#This Row],[Quantity]],2),"")</f>
        <v/>
      </c>
      <c r="AE4" s="156" t="str">
        <f>IF('Bulk Order Details'!M14="","",VLOOKUP('Bulk Order Details'!K14,Collection[],3)&amp;VLOOKUP('Bulk Order Details'!M14,Collar[],4)&amp;VLOOKUP('Bulk Order Details'!L14,Sleeve[],4))</f>
        <v/>
      </c>
      <c r="AF4" s="156" t="str">
        <f>IF('Bulk Order Details'!M14="","",LOOKUP('Bulk Order Details'!H14,Cut[Display],Cut[Code])&amp;LOOKUP('Bulk Order Details'!I14,#REF!,#REF!)&amp;IF('Bulk Order Details'!J14="","",LOOKUP('Bulk Order Details'!J14,Length[Display],Length[Code])))</f>
        <v/>
      </c>
      <c r="AG4" s="156" t="str">
        <f>IF('Bulk Order Details'!M14="","",IF('Bulk Order Details'!F14="","",'Bulk Order Details'!F14))</f>
        <v/>
      </c>
      <c r="AH4" s="156" t="str">
        <f>IF('Bulk Order Details'!R14="","","-"&amp;LOOKUP('Bulk Order Details'!R14,#REF!,#REF!))</f>
        <v/>
      </c>
      <c r="AI4" s="156" t="str">
        <f>IF('Bulk Order Details'!S14="","","-"&amp;LOOKUP('Bulk Order Details'!S14,#REF!,#REF!))</f>
        <v/>
      </c>
      <c r="AJ4" s="156" t="str">
        <f>IF('Bulk Order Details'!T14="","","-"&amp;LOOKUP('Bulk Order Details'!T14,#REF!,#REF!))</f>
        <v/>
      </c>
      <c r="AK4" s="156" t="str">
        <f>IF('Bulk Order Details'!U14="","","-"&amp;LOOKUP('Bulk Order Details'!U14,#REF!,#REF!))</f>
        <v/>
      </c>
      <c r="AL4" s="156" t="str">
        <f>IF('Bulk Order Details'!V14="","","-"&amp;LOOKUP('Bulk Order Details'!V14,#REF!,#REF!))</f>
        <v/>
      </c>
      <c r="AM4" s="156" t="str">
        <f>IF(_xlfn.CONCAT(AH4:AL4)="","","Lo"&amp;_xlfn.CONCAT(AH4:AL4))</f>
        <v/>
      </c>
      <c r="AN4" s="156" t="str">
        <f>IF('Bulk Order Details'!N14="","","Na-"&amp;'Bulk Order Details'!N14)</f>
        <v/>
      </c>
      <c r="AO4" s="156" t="str">
        <f>IF('Bulk Order Details'!Q14="","","Fo-"&amp;'Bulk Order Details'!Q14)</f>
        <v/>
      </c>
      <c r="AP4" s="156" t="str">
        <f>IF(AE4="","",AE4&amp;"_"&amp;AF4&amp;"_"&amp;AG4&amp;IF(AM4="","","_"&amp;AM4)&amp;IF(AN4="","","_"&amp;AN4)&amp;IF(AO4="","","_"&amp;AO4))</f>
        <v/>
      </c>
      <c r="AQ4" s="37" t="str">
        <f>IF(X4="","",X4)</f>
        <v/>
      </c>
    </row>
    <row r="5" spans="1:43" ht="13.5" customHeight="1" x14ac:dyDescent="0.2">
      <c r="B5" s="34">
        <f>'Bulk Order Details'!B15</f>
        <v>2</v>
      </c>
      <c r="C5" s="34" t="str">
        <f>IF('Bulk Order Details'!C15="","",'Bulk Order Details'!C15&amp;" "&amp;'Bulk Order Details'!D15)</f>
        <v/>
      </c>
      <c r="D5" s="31" t="str">
        <f>IF('Bulk Order Details'!M15="","",VLOOKUP(1,Price[],3))</f>
        <v/>
      </c>
      <c r="E5" s="29" t="str">
        <f>IF('Bulk Order Details'!M15="","",Summary!$D$9)</f>
        <v/>
      </c>
      <c r="F5" s="16" t="str">
        <f>IF('Bulk Order Details'!I15="","",_xlfn.XLOOKUP('Bulk Order Details'!I15,Size[Display],Size[Price]))</f>
        <v/>
      </c>
      <c r="G5" s="16" t="str">
        <f>IF('Bulk Order Details'!J15="","",_xlfn.XLOOKUP('Bulk Order Details'!J15,Length[Display],Length[Price]))</f>
        <v/>
      </c>
      <c r="H5" s="16" t="str">
        <f>IF('Bulk Order Details'!K15="","",_xlfn.XLOOKUP('Bulk Order Details'!K15,Collection[Display],Collection[Price]))</f>
        <v/>
      </c>
      <c r="I5" s="16" t="str">
        <f>IF('Bulk Order Details'!L15="","",_xlfn.XLOOKUP('Bulk Order Details'!L15,Sleeve[Display],Sleeve[Price]))</f>
        <v/>
      </c>
      <c r="J5" s="16" t="str">
        <f>IF('Bulk Order Details'!M15="","",_xlfn.XLOOKUP('Bulk Order Details'!M15,Collar[Display],Collar[Price]))</f>
        <v/>
      </c>
      <c r="K5" s="16" t="str">
        <f>IF('Bulk Order Details'!N15="","",_xlfn.XLOOKUP("Name",Name[Name],Name[Price]))</f>
        <v/>
      </c>
      <c r="L5" s="18" t="str">
        <f>IFERROR(IF('Bulk Order Details'!R15="","",IF(_xlfn.XLOOKUP('Bulk Order Details'!R15,Logos[Display],Logos[Use])="Flat",_xlfn.XLOOKUP('Bulk Order Details'!R15,Logos[Display],Logos[Flat]),ROUND(_xlfn.XLOOKUP('Bulk Order Details'!R15,Logos[Display],Logos[Pct])*$E5,2))),"")</f>
        <v/>
      </c>
      <c r="M5" s="22" t="str">
        <f>IFERROR(IF('Bulk Order Details'!S15="","",IF(_xlfn.XLOOKUP('Bulk Order Details'!S15,Chest[Display],Chest[Use])="Flat",_xlfn.XLOOKUP('Bulk Order Details'!S15,Chest[Display],Chest[Flat]),ROUND(_xlfn.XLOOKUP('Bulk Order Details'!S15,Chest[Display],Chest[Pct])*$E5,2))),"")</f>
        <v/>
      </c>
      <c r="N5" s="22" t="str">
        <f>IFERROR(IF('Bulk Order Details'!T15="","",IF(_xlfn.XLOOKUP('Bulk Order Details'!T15,Chest[Display],Chest[Use])="Flat",_xlfn.XLOOKUP('Bulk Order Details'!T15,Chest[Display],Chest[Flat]),ROUND(_xlfn.XLOOKUP('Bulk Order Details'!T15,Chest[Display],Chest[Pct])*$E5,2))),"")</f>
        <v/>
      </c>
      <c r="O5" s="22" t="str">
        <f>IFERROR(IF('Bulk Order Details'!U15="","",IF(_xlfn.XLOOKUP('Bulk Order Details'!U15,LeftSleeve[Display],LeftSleeve[Use])="Flat",_xlfn.XLOOKUP('Bulk Order Details'!U15,LeftSleeve[Display],LeftSleeve[Flat]),ROUND(_xlfn.XLOOKUP('Bulk Order Details'!U15,LeftSleeve[Display],LeftSleeve[Pct])*$E5,2))),"")</f>
        <v/>
      </c>
      <c r="P5" s="22" t="str">
        <f>IFERROR(IF('Bulk Order Details'!V15="","",IF(_xlfn.XLOOKUP('Bulk Order Details'!V15,RightSleeve[Display],RightSleeve[Use])="Flat",_xlfn.XLOOKUP('Bulk Order Details'!V15,RightSleeve[Display],RightSleeve[Flat]),ROUND(_xlfn.XLOOKUP('Bulk Order Details'!V15,RightSleeve[Display],RightSleeve[Pct])*$E5,2))),"")</f>
        <v/>
      </c>
      <c r="Q5" s="27" t="str">
        <f>IF('Bulk Order Details'!M15="","",SUM(F5:P5))</f>
        <v/>
      </c>
      <c r="R5" s="24" t="str">
        <f t="shared" ref="R5:R68" si="1">IFERROR(E5-D5,"")</f>
        <v/>
      </c>
      <c r="S5" s="23" t="str">
        <f>IFERROR(MIN(IF(Summary!$D$11="Yes",-J5,0),IF(H5&gt;0,-J5,0)),"")</f>
        <v/>
      </c>
      <c r="T5" s="16" t="str">
        <f>IFERROR(IF(Summary!$D$10="Yes",-K5,""),"")</f>
        <v/>
      </c>
      <c r="U5" s="18" t="str">
        <f>IFERROR(IF(Summary!$D$12="Yes",-L5,""),"")</f>
        <v/>
      </c>
      <c r="V5" s="25" t="str">
        <f>IF('Bulk Order Details'!M15="","",SUM(R5:U5))</f>
        <v/>
      </c>
      <c r="W5" s="36" t="str">
        <f>IF('Bulk Order Details'!M15="","",D5+Q5)</f>
        <v/>
      </c>
      <c r="X5" s="37" t="str">
        <f>IF('Bulk Order Details'!M15="","",D5+Q5+V5)</f>
        <v/>
      </c>
      <c r="Y5" s="168" t="str">
        <f t="shared" si="0"/>
        <v/>
      </c>
      <c r="Z5" s="173" t="str">
        <f>IF('Bulk Order Details'!M15="","",MAX(1,'Bulk Order Details'!G15))</f>
        <v/>
      </c>
      <c r="AA5" s="196" t="str">
        <f>IF(Pricing_Details[[#This Row],[Quantity]]="","",Pricing_Details[[#This Row],[Retail Price]]*Pricing_Details[[#This Row],[Quantity]])</f>
        <v/>
      </c>
      <c r="AB5" s="196" t="str">
        <f>IF(Pricing_Details[[#This Row],[Quantity]]="","",Pricing_Details[[#This Row],[Total Discount]]*Pricing_Details[[#This Row],[Quantity]])</f>
        <v/>
      </c>
      <c r="AC5" s="176" t="str">
        <f>IFERROR(ROUND(Pricing_Details[[#This Row],[Actual Price]]*Pricing_Details[[#This Row],[Quantity]],2),"")</f>
        <v/>
      </c>
      <c r="AE5" s="156" t="str">
        <f>IF('Bulk Order Details'!M15="","",VLOOKUP('Bulk Order Details'!K15,Collection[],3)&amp;VLOOKUP('Bulk Order Details'!M15,Collar[],4)&amp;VLOOKUP('Bulk Order Details'!L15,Sleeve[],4))</f>
        <v/>
      </c>
      <c r="AF5" s="156" t="str">
        <f>IF('Bulk Order Details'!M15="","",LOOKUP('Bulk Order Details'!H15,Cut[Display],Cut[Code])&amp;LOOKUP('Bulk Order Details'!I15,#REF!,#REF!)&amp;IF('Bulk Order Details'!J15="","",LOOKUP('Bulk Order Details'!J15,Length[Display],Length[Code])))</f>
        <v/>
      </c>
      <c r="AG5" s="156" t="str">
        <f>IF('Bulk Order Details'!M15="","",IF('Bulk Order Details'!F15="","",'Bulk Order Details'!F15))</f>
        <v/>
      </c>
      <c r="AH5" s="156" t="str">
        <f>IF('Bulk Order Details'!R15="","","-"&amp;LOOKUP('Bulk Order Details'!R15,#REF!,#REF!))</f>
        <v/>
      </c>
      <c r="AI5" s="156" t="str">
        <f>IF('Bulk Order Details'!S15="","","-"&amp;LOOKUP('Bulk Order Details'!S15,#REF!,#REF!))</f>
        <v/>
      </c>
      <c r="AJ5" s="156" t="str">
        <f>IF('Bulk Order Details'!T15="","","-"&amp;LOOKUP('Bulk Order Details'!T15,#REF!,#REF!))</f>
        <v/>
      </c>
      <c r="AK5" s="156" t="str">
        <f>IF('Bulk Order Details'!U15="","","-"&amp;LOOKUP('Bulk Order Details'!U15,#REF!,#REF!))</f>
        <v/>
      </c>
      <c r="AL5" s="156" t="str">
        <f>IF('Bulk Order Details'!V15="","","-"&amp;LOOKUP('Bulk Order Details'!V15,#REF!,#REF!))</f>
        <v/>
      </c>
      <c r="AM5" s="156" t="str">
        <f t="shared" ref="AM5:AM68" si="2">IF(_xlfn.CONCAT(AH5:AL5)="","","Lo"&amp;_xlfn.CONCAT(AH5:AL5))</f>
        <v/>
      </c>
      <c r="AN5" s="156" t="str">
        <f>IF('Bulk Order Details'!N15="","","Na-"&amp;'Bulk Order Details'!N15)</f>
        <v/>
      </c>
      <c r="AO5" s="156" t="str">
        <f>IF('Bulk Order Details'!Q15="","","Fo-"&amp;'Bulk Order Details'!Q15)</f>
        <v/>
      </c>
      <c r="AP5" s="156" t="str">
        <f t="shared" ref="AP5:AP68" si="3">IF(AE5="","",AE5&amp;"_"&amp;AF5&amp;"_"&amp;AG5&amp;IF(AM5="","","_"&amp;AM5)&amp;IF(AN5="","","_"&amp;AN5)&amp;IF(AO5="","","_"&amp;AO5))</f>
        <v/>
      </c>
      <c r="AQ5" s="37" t="str">
        <f t="shared" ref="AQ5:AQ68" si="4">IF(X5="","",X5)</f>
        <v/>
      </c>
    </row>
    <row r="6" spans="1:43" ht="13.5" customHeight="1" x14ac:dyDescent="0.2">
      <c r="B6" s="34">
        <f>'Bulk Order Details'!B16</f>
        <v>3</v>
      </c>
      <c r="C6" s="34" t="str">
        <f>IF('Bulk Order Details'!C16="","",'Bulk Order Details'!C16&amp;" "&amp;'Bulk Order Details'!D16)</f>
        <v/>
      </c>
      <c r="D6" s="31" t="str">
        <f>IF('Bulk Order Details'!M16="","",VLOOKUP(1,Price[],3))</f>
        <v/>
      </c>
      <c r="E6" s="29" t="str">
        <f>IF('Bulk Order Details'!M16="","",Summary!$D$9)</f>
        <v/>
      </c>
      <c r="F6" s="16" t="str">
        <f>IF('Bulk Order Details'!I16="","",_xlfn.XLOOKUP('Bulk Order Details'!I16,Size[Display],Size[Price]))</f>
        <v/>
      </c>
      <c r="G6" s="16" t="str">
        <f>IF('Bulk Order Details'!J16="","",_xlfn.XLOOKUP('Bulk Order Details'!J16,Length[Display],Length[Price]))</f>
        <v/>
      </c>
      <c r="H6" s="16" t="str">
        <f>IF('Bulk Order Details'!K16="","",_xlfn.XLOOKUP('Bulk Order Details'!K16,Collection[Display],Collection[Price]))</f>
        <v/>
      </c>
      <c r="I6" s="16" t="str">
        <f>IF('Bulk Order Details'!L16="","",_xlfn.XLOOKUP('Bulk Order Details'!L16,Sleeve[Display],Sleeve[Price]))</f>
        <v/>
      </c>
      <c r="J6" s="16" t="str">
        <f>IF('Bulk Order Details'!M16="","",_xlfn.XLOOKUP('Bulk Order Details'!M16,Collar[Display],Collar[Price]))</f>
        <v/>
      </c>
      <c r="K6" s="16" t="str">
        <f>IF('Bulk Order Details'!N16="","",_xlfn.XLOOKUP("Name",Name[Name],Name[Price]))</f>
        <v/>
      </c>
      <c r="L6" s="18" t="str">
        <f>IFERROR(IF('Bulk Order Details'!R16="","",IF(_xlfn.XLOOKUP('Bulk Order Details'!R16,Logos[Display],Logos[Use])="Flat",_xlfn.XLOOKUP('Bulk Order Details'!R16,Logos[Display],Logos[Flat]),ROUND(_xlfn.XLOOKUP('Bulk Order Details'!R16,Logos[Display],Logos[Pct])*$E6,2))),"")</f>
        <v/>
      </c>
      <c r="M6" s="22" t="str">
        <f>IFERROR(IF('Bulk Order Details'!S16="","",IF(_xlfn.XLOOKUP('Bulk Order Details'!S16,Chest[Display],Chest[Use])="Flat",_xlfn.XLOOKUP('Bulk Order Details'!S16,Chest[Display],Chest[Flat]),ROUND(_xlfn.XLOOKUP('Bulk Order Details'!S16,Chest[Display],Chest[Pct])*$E6,2))),"")</f>
        <v/>
      </c>
      <c r="N6" s="22" t="str">
        <f>IFERROR(IF('Bulk Order Details'!T16="","",IF(_xlfn.XLOOKUP('Bulk Order Details'!T16,Chest[Display],Chest[Use])="Flat",_xlfn.XLOOKUP('Bulk Order Details'!T16,Chest[Display],Chest[Flat]),ROUND(_xlfn.XLOOKUP('Bulk Order Details'!T16,Chest[Display],Chest[Pct])*$E6,2))),"")</f>
        <v/>
      </c>
      <c r="O6" s="22" t="str">
        <f>IFERROR(IF('Bulk Order Details'!U16="","",IF(_xlfn.XLOOKUP('Bulk Order Details'!U16,LeftSleeve[Display],LeftSleeve[Use])="Flat",_xlfn.XLOOKUP('Bulk Order Details'!U16,LeftSleeve[Display],LeftSleeve[Flat]),ROUND(_xlfn.XLOOKUP('Bulk Order Details'!U16,LeftSleeve[Display],LeftSleeve[Pct])*$E6,2))),"")</f>
        <v/>
      </c>
      <c r="P6" s="22" t="str">
        <f>IFERROR(IF('Bulk Order Details'!V16="","",IF(_xlfn.XLOOKUP('Bulk Order Details'!V16,RightSleeve[Display],RightSleeve[Use])="Flat",_xlfn.XLOOKUP('Bulk Order Details'!V16,RightSleeve[Display],RightSleeve[Flat]),ROUND(_xlfn.XLOOKUP('Bulk Order Details'!V16,RightSleeve[Display],RightSleeve[Pct])*$E6,2))),"")</f>
        <v/>
      </c>
      <c r="Q6" s="27" t="str">
        <f>IF('Bulk Order Details'!M16="","",SUM(F6:P6))</f>
        <v/>
      </c>
      <c r="R6" s="24" t="str">
        <f t="shared" si="1"/>
        <v/>
      </c>
      <c r="S6" s="23" t="str">
        <f>IFERROR(MIN(IF(Summary!$D$11="Yes",-J6,0),IF(H6&gt;0,-J6,0)),"")</f>
        <v/>
      </c>
      <c r="T6" s="16" t="str">
        <f>IFERROR(IF(Summary!$D$10="Yes",-K6,""),"")</f>
        <v/>
      </c>
      <c r="U6" s="18" t="str">
        <f>IFERROR(IF(Summary!$D$12="Yes",-L6,""),"")</f>
        <v/>
      </c>
      <c r="V6" s="25" t="str">
        <f>IF('Bulk Order Details'!M16="","",SUM(R6:U6))</f>
        <v/>
      </c>
      <c r="W6" s="36" t="str">
        <f>IF('Bulk Order Details'!M16="","",D6+Q6)</f>
        <v/>
      </c>
      <c r="X6" s="37" t="str">
        <f>IF('Bulk Order Details'!M16="","",D6+Q6+V6)</f>
        <v/>
      </c>
      <c r="Y6" s="168" t="str">
        <f t="shared" si="0"/>
        <v/>
      </c>
      <c r="Z6" s="173" t="str">
        <f>IF('Bulk Order Details'!M16="","",MAX(1,'Bulk Order Details'!G16))</f>
        <v/>
      </c>
      <c r="AA6" s="196" t="str">
        <f>IF(Pricing_Details[[#This Row],[Quantity]]="","",Pricing_Details[[#This Row],[Retail Price]]*Pricing_Details[[#This Row],[Quantity]])</f>
        <v/>
      </c>
      <c r="AB6" s="196" t="str">
        <f>IF(Pricing_Details[[#This Row],[Quantity]]="","",Pricing_Details[[#This Row],[Total Discount]]*Pricing_Details[[#This Row],[Quantity]])</f>
        <v/>
      </c>
      <c r="AC6" s="176" t="str">
        <f>IFERROR(ROUND(Pricing_Details[[#This Row],[Actual Price]]*Pricing_Details[[#This Row],[Quantity]],2),"")</f>
        <v/>
      </c>
      <c r="AE6" s="156" t="str">
        <f>IF('Bulk Order Details'!M16="","",VLOOKUP('Bulk Order Details'!K16,Collection[],3)&amp;VLOOKUP('Bulk Order Details'!M16,Collar[],4)&amp;VLOOKUP('Bulk Order Details'!L16,Sleeve[],4))</f>
        <v/>
      </c>
      <c r="AF6" s="156" t="str">
        <f>IF('Bulk Order Details'!M16="","",LOOKUP('Bulk Order Details'!H16,Cut[Display],Cut[Code])&amp;LOOKUP('Bulk Order Details'!I16,#REF!,#REF!)&amp;IF('Bulk Order Details'!J16="","",LOOKUP('Bulk Order Details'!J16,Length[Display],Length[Code])))</f>
        <v/>
      </c>
      <c r="AG6" s="156" t="str">
        <f>IF('Bulk Order Details'!M16="","",IF('Bulk Order Details'!F16="","",'Bulk Order Details'!F16))</f>
        <v/>
      </c>
      <c r="AH6" s="156" t="str">
        <f>IF('Bulk Order Details'!R16="","","-"&amp;LOOKUP('Bulk Order Details'!R16,#REF!,#REF!))</f>
        <v/>
      </c>
      <c r="AI6" s="156" t="str">
        <f>IF('Bulk Order Details'!S16="","","-"&amp;LOOKUP('Bulk Order Details'!S16,#REF!,#REF!))</f>
        <v/>
      </c>
      <c r="AJ6" s="156" t="str">
        <f>IF('Bulk Order Details'!T16="","","-"&amp;LOOKUP('Bulk Order Details'!T16,#REF!,#REF!))</f>
        <v/>
      </c>
      <c r="AK6" s="156" t="str">
        <f>IF('Bulk Order Details'!U16="","","-"&amp;LOOKUP('Bulk Order Details'!U16,#REF!,#REF!))</f>
        <v/>
      </c>
      <c r="AL6" s="156" t="str">
        <f>IF('Bulk Order Details'!V16="","","-"&amp;LOOKUP('Bulk Order Details'!V16,#REF!,#REF!))</f>
        <v/>
      </c>
      <c r="AM6" s="156" t="str">
        <f t="shared" si="2"/>
        <v/>
      </c>
      <c r="AN6" s="156" t="str">
        <f>IF('Bulk Order Details'!N16="","","Na-"&amp;'Bulk Order Details'!N16)</f>
        <v/>
      </c>
      <c r="AO6" s="156" t="str">
        <f>IF('Bulk Order Details'!Q16="","","Fo-"&amp;'Bulk Order Details'!Q16)</f>
        <v/>
      </c>
      <c r="AP6" s="156" t="str">
        <f t="shared" si="3"/>
        <v/>
      </c>
      <c r="AQ6" s="37" t="str">
        <f t="shared" si="4"/>
        <v/>
      </c>
    </row>
    <row r="7" spans="1:43" ht="13.5" customHeight="1" x14ac:dyDescent="0.2">
      <c r="B7" s="34">
        <f>'Bulk Order Details'!B17</f>
        <v>4</v>
      </c>
      <c r="C7" s="34" t="str">
        <f>IF('Bulk Order Details'!C17="","",'Bulk Order Details'!C17&amp;" "&amp;'Bulk Order Details'!D17)</f>
        <v/>
      </c>
      <c r="D7" s="31" t="str">
        <f>IF('Bulk Order Details'!M17="","",VLOOKUP(1,Price[],3))</f>
        <v/>
      </c>
      <c r="E7" s="29" t="str">
        <f>IF('Bulk Order Details'!M17="","",Summary!$D$9)</f>
        <v/>
      </c>
      <c r="F7" s="16" t="str">
        <f>IF('Bulk Order Details'!I17="","",_xlfn.XLOOKUP('Bulk Order Details'!I17,Size[Display],Size[Price]))</f>
        <v/>
      </c>
      <c r="G7" s="16" t="str">
        <f>IF('Bulk Order Details'!J17="","",_xlfn.XLOOKUP('Bulk Order Details'!J17,Length[Display],Length[Price]))</f>
        <v/>
      </c>
      <c r="H7" s="16" t="str">
        <f>IF('Bulk Order Details'!K17="","",_xlfn.XLOOKUP('Bulk Order Details'!K17,Collection[Display],Collection[Price]))</f>
        <v/>
      </c>
      <c r="I7" s="16" t="str">
        <f>IF('Bulk Order Details'!L17="","",_xlfn.XLOOKUP('Bulk Order Details'!L17,Sleeve[Display],Sleeve[Price]))</f>
        <v/>
      </c>
      <c r="J7" s="16" t="str">
        <f>IF('Bulk Order Details'!M17="","",_xlfn.XLOOKUP('Bulk Order Details'!M17,Collar[Display],Collar[Price]))</f>
        <v/>
      </c>
      <c r="K7" s="16" t="str">
        <f>IF('Bulk Order Details'!N17="","",_xlfn.XLOOKUP("Name",Name[Name],Name[Price]))</f>
        <v/>
      </c>
      <c r="L7" s="18" t="str">
        <f>IFERROR(IF('Bulk Order Details'!R17="","",IF(_xlfn.XLOOKUP('Bulk Order Details'!R17,Logos[Display],Logos[Use])="Flat",_xlfn.XLOOKUP('Bulk Order Details'!R17,Logos[Display],Logos[Flat]),ROUND(_xlfn.XLOOKUP('Bulk Order Details'!R17,Logos[Display],Logos[Pct])*$E7,2))),"")</f>
        <v/>
      </c>
      <c r="M7" s="22" t="str">
        <f>IFERROR(IF('Bulk Order Details'!S17="","",IF(_xlfn.XLOOKUP('Bulk Order Details'!S17,Chest[Display],Chest[Use])="Flat",_xlfn.XLOOKUP('Bulk Order Details'!S17,Chest[Display],Chest[Flat]),ROUND(_xlfn.XLOOKUP('Bulk Order Details'!S17,Chest[Display],Chest[Pct])*$E7,2))),"")</f>
        <v/>
      </c>
      <c r="N7" s="22" t="str">
        <f>IFERROR(IF('Bulk Order Details'!T17="","",IF(_xlfn.XLOOKUP('Bulk Order Details'!T17,Chest[Display],Chest[Use])="Flat",_xlfn.XLOOKUP('Bulk Order Details'!T17,Chest[Display],Chest[Flat]),ROUND(_xlfn.XLOOKUP('Bulk Order Details'!T17,Chest[Display],Chest[Pct])*$E7,2))),"")</f>
        <v/>
      </c>
      <c r="O7" s="22" t="str">
        <f>IFERROR(IF('Bulk Order Details'!U17="","",IF(_xlfn.XLOOKUP('Bulk Order Details'!U17,LeftSleeve[Display],LeftSleeve[Use])="Flat",_xlfn.XLOOKUP('Bulk Order Details'!U17,LeftSleeve[Display],LeftSleeve[Flat]),ROUND(_xlfn.XLOOKUP('Bulk Order Details'!U17,LeftSleeve[Display],LeftSleeve[Pct])*$E7,2))),"")</f>
        <v/>
      </c>
      <c r="P7" s="22" t="str">
        <f>IFERROR(IF('Bulk Order Details'!V17="","",IF(_xlfn.XLOOKUP('Bulk Order Details'!V17,RightSleeve[Display],RightSleeve[Use])="Flat",_xlfn.XLOOKUP('Bulk Order Details'!V17,RightSleeve[Display],RightSleeve[Flat]),ROUND(_xlfn.XLOOKUP('Bulk Order Details'!V17,RightSleeve[Display],RightSleeve[Pct])*$E7,2))),"")</f>
        <v/>
      </c>
      <c r="Q7" s="27" t="str">
        <f>IF('Bulk Order Details'!M17="","",SUM(F7:P7))</f>
        <v/>
      </c>
      <c r="R7" s="24" t="str">
        <f t="shared" si="1"/>
        <v/>
      </c>
      <c r="S7" s="23" t="str">
        <f>IFERROR(MIN(IF(Summary!$D$11="Yes",-J7,0),IF(H7&gt;0,-J7,0)),"")</f>
        <v/>
      </c>
      <c r="T7" s="16" t="str">
        <f>IFERROR(IF(Summary!$D$10="Yes",-K7,""),"")</f>
        <v/>
      </c>
      <c r="U7" s="18" t="str">
        <f>IFERROR(IF(Summary!$D$12="Yes",-L7,""),"")</f>
        <v/>
      </c>
      <c r="V7" s="25" t="str">
        <f>IF('Bulk Order Details'!M17="","",SUM(R7:U7))</f>
        <v/>
      </c>
      <c r="W7" s="36" t="str">
        <f>IF('Bulk Order Details'!M17="","",D7+Q7)</f>
        <v/>
      </c>
      <c r="X7" s="37" t="str">
        <f>IF('Bulk Order Details'!M17="","",D7+Q7+V7)</f>
        <v/>
      </c>
      <c r="Y7" s="168" t="str">
        <f t="shared" si="0"/>
        <v/>
      </c>
      <c r="Z7" s="173" t="str">
        <f>IF('Bulk Order Details'!M17="","",MAX(1,'Bulk Order Details'!G17))</f>
        <v/>
      </c>
      <c r="AA7" s="196" t="str">
        <f>IF(Pricing_Details[[#This Row],[Quantity]]="","",Pricing_Details[[#This Row],[Retail Price]]*Pricing_Details[[#This Row],[Quantity]])</f>
        <v/>
      </c>
      <c r="AB7" s="196" t="str">
        <f>IF(Pricing_Details[[#This Row],[Quantity]]="","",Pricing_Details[[#This Row],[Total Discount]]*Pricing_Details[[#This Row],[Quantity]])</f>
        <v/>
      </c>
      <c r="AC7" s="176" t="str">
        <f>IFERROR(ROUND(Pricing_Details[[#This Row],[Actual Price]]*Pricing_Details[[#This Row],[Quantity]],2),"")</f>
        <v/>
      </c>
      <c r="AE7" s="156" t="str">
        <f>IF('Bulk Order Details'!M17="","",VLOOKUP('Bulk Order Details'!K17,Collection[],3)&amp;VLOOKUP('Bulk Order Details'!M17,Collar[],4)&amp;VLOOKUP('Bulk Order Details'!L17,Sleeve[],4))</f>
        <v/>
      </c>
      <c r="AF7" s="156" t="str">
        <f>IF('Bulk Order Details'!M17="","",LOOKUP('Bulk Order Details'!H17,Cut[Display],Cut[Code])&amp;LOOKUP('Bulk Order Details'!I17,#REF!,#REF!)&amp;IF('Bulk Order Details'!J17="","",LOOKUP('Bulk Order Details'!J17,Length[Display],Length[Code])))</f>
        <v/>
      </c>
      <c r="AG7" s="156" t="str">
        <f>IF('Bulk Order Details'!M17="","",IF('Bulk Order Details'!F17="","",'Bulk Order Details'!F17))</f>
        <v/>
      </c>
      <c r="AH7" s="156" t="str">
        <f>IF('Bulk Order Details'!R17="","","-"&amp;LOOKUP('Bulk Order Details'!R17,#REF!,#REF!))</f>
        <v/>
      </c>
      <c r="AI7" s="156" t="str">
        <f>IF('Bulk Order Details'!S17="","","-"&amp;LOOKUP('Bulk Order Details'!S17,#REF!,#REF!))</f>
        <v/>
      </c>
      <c r="AJ7" s="156" t="str">
        <f>IF('Bulk Order Details'!T17="","","-"&amp;LOOKUP('Bulk Order Details'!T17,#REF!,#REF!))</f>
        <v/>
      </c>
      <c r="AK7" s="156" t="str">
        <f>IF('Bulk Order Details'!U17="","","-"&amp;LOOKUP('Bulk Order Details'!U17,#REF!,#REF!))</f>
        <v/>
      </c>
      <c r="AL7" s="156" t="str">
        <f>IF('Bulk Order Details'!V17="","","-"&amp;LOOKUP('Bulk Order Details'!V17,#REF!,#REF!))</f>
        <v/>
      </c>
      <c r="AM7" s="156" t="str">
        <f t="shared" si="2"/>
        <v/>
      </c>
      <c r="AN7" s="156" t="str">
        <f>IF('Bulk Order Details'!N17="","","Na-"&amp;'Bulk Order Details'!N17)</f>
        <v/>
      </c>
      <c r="AO7" s="156" t="str">
        <f>IF('Bulk Order Details'!Q17="","","Fo-"&amp;'Bulk Order Details'!Q17)</f>
        <v/>
      </c>
      <c r="AP7" s="156" t="str">
        <f t="shared" si="3"/>
        <v/>
      </c>
      <c r="AQ7" s="37" t="str">
        <f t="shared" si="4"/>
        <v/>
      </c>
    </row>
    <row r="8" spans="1:43" ht="13.5" customHeight="1" x14ac:dyDescent="0.2">
      <c r="B8" s="34">
        <f>'Bulk Order Details'!B18</f>
        <v>5</v>
      </c>
      <c r="C8" s="34" t="str">
        <f>IF('Bulk Order Details'!C18="","",'Bulk Order Details'!C18&amp;" "&amp;'Bulk Order Details'!D18)</f>
        <v/>
      </c>
      <c r="D8" s="31" t="str">
        <f>IF('Bulk Order Details'!M18="","",VLOOKUP(1,Price[],3))</f>
        <v/>
      </c>
      <c r="E8" s="29" t="str">
        <f>IF('Bulk Order Details'!M18="","",Summary!$D$9)</f>
        <v/>
      </c>
      <c r="F8" s="16" t="str">
        <f>IF('Bulk Order Details'!I18="","",_xlfn.XLOOKUP('Bulk Order Details'!I18,Size[Display],Size[Price]))</f>
        <v/>
      </c>
      <c r="G8" s="16" t="str">
        <f>IF('Bulk Order Details'!J18="","",_xlfn.XLOOKUP('Bulk Order Details'!J18,Length[Display],Length[Price]))</f>
        <v/>
      </c>
      <c r="H8" s="16" t="str">
        <f>IF('Bulk Order Details'!K18="","",_xlfn.XLOOKUP('Bulk Order Details'!K18,Collection[Display],Collection[Price]))</f>
        <v/>
      </c>
      <c r="I8" s="16" t="str">
        <f>IF('Bulk Order Details'!L18="","",_xlfn.XLOOKUP('Bulk Order Details'!L18,Sleeve[Display],Sleeve[Price]))</f>
        <v/>
      </c>
      <c r="J8" s="16" t="str">
        <f>IF('Bulk Order Details'!M18="","",_xlfn.XLOOKUP('Bulk Order Details'!M18,Collar[Display],Collar[Price]))</f>
        <v/>
      </c>
      <c r="K8" s="16" t="str">
        <f>IF('Bulk Order Details'!N18="","",_xlfn.XLOOKUP("Name",Name[Name],Name[Price]))</f>
        <v/>
      </c>
      <c r="L8" s="18" t="str">
        <f>IFERROR(IF('Bulk Order Details'!R18="","",IF(_xlfn.XLOOKUP('Bulk Order Details'!R18,Logos[Display],Logos[Use])="Flat",_xlfn.XLOOKUP('Bulk Order Details'!R18,Logos[Display],Logos[Flat]),ROUND(_xlfn.XLOOKUP('Bulk Order Details'!R18,Logos[Display],Logos[Pct])*$E8,2))),"")</f>
        <v/>
      </c>
      <c r="M8" s="22" t="str">
        <f>IFERROR(IF('Bulk Order Details'!S18="","",IF(_xlfn.XLOOKUP('Bulk Order Details'!S18,Chest[Display],Chest[Use])="Flat",_xlfn.XLOOKUP('Bulk Order Details'!S18,Chest[Display],Chest[Flat]),ROUND(_xlfn.XLOOKUP('Bulk Order Details'!S18,Chest[Display],Chest[Pct])*$E8,2))),"")</f>
        <v/>
      </c>
      <c r="N8" s="22" t="str">
        <f>IFERROR(IF('Bulk Order Details'!T18="","",IF(_xlfn.XLOOKUP('Bulk Order Details'!T18,Chest[Display],Chest[Use])="Flat",_xlfn.XLOOKUP('Bulk Order Details'!T18,Chest[Display],Chest[Flat]),ROUND(_xlfn.XLOOKUP('Bulk Order Details'!T18,Chest[Display],Chest[Pct])*$E8,2))),"")</f>
        <v/>
      </c>
      <c r="O8" s="22" t="str">
        <f>IFERROR(IF('Bulk Order Details'!U18="","",IF(_xlfn.XLOOKUP('Bulk Order Details'!U18,LeftSleeve[Display],LeftSleeve[Use])="Flat",_xlfn.XLOOKUP('Bulk Order Details'!U18,LeftSleeve[Display],LeftSleeve[Flat]),ROUND(_xlfn.XLOOKUP('Bulk Order Details'!U18,LeftSleeve[Display],LeftSleeve[Pct])*$E8,2))),"")</f>
        <v/>
      </c>
      <c r="P8" s="22" t="str">
        <f>IFERROR(IF('Bulk Order Details'!V18="","",IF(_xlfn.XLOOKUP('Bulk Order Details'!V18,RightSleeve[Display],RightSleeve[Use])="Flat",_xlfn.XLOOKUP('Bulk Order Details'!V18,RightSleeve[Display],RightSleeve[Flat]),ROUND(_xlfn.XLOOKUP('Bulk Order Details'!V18,RightSleeve[Display],RightSleeve[Pct])*$E8,2))),"")</f>
        <v/>
      </c>
      <c r="Q8" s="27" t="str">
        <f>IF('Bulk Order Details'!M18="","",SUM(F8:P8))</f>
        <v/>
      </c>
      <c r="R8" s="24" t="str">
        <f t="shared" si="1"/>
        <v/>
      </c>
      <c r="S8" s="23" t="str">
        <f>IFERROR(MIN(IF(Summary!$D$11="Yes",-J8,0),IF(H8&gt;0,-J8,0)),"")</f>
        <v/>
      </c>
      <c r="T8" s="16" t="str">
        <f>IFERROR(IF(Summary!$D$10="Yes",-K8,""),"")</f>
        <v/>
      </c>
      <c r="U8" s="18" t="str">
        <f>IFERROR(IF(Summary!$D$12="Yes",-L8,""),"")</f>
        <v/>
      </c>
      <c r="V8" s="25" t="str">
        <f>IF('Bulk Order Details'!M18="","",SUM(R8:U8))</f>
        <v/>
      </c>
      <c r="W8" s="36" t="str">
        <f>IF('Bulk Order Details'!M18="","",D8+Q8)</f>
        <v/>
      </c>
      <c r="X8" s="37" t="str">
        <f>IF('Bulk Order Details'!M18="","",D8+Q8+V8)</f>
        <v/>
      </c>
      <c r="Y8" s="168" t="str">
        <f t="shared" si="0"/>
        <v/>
      </c>
      <c r="Z8" s="173" t="str">
        <f>IF('Bulk Order Details'!M18="","",MAX(1,'Bulk Order Details'!G18))</f>
        <v/>
      </c>
      <c r="AA8" s="196" t="str">
        <f>IF(Pricing_Details[[#This Row],[Quantity]]="","",Pricing_Details[[#This Row],[Retail Price]]*Pricing_Details[[#This Row],[Quantity]])</f>
        <v/>
      </c>
      <c r="AB8" s="196" t="str">
        <f>IF(Pricing_Details[[#This Row],[Quantity]]="","",Pricing_Details[[#This Row],[Total Discount]]*Pricing_Details[[#This Row],[Quantity]])</f>
        <v/>
      </c>
      <c r="AC8" s="176" t="str">
        <f>IFERROR(ROUND(Pricing_Details[[#This Row],[Actual Price]]*Pricing_Details[[#This Row],[Quantity]],2),"")</f>
        <v/>
      </c>
      <c r="AE8" s="156" t="str">
        <f>IF('Bulk Order Details'!M18="","",VLOOKUP('Bulk Order Details'!K18,Collection[],3)&amp;VLOOKUP('Bulk Order Details'!M18,Collar[],4)&amp;VLOOKUP('Bulk Order Details'!L18,Sleeve[],4))</f>
        <v/>
      </c>
      <c r="AF8" s="156" t="str">
        <f>IF('Bulk Order Details'!M18="","",LOOKUP('Bulk Order Details'!H18,Cut[Display],Cut[Code])&amp;LOOKUP('Bulk Order Details'!I18,#REF!,#REF!)&amp;IF('Bulk Order Details'!J18="","",LOOKUP('Bulk Order Details'!J18,Length[Display],Length[Code])))</f>
        <v/>
      </c>
      <c r="AG8" s="156" t="str">
        <f>IF('Bulk Order Details'!M18="","",IF('Bulk Order Details'!F18="","",'Bulk Order Details'!F18))</f>
        <v/>
      </c>
      <c r="AH8" s="156" t="str">
        <f>IF('Bulk Order Details'!R18="","","-"&amp;LOOKUP('Bulk Order Details'!R18,#REF!,#REF!))</f>
        <v/>
      </c>
      <c r="AI8" s="156" t="str">
        <f>IF('Bulk Order Details'!S18="","","-"&amp;LOOKUP('Bulk Order Details'!S18,#REF!,#REF!))</f>
        <v/>
      </c>
      <c r="AJ8" s="156" t="str">
        <f>IF('Bulk Order Details'!T18="","","-"&amp;LOOKUP('Bulk Order Details'!T18,#REF!,#REF!))</f>
        <v/>
      </c>
      <c r="AK8" s="156" t="str">
        <f>IF('Bulk Order Details'!U18="","","-"&amp;LOOKUP('Bulk Order Details'!U18,#REF!,#REF!))</f>
        <v/>
      </c>
      <c r="AL8" s="156" t="str">
        <f>IF('Bulk Order Details'!V18="","","-"&amp;LOOKUP('Bulk Order Details'!V18,#REF!,#REF!))</f>
        <v/>
      </c>
      <c r="AM8" s="156" t="str">
        <f t="shared" si="2"/>
        <v/>
      </c>
      <c r="AN8" s="156" t="str">
        <f>IF('Bulk Order Details'!N18="","","Na-"&amp;'Bulk Order Details'!N18)</f>
        <v/>
      </c>
      <c r="AO8" s="156" t="str">
        <f>IF('Bulk Order Details'!Q18="","","Fo-"&amp;'Bulk Order Details'!Q18)</f>
        <v/>
      </c>
      <c r="AP8" s="156" t="str">
        <f t="shared" si="3"/>
        <v/>
      </c>
      <c r="AQ8" s="37" t="str">
        <f t="shared" si="4"/>
        <v/>
      </c>
    </row>
    <row r="9" spans="1:43" ht="13.5" customHeight="1" x14ac:dyDescent="0.2">
      <c r="B9" s="34">
        <f>'Bulk Order Details'!B19</f>
        <v>6</v>
      </c>
      <c r="C9" s="34" t="str">
        <f>IF('Bulk Order Details'!C19="","",'Bulk Order Details'!C19&amp;" "&amp;'Bulk Order Details'!D19)</f>
        <v/>
      </c>
      <c r="D9" s="31" t="str">
        <f>IF('Bulk Order Details'!M19="","",VLOOKUP(1,Price[],3))</f>
        <v/>
      </c>
      <c r="E9" s="29" t="str">
        <f>IF('Bulk Order Details'!M19="","",Summary!$D$9)</f>
        <v/>
      </c>
      <c r="F9" s="16" t="str">
        <f>IF('Bulk Order Details'!I19="","",_xlfn.XLOOKUP('Bulk Order Details'!I19,Size[Display],Size[Price]))</f>
        <v/>
      </c>
      <c r="G9" s="16" t="str">
        <f>IF('Bulk Order Details'!J19="","",_xlfn.XLOOKUP('Bulk Order Details'!J19,Length[Display],Length[Price]))</f>
        <v/>
      </c>
      <c r="H9" s="16" t="str">
        <f>IF('Bulk Order Details'!K19="","",_xlfn.XLOOKUP('Bulk Order Details'!K19,Collection[Display],Collection[Price]))</f>
        <v/>
      </c>
      <c r="I9" s="16" t="str">
        <f>IF('Bulk Order Details'!L19="","",_xlfn.XLOOKUP('Bulk Order Details'!L19,Sleeve[Display],Sleeve[Price]))</f>
        <v/>
      </c>
      <c r="J9" s="16" t="str">
        <f>IF('Bulk Order Details'!M19="","",_xlfn.XLOOKUP('Bulk Order Details'!M19,Collar[Display],Collar[Price]))</f>
        <v/>
      </c>
      <c r="K9" s="16" t="str">
        <f>IF('Bulk Order Details'!N19="","",_xlfn.XLOOKUP("Name",Name[Name],Name[Price]))</f>
        <v/>
      </c>
      <c r="L9" s="18" t="str">
        <f>IFERROR(IF('Bulk Order Details'!R19="","",IF(_xlfn.XLOOKUP('Bulk Order Details'!R19,Logos[Display],Logos[Use])="Flat",_xlfn.XLOOKUP('Bulk Order Details'!R19,Logos[Display],Logos[Flat]),ROUND(_xlfn.XLOOKUP('Bulk Order Details'!R19,Logos[Display],Logos[Pct])*$E9,2))),"")</f>
        <v/>
      </c>
      <c r="M9" s="22" t="str">
        <f>IFERROR(IF('Bulk Order Details'!S19="","",IF(_xlfn.XLOOKUP('Bulk Order Details'!S19,Chest[Display],Chest[Use])="Flat",_xlfn.XLOOKUP('Bulk Order Details'!S19,Chest[Display],Chest[Flat]),ROUND(_xlfn.XLOOKUP('Bulk Order Details'!S19,Chest[Display],Chest[Pct])*$E9,2))),"")</f>
        <v/>
      </c>
      <c r="N9" s="22" t="str">
        <f>IFERROR(IF('Bulk Order Details'!T19="","",IF(_xlfn.XLOOKUP('Bulk Order Details'!T19,Chest[Display],Chest[Use])="Flat",_xlfn.XLOOKUP('Bulk Order Details'!T19,Chest[Display],Chest[Flat]),ROUND(_xlfn.XLOOKUP('Bulk Order Details'!T19,Chest[Display],Chest[Pct])*$E9,2))),"")</f>
        <v/>
      </c>
      <c r="O9" s="22" t="str">
        <f>IFERROR(IF('Bulk Order Details'!U19="","",IF(_xlfn.XLOOKUP('Bulk Order Details'!U19,LeftSleeve[Display],LeftSleeve[Use])="Flat",_xlfn.XLOOKUP('Bulk Order Details'!U19,LeftSleeve[Display],LeftSleeve[Flat]),ROUND(_xlfn.XLOOKUP('Bulk Order Details'!U19,LeftSleeve[Display],LeftSleeve[Pct])*$E9,2))),"")</f>
        <v/>
      </c>
      <c r="P9" s="22" t="str">
        <f>IFERROR(IF('Bulk Order Details'!V19="","",IF(_xlfn.XLOOKUP('Bulk Order Details'!V19,RightSleeve[Display],RightSleeve[Use])="Flat",_xlfn.XLOOKUP('Bulk Order Details'!V19,RightSleeve[Display],RightSleeve[Flat]),ROUND(_xlfn.XLOOKUP('Bulk Order Details'!V19,RightSleeve[Display],RightSleeve[Pct])*$E9,2))),"")</f>
        <v/>
      </c>
      <c r="Q9" s="27" t="str">
        <f>IF('Bulk Order Details'!M19="","",SUM(F9:P9))</f>
        <v/>
      </c>
      <c r="R9" s="24" t="str">
        <f t="shared" si="1"/>
        <v/>
      </c>
      <c r="S9" s="23" t="str">
        <f>IFERROR(MIN(IF(Summary!$D$11="Yes",-J9,0),IF(H9&gt;0,-J9,0)),"")</f>
        <v/>
      </c>
      <c r="T9" s="16" t="str">
        <f>IFERROR(IF(Summary!$D$10="Yes",-K9,""),"")</f>
        <v/>
      </c>
      <c r="U9" s="18" t="str">
        <f>IFERROR(IF(Summary!$D$12="Yes",-L9,""),"")</f>
        <v/>
      </c>
      <c r="V9" s="25" t="str">
        <f>IF('Bulk Order Details'!M19="","",SUM(R9:U9))</f>
        <v/>
      </c>
      <c r="W9" s="36" t="str">
        <f>IF('Bulk Order Details'!M19="","",D9+Q9)</f>
        <v/>
      </c>
      <c r="X9" s="37" t="str">
        <f>IF('Bulk Order Details'!M19="","",D9+Q9+V9)</f>
        <v/>
      </c>
      <c r="Y9" s="168" t="str">
        <f t="shared" si="0"/>
        <v/>
      </c>
      <c r="Z9" s="173" t="str">
        <f>IF('Bulk Order Details'!M19="","",MAX(1,'Bulk Order Details'!G19))</f>
        <v/>
      </c>
      <c r="AA9" s="196" t="str">
        <f>IF(Pricing_Details[[#This Row],[Quantity]]="","",Pricing_Details[[#This Row],[Retail Price]]*Pricing_Details[[#This Row],[Quantity]])</f>
        <v/>
      </c>
      <c r="AB9" s="196" t="str">
        <f>IF(Pricing_Details[[#This Row],[Quantity]]="","",Pricing_Details[[#This Row],[Total Discount]]*Pricing_Details[[#This Row],[Quantity]])</f>
        <v/>
      </c>
      <c r="AC9" s="176" t="str">
        <f>IFERROR(ROUND(Pricing_Details[[#This Row],[Actual Price]]*Pricing_Details[[#This Row],[Quantity]],2),"")</f>
        <v/>
      </c>
      <c r="AE9" s="156" t="str">
        <f>IF('Bulk Order Details'!M19="","",VLOOKUP('Bulk Order Details'!K19,Collection[],3)&amp;VLOOKUP('Bulk Order Details'!M19,Collar[],4)&amp;VLOOKUP('Bulk Order Details'!L19,Sleeve[],4))</f>
        <v/>
      </c>
      <c r="AF9" s="156" t="str">
        <f>IF('Bulk Order Details'!M19="","",LOOKUP('Bulk Order Details'!H19,Cut[Display],Cut[Code])&amp;LOOKUP('Bulk Order Details'!I19,#REF!,#REF!)&amp;IF('Bulk Order Details'!J19="","",LOOKUP('Bulk Order Details'!J19,Length[Display],Length[Code])))</f>
        <v/>
      </c>
      <c r="AG9" s="156" t="str">
        <f>IF('Bulk Order Details'!M19="","",IF('Bulk Order Details'!F19="","",'Bulk Order Details'!F19))</f>
        <v/>
      </c>
      <c r="AH9" s="156" t="str">
        <f>IF('Bulk Order Details'!R19="","","-"&amp;LOOKUP('Bulk Order Details'!R19,#REF!,#REF!))</f>
        <v/>
      </c>
      <c r="AI9" s="156" t="str">
        <f>IF('Bulk Order Details'!S19="","","-"&amp;LOOKUP('Bulk Order Details'!S19,#REF!,#REF!))</f>
        <v/>
      </c>
      <c r="AJ9" s="156" t="str">
        <f>IF('Bulk Order Details'!T19="","","-"&amp;LOOKUP('Bulk Order Details'!T19,#REF!,#REF!))</f>
        <v/>
      </c>
      <c r="AK9" s="156" t="str">
        <f>IF('Bulk Order Details'!U19="","","-"&amp;LOOKUP('Bulk Order Details'!U19,#REF!,#REF!))</f>
        <v/>
      </c>
      <c r="AL9" s="156" t="str">
        <f>IF('Bulk Order Details'!V19="","","-"&amp;LOOKUP('Bulk Order Details'!V19,#REF!,#REF!))</f>
        <v/>
      </c>
      <c r="AM9" s="156" t="str">
        <f t="shared" si="2"/>
        <v/>
      </c>
      <c r="AN9" s="156" t="str">
        <f>IF('Bulk Order Details'!N19="","","Na-"&amp;'Bulk Order Details'!N19)</f>
        <v/>
      </c>
      <c r="AO9" s="156" t="str">
        <f>IF('Bulk Order Details'!Q19="","","Fo-"&amp;'Bulk Order Details'!Q19)</f>
        <v/>
      </c>
      <c r="AP9" s="156" t="str">
        <f t="shared" si="3"/>
        <v/>
      </c>
      <c r="AQ9" s="37" t="str">
        <f t="shared" si="4"/>
        <v/>
      </c>
    </row>
    <row r="10" spans="1:43" ht="13.5" customHeight="1" x14ac:dyDescent="0.2">
      <c r="B10" s="34">
        <f>'Bulk Order Details'!B20</f>
        <v>7</v>
      </c>
      <c r="C10" s="34" t="str">
        <f>IF('Bulk Order Details'!C20="","",'Bulk Order Details'!C20&amp;" "&amp;'Bulk Order Details'!D20)</f>
        <v/>
      </c>
      <c r="D10" s="31" t="str">
        <f>IF('Bulk Order Details'!M20="","",VLOOKUP(1,Price[],3))</f>
        <v/>
      </c>
      <c r="E10" s="29" t="str">
        <f>IF('Bulk Order Details'!M20="","",Summary!$D$9)</f>
        <v/>
      </c>
      <c r="F10" s="16" t="str">
        <f>IF('Bulk Order Details'!I20="","",_xlfn.XLOOKUP('Bulk Order Details'!I20,Size[Display],Size[Price]))</f>
        <v/>
      </c>
      <c r="G10" s="16" t="str">
        <f>IF('Bulk Order Details'!J20="","",_xlfn.XLOOKUP('Bulk Order Details'!J20,Length[Display],Length[Price]))</f>
        <v/>
      </c>
      <c r="H10" s="16" t="str">
        <f>IF('Bulk Order Details'!K20="","",_xlfn.XLOOKUP('Bulk Order Details'!K20,Collection[Display],Collection[Price]))</f>
        <v/>
      </c>
      <c r="I10" s="16" t="str">
        <f>IF('Bulk Order Details'!L20="","",_xlfn.XLOOKUP('Bulk Order Details'!L20,Sleeve[Display],Sleeve[Price]))</f>
        <v/>
      </c>
      <c r="J10" s="16" t="str">
        <f>IF('Bulk Order Details'!M20="","",_xlfn.XLOOKUP('Bulk Order Details'!M20,Collar[Display],Collar[Price]))</f>
        <v/>
      </c>
      <c r="K10" s="16" t="str">
        <f>IF('Bulk Order Details'!N20="","",_xlfn.XLOOKUP("Name",Name[Name],Name[Price]))</f>
        <v/>
      </c>
      <c r="L10" s="18" t="str">
        <f>IFERROR(IF('Bulk Order Details'!R20="","",IF(_xlfn.XLOOKUP('Bulk Order Details'!R20,Logos[Display],Logos[Use])="Flat",_xlfn.XLOOKUP('Bulk Order Details'!R20,Logos[Display],Logos[Flat]),ROUND(_xlfn.XLOOKUP('Bulk Order Details'!R20,Logos[Display],Logos[Pct])*$E10,2))),"")</f>
        <v/>
      </c>
      <c r="M10" s="22" t="str">
        <f>IFERROR(IF('Bulk Order Details'!S20="","",IF(_xlfn.XLOOKUP('Bulk Order Details'!S20,Chest[Display],Chest[Use])="Flat",_xlfn.XLOOKUP('Bulk Order Details'!S20,Chest[Display],Chest[Flat]),ROUND(_xlfn.XLOOKUP('Bulk Order Details'!S20,Chest[Display],Chest[Pct])*$E10,2))),"")</f>
        <v/>
      </c>
      <c r="N10" s="22" t="str">
        <f>IFERROR(IF('Bulk Order Details'!T20="","",IF(_xlfn.XLOOKUP('Bulk Order Details'!T20,Chest[Display],Chest[Use])="Flat",_xlfn.XLOOKUP('Bulk Order Details'!T20,Chest[Display],Chest[Flat]),ROUND(_xlfn.XLOOKUP('Bulk Order Details'!T20,Chest[Display],Chest[Pct])*$E10,2))),"")</f>
        <v/>
      </c>
      <c r="O10" s="22" t="str">
        <f>IFERROR(IF('Bulk Order Details'!U20="","",IF(_xlfn.XLOOKUP('Bulk Order Details'!U20,LeftSleeve[Display],LeftSleeve[Use])="Flat",_xlfn.XLOOKUP('Bulk Order Details'!U20,LeftSleeve[Display],LeftSleeve[Flat]),ROUND(_xlfn.XLOOKUP('Bulk Order Details'!U20,LeftSleeve[Display],LeftSleeve[Pct])*$E10,2))),"")</f>
        <v/>
      </c>
      <c r="P10" s="22" t="str">
        <f>IFERROR(IF('Bulk Order Details'!V20="","",IF(_xlfn.XLOOKUP('Bulk Order Details'!V20,RightSleeve[Display],RightSleeve[Use])="Flat",_xlfn.XLOOKUP('Bulk Order Details'!V20,RightSleeve[Display],RightSleeve[Flat]),ROUND(_xlfn.XLOOKUP('Bulk Order Details'!V20,RightSleeve[Display],RightSleeve[Pct])*$E10,2))),"")</f>
        <v/>
      </c>
      <c r="Q10" s="27" t="str">
        <f>IF('Bulk Order Details'!M20="","",SUM(F10:P10))</f>
        <v/>
      </c>
      <c r="R10" s="24" t="str">
        <f t="shared" si="1"/>
        <v/>
      </c>
      <c r="S10" s="23" t="str">
        <f>IFERROR(MIN(IF(Summary!$D$11="Yes",-J10,0),IF(H10&gt;0,-J10,0)),"")</f>
        <v/>
      </c>
      <c r="T10" s="16" t="str">
        <f>IFERROR(IF(Summary!$D$10="Yes",-K10,""),"")</f>
        <v/>
      </c>
      <c r="U10" s="18" t="str">
        <f>IFERROR(IF(Summary!$D$12="Yes",-L10,""),"")</f>
        <v/>
      </c>
      <c r="V10" s="25" t="str">
        <f>IF('Bulk Order Details'!M20="","",SUM(R10:U10))</f>
        <v/>
      </c>
      <c r="W10" s="36" t="str">
        <f>IF('Bulk Order Details'!M20="","",D10+Q10)</f>
        <v/>
      </c>
      <c r="X10" s="37" t="str">
        <f>IF('Bulk Order Details'!M20="","",D10+Q10+V10)</f>
        <v/>
      </c>
      <c r="Y10" s="168" t="str">
        <f t="shared" si="0"/>
        <v/>
      </c>
      <c r="Z10" s="173" t="str">
        <f>IF('Bulk Order Details'!M20="","",MAX(1,'Bulk Order Details'!G20))</f>
        <v/>
      </c>
      <c r="AA10" s="196" t="str">
        <f>IF(Pricing_Details[[#This Row],[Quantity]]="","",Pricing_Details[[#This Row],[Retail Price]]*Pricing_Details[[#This Row],[Quantity]])</f>
        <v/>
      </c>
      <c r="AB10" s="196" t="str">
        <f>IF(Pricing_Details[[#This Row],[Quantity]]="","",Pricing_Details[[#This Row],[Total Discount]]*Pricing_Details[[#This Row],[Quantity]])</f>
        <v/>
      </c>
      <c r="AC10" s="176" t="str">
        <f>IFERROR(ROUND(Pricing_Details[[#This Row],[Actual Price]]*Pricing_Details[[#This Row],[Quantity]],2),"")</f>
        <v/>
      </c>
      <c r="AE10" s="156" t="str">
        <f>IF('Bulk Order Details'!M20="","",VLOOKUP('Bulk Order Details'!K20,Collection[],3)&amp;VLOOKUP('Bulk Order Details'!M20,Collar[],4)&amp;VLOOKUP('Bulk Order Details'!L20,Sleeve[],4))</f>
        <v/>
      </c>
      <c r="AF10" s="156" t="str">
        <f>IF('Bulk Order Details'!M20="","",LOOKUP('Bulk Order Details'!H20,Cut[Display],Cut[Code])&amp;LOOKUP('Bulk Order Details'!I20,#REF!,#REF!)&amp;IF('Bulk Order Details'!J20="","",LOOKUP('Bulk Order Details'!J20,Length[Display],Length[Code])))</f>
        <v/>
      </c>
      <c r="AG10" s="156" t="str">
        <f>IF('Bulk Order Details'!M20="","",IF('Bulk Order Details'!F20="","",'Bulk Order Details'!F20))</f>
        <v/>
      </c>
      <c r="AH10" s="156" t="str">
        <f>IF('Bulk Order Details'!R20="","","-"&amp;LOOKUP('Bulk Order Details'!R20,#REF!,#REF!))</f>
        <v/>
      </c>
      <c r="AI10" s="156" t="str">
        <f>IF('Bulk Order Details'!S20="","","-"&amp;LOOKUP('Bulk Order Details'!S20,#REF!,#REF!))</f>
        <v/>
      </c>
      <c r="AJ10" s="156" t="str">
        <f>IF('Bulk Order Details'!T20="","","-"&amp;LOOKUP('Bulk Order Details'!T20,#REF!,#REF!))</f>
        <v/>
      </c>
      <c r="AK10" s="156" t="str">
        <f>IF('Bulk Order Details'!U20="","","-"&amp;LOOKUP('Bulk Order Details'!U20,#REF!,#REF!))</f>
        <v/>
      </c>
      <c r="AL10" s="156" t="str">
        <f>IF('Bulk Order Details'!V20="","","-"&amp;LOOKUP('Bulk Order Details'!V20,#REF!,#REF!))</f>
        <v/>
      </c>
      <c r="AM10" s="156" t="str">
        <f t="shared" si="2"/>
        <v/>
      </c>
      <c r="AN10" s="156" t="str">
        <f>IF('Bulk Order Details'!N20="","","Na-"&amp;'Bulk Order Details'!N20)</f>
        <v/>
      </c>
      <c r="AO10" s="156" t="str">
        <f>IF('Bulk Order Details'!Q20="","","Fo-"&amp;'Bulk Order Details'!Q20)</f>
        <v/>
      </c>
      <c r="AP10" s="156" t="str">
        <f t="shared" si="3"/>
        <v/>
      </c>
      <c r="AQ10" s="37" t="str">
        <f t="shared" si="4"/>
        <v/>
      </c>
    </row>
    <row r="11" spans="1:43" ht="13.5" customHeight="1" x14ac:dyDescent="0.2">
      <c r="B11" s="34">
        <f>'Bulk Order Details'!B21</f>
        <v>8</v>
      </c>
      <c r="C11" s="34" t="str">
        <f>IF('Bulk Order Details'!C21="","",'Bulk Order Details'!C21&amp;" "&amp;'Bulk Order Details'!D21)</f>
        <v/>
      </c>
      <c r="D11" s="31" t="str">
        <f>IF('Bulk Order Details'!M21="","",VLOOKUP(1,Price[],3))</f>
        <v/>
      </c>
      <c r="E11" s="29" t="str">
        <f>IF('Bulk Order Details'!M21="","",Summary!$D$9)</f>
        <v/>
      </c>
      <c r="F11" s="16" t="str">
        <f>IF('Bulk Order Details'!I21="","",_xlfn.XLOOKUP('Bulk Order Details'!I21,Size[Display],Size[Price]))</f>
        <v/>
      </c>
      <c r="G11" s="16" t="str">
        <f>IF('Bulk Order Details'!J21="","",_xlfn.XLOOKUP('Bulk Order Details'!J21,Length[Display],Length[Price]))</f>
        <v/>
      </c>
      <c r="H11" s="16" t="str">
        <f>IF('Bulk Order Details'!K21="","",_xlfn.XLOOKUP('Bulk Order Details'!K21,Collection[Display],Collection[Price]))</f>
        <v/>
      </c>
      <c r="I11" s="16" t="str">
        <f>IF('Bulk Order Details'!L21="","",_xlfn.XLOOKUP('Bulk Order Details'!L21,Sleeve[Display],Sleeve[Price]))</f>
        <v/>
      </c>
      <c r="J11" s="16" t="str">
        <f>IF('Bulk Order Details'!M21="","",_xlfn.XLOOKUP('Bulk Order Details'!M21,Collar[Display],Collar[Price]))</f>
        <v/>
      </c>
      <c r="K11" s="16" t="str">
        <f>IF('Bulk Order Details'!N21="","",_xlfn.XLOOKUP("Name",Name[Name],Name[Price]))</f>
        <v/>
      </c>
      <c r="L11" s="18" t="str">
        <f>IFERROR(IF('Bulk Order Details'!R21="","",IF(_xlfn.XLOOKUP('Bulk Order Details'!R21,Logos[Display],Logos[Use])="Flat",_xlfn.XLOOKUP('Bulk Order Details'!R21,Logos[Display],Logos[Flat]),ROUND(_xlfn.XLOOKUP('Bulk Order Details'!R21,Logos[Display],Logos[Pct])*$E11,2))),"")</f>
        <v/>
      </c>
      <c r="M11" s="22" t="str">
        <f>IFERROR(IF('Bulk Order Details'!S21="","",IF(_xlfn.XLOOKUP('Bulk Order Details'!S21,Chest[Display],Chest[Use])="Flat",_xlfn.XLOOKUP('Bulk Order Details'!S21,Chest[Display],Chest[Flat]),ROUND(_xlfn.XLOOKUP('Bulk Order Details'!S21,Chest[Display],Chest[Pct])*$E11,2))),"")</f>
        <v/>
      </c>
      <c r="N11" s="22" t="str">
        <f>IFERROR(IF('Bulk Order Details'!T21="","",IF(_xlfn.XLOOKUP('Bulk Order Details'!T21,Chest[Display],Chest[Use])="Flat",_xlfn.XLOOKUP('Bulk Order Details'!T21,Chest[Display],Chest[Flat]),ROUND(_xlfn.XLOOKUP('Bulk Order Details'!T21,Chest[Display],Chest[Pct])*$E11,2))),"")</f>
        <v/>
      </c>
      <c r="O11" s="22" t="str">
        <f>IFERROR(IF('Bulk Order Details'!U21="","",IF(_xlfn.XLOOKUP('Bulk Order Details'!U21,LeftSleeve[Display],LeftSleeve[Use])="Flat",_xlfn.XLOOKUP('Bulk Order Details'!U21,LeftSleeve[Display],LeftSleeve[Flat]),ROUND(_xlfn.XLOOKUP('Bulk Order Details'!U21,LeftSleeve[Display],LeftSleeve[Pct])*$E11,2))),"")</f>
        <v/>
      </c>
      <c r="P11" s="22" t="str">
        <f>IFERROR(IF('Bulk Order Details'!V21="","",IF(_xlfn.XLOOKUP('Bulk Order Details'!V21,RightSleeve[Display],RightSleeve[Use])="Flat",_xlfn.XLOOKUP('Bulk Order Details'!V21,RightSleeve[Display],RightSleeve[Flat]),ROUND(_xlfn.XLOOKUP('Bulk Order Details'!V21,RightSleeve[Display],RightSleeve[Pct])*$E11,2))),"")</f>
        <v/>
      </c>
      <c r="Q11" s="27" t="str">
        <f>IF('Bulk Order Details'!M21="","",SUM(F11:P11))</f>
        <v/>
      </c>
      <c r="R11" s="24" t="str">
        <f t="shared" si="1"/>
        <v/>
      </c>
      <c r="S11" s="23" t="str">
        <f>IFERROR(MIN(IF(Summary!$D$11="Yes",-J11,0),IF(H11&gt;0,-J11,0)),"")</f>
        <v/>
      </c>
      <c r="T11" s="16" t="str">
        <f>IFERROR(IF(Summary!$D$10="Yes",-K11,""),"")</f>
        <v/>
      </c>
      <c r="U11" s="18" t="str">
        <f>IFERROR(IF(Summary!$D$12="Yes",-L11,""),"")</f>
        <v/>
      </c>
      <c r="V11" s="25" t="str">
        <f>IF('Bulk Order Details'!M21="","",SUM(R11:U11))</f>
        <v/>
      </c>
      <c r="W11" s="36" t="str">
        <f>IF('Bulk Order Details'!M21="","",D11+Q11)</f>
        <v/>
      </c>
      <c r="X11" s="37" t="str">
        <f>IF('Bulk Order Details'!M21="","",D11+Q11+V11)</f>
        <v/>
      </c>
      <c r="Y11" s="168" t="str">
        <f t="shared" si="0"/>
        <v/>
      </c>
      <c r="Z11" s="173" t="str">
        <f>IF('Bulk Order Details'!M21="","",MAX(1,'Bulk Order Details'!G21))</f>
        <v/>
      </c>
      <c r="AA11" s="196" t="str">
        <f>IF(Pricing_Details[[#This Row],[Quantity]]="","",Pricing_Details[[#This Row],[Retail Price]]*Pricing_Details[[#This Row],[Quantity]])</f>
        <v/>
      </c>
      <c r="AB11" s="196" t="str">
        <f>IF(Pricing_Details[[#This Row],[Quantity]]="","",Pricing_Details[[#This Row],[Total Discount]]*Pricing_Details[[#This Row],[Quantity]])</f>
        <v/>
      </c>
      <c r="AC11" s="176" t="str">
        <f>IFERROR(ROUND(Pricing_Details[[#This Row],[Actual Price]]*Pricing_Details[[#This Row],[Quantity]],2),"")</f>
        <v/>
      </c>
      <c r="AE11" s="156" t="str">
        <f>IF('Bulk Order Details'!M21="","",VLOOKUP('Bulk Order Details'!K21,Collection[],3)&amp;VLOOKUP('Bulk Order Details'!M21,Collar[],4)&amp;VLOOKUP('Bulk Order Details'!L21,Sleeve[],4))</f>
        <v/>
      </c>
      <c r="AF11" s="156" t="str">
        <f>IF('Bulk Order Details'!M21="","",LOOKUP('Bulk Order Details'!H21,Cut[Display],Cut[Code])&amp;LOOKUP('Bulk Order Details'!I21,#REF!,#REF!)&amp;IF('Bulk Order Details'!J21="","",LOOKUP('Bulk Order Details'!J21,Length[Display],Length[Code])))</f>
        <v/>
      </c>
      <c r="AG11" s="156" t="str">
        <f>IF('Bulk Order Details'!M21="","",IF('Bulk Order Details'!F21="","",'Bulk Order Details'!F21))</f>
        <v/>
      </c>
      <c r="AH11" s="156" t="str">
        <f>IF('Bulk Order Details'!R21="","","-"&amp;LOOKUP('Bulk Order Details'!R21,#REF!,#REF!))</f>
        <v/>
      </c>
      <c r="AI11" s="156" t="str">
        <f>IF('Bulk Order Details'!S21="","","-"&amp;LOOKUP('Bulk Order Details'!S21,#REF!,#REF!))</f>
        <v/>
      </c>
      <c r="AJ11" s="156" t="str">
        <f>IF('Bulk Order Details'!T21="","","-"&amp;LOOKUP('Bulk Order Details'!T21,#REF!,#REF!))</f>
        <v/>
      </c>
      <c r="AK11" s="156" t="str">
        <f>IF('Bulk Order Details'!U21="","","-"&amp;LOOKUP('Bulk Order Details'!U21,#REF!,#REF!))</f>
        <v/>
      </c>
      <c r="AL11" s="156" t="str">
        <f>IF('Bulk Order Details'!V21="","","-"&amp;LOOKUP('Bulk Order Details'!V21,#REF!,#REF!))</f>
        <v/>
      </c>
      <c r="AM11" s="156" t="str">
        <f t="shared" si="2"/>
        <v/>
      </c>
      <c r="AN11" s="156" t="str">
        <f>IF('Bulk Order Details'!N21="","","Na-"&amp;'Bulk Order Details'!N21)</f>
        <v/>
      </c>
      <c r="AO11" s="156" t="str">
        <f>IF('Bulk Order Details'!Q21="","","Fo-"&amp;'Bulk Order Details'!Q21)</f>
        <v/>
      </c>
      <c r="AP11" s="156" t="str">
        <f t="shared" si="3"/>
        <v/>
      </c>
      <c r="AQ11" s="37" t="str">
        <f t="shared" si="4"/>
        <v/>
      </c>
    </row>
    <row r="12" spans="1:43" ht="13.5" customHeight="1" x14ac:dyDescent="0.2">
      <c r="B12" s="34">
        <f>'Bulk Order Details'!B22</f>
        <v>9</v>
      </c>
      <c r="C12" s="34" t="str">
        <f>IF('Bulk Order Details'!C22="","",'Bulk Order Details'!C22&amp;" "&amp;'Bulk Order Details'!D22)</f>
        <v/>
      </c>
      <c r="D12" s="31" t="str">
        <f>IF('Bulk Order Details'!M22="","",VLOOKUP(1,Price[],3))</f>
        <v/>
      </c>
      <c r="E12" s="29" t="str">
        <f>IF('Bulk Order Details'!M22="","",Summary!$D$9)</f>
        <v/>
      </c>
      <c r="F12" s="16" t="str">
        <f>IF('Bulk Order Details'!I22="","",_xlfn.XLOOKUP('Bulk Order Details'!I22,Size[Display],Size[Price]))</f>
        <v/>
      </c>
      <c r="G12" s="16" t="str">
        <f>IF('Bulk Order Details'!J22="","",_xlfn.XLOOKUP('Bulk Order Details'!J22,Length[Display],Length[Price]))</f>
        <v/>
      </c>
      <c r="H12" s="16" t="str">
        <f>IF('Bulk Order Details'!K22="","",_xlfn.XLOOKUP('Bulk Order Details'!K22,Collection[Display],Collection[Price]))</f>
        <v/>
      </c>
      <c r="I12" s="16" t="str">
        <f>IF('Bulk Order Details'!L22="","",_xlfn.XLOOKUP('Bulk Order Details'!L22,Sleeve[Display],Sleeve[Price]))</f>
        <v/>
      </c>
      <c r="J12" s="16" t="str">
        <f>IF('Bulk Order Details'!M22="","",_xlfn.XLOOKUP('Bulk Order Details'!M22,Collar[Display],Collar[Price]))</f>
        <v/>
      </c>
      <c r="K12" s="16" t="str">
        <f>IF('Bulk Order Details'!N22="","",_xlfn.XLOOKUP("Name",Name[Name],Name[Price]))</f>
        <v/>
      </c>
      <c r="L12" s="18" t="str">
        <f>IFERROR(IF('Bulk Order Details'!R22="","",IF(_xlfn.XLOOKUP('Bulk Order Details'!R22,Logos[Display],Logos[Use])="Flat",_xlfn.XLOOKUP('Bulk Order Details'!R22,Logos[Display],Logos[Flat]),ROUND(_xlfn.XLOOKUP('Bulk Order Details'!R22,Logos[Display],Logos[Pct])*$E12,2))),"")</f>
        <v/>
      </c>
      <c r="M12" s="22" t="str">
        <f>IFERROR(IF('Bulk Order Details'!S22="","",IF(_xlfn.XLOOKUP('Bulk Order Details'!S22,Chest[Display],Chest[Use])="Flat",_xlfn.XLOOKUP('Bulk Order Details'!S22,Chest[Display],Chest[Flat]),ROUND(_xlfn.XLOOKUP('Bulk Order Details'!S22,Chest[Display],Chest[Pct])*$E12,2))),"")</f>
        <v/>
      </c>
      <c r="N12" s="22" t="str">
        <f>IFERROR(IF('Bulk Order Details'!T22="","",IF(_xlfn.XLOOKUP('Bulk Order Details'!T22,Chest[Display],Chest[Use])="Flat",_xlfn.XLOOKUP('Bulk Order Details'!T22,Chest[Display],Chest[Flat]),ROUND(_xlfn.XLOOKUP('Bulk Order Details'!T22,Chest[Display],Chest[Pct])*$E12,2))),"")</f>
        <v/>
      </c>
      <c r="O12" s="22" t="str">
        <f>IFERROR(IF('Bulk Order Details'!U22="","",IF(_xlfn.XLOOKUP('Bulk Order Details'!U22,LeftSleeve[Display],LeftSleeve[Use])="Flat",_xlfn.XLOOKUP('Bulk Order Details'!U22,LeftSleeve[Display],LeftSleeve[Flat]),ROUND(_xlfn.XLOOKUP('Bulk Order Details'!U22,LeftSleeve[Display],LeftSleeve[Pct])*$E12,2))),"")</f>
        <v/>
      </c>
      <c r="P12" s="22" t="str">
        <f>IFERROR(IF('Bulk Order Details'!V22="","",IF(_xlfn.XLOOKUP('Bulk Order Details'!V22,RightSleeve[Display],RightSleeve[Use])="Flat",_xlfn.XLOOKUP('Bulk Order Details'!V22,RightSleeve[Display],RightSleeve[Flat]),ROUND(_xlfn.XLOOKUP('Bulk Order Details'!V22,RightSleeve[Display],RightSleeve[Pct])*$E12,2))),"")</f>
        <v/>
      </c>
      <c r="Q12" s="27" t="str">
        <f>IF('Bulk Order Details'!M22="","",SUM(F12:P12))</f>
        <v/>
      </c>
      <c r="R12" s="24" t="str">
        <f t="shared" si="1"/>
        <v/>
      </c>
      <c r="S12" s="23" t="str">
        <f>IFERROR(MIN(IF(Summary!$D$11="Yes",-J12,0),IF(H12&gt;0,-J12,0)),"")</f>
        <v/>
      </c>
      <c r="T12" s="16" t="str">
        <f>IFERROR(IF(Summary!$D$10="Yes",-K12,""),"")</f>
        <v/>
      </c>
      <c r="U12" s="18" t="str">
        <f>IFERROR(IF(Summary!$D$12="Yes",-L12,""),"")</f>
        <v/>
      </c>
      <c r="V12" s="25" t="str">
        <f>IF('Bulk Order Details'!M22="","",SUM(R12:U12))</f>
        <v/>
      </c>
      <c r="W12" s="36" t="str">
        <f>IF('Bulk Order Details'!M22="","",D12+Q12)</f>
        <v/>
      </c>
      <c r="X12" s="37" t="str">
        <f>IF('Bulk Order Details'!M22="","",D12+Q12+V12)</f>
        <v/>
      </c>
      <c r="Y12" s="168" t="str">
        <f t="shared" si="0"/>
        <v/>
      </c>
      <c r="Z12" s="173" t="str">
        <f>IF('Bulk Order Details'!M22="","",MAX(1,'Bulk Order Details'!G22))</f>
        <v/>
      </c>
      <c r="AA12" s="196" t="str">
        <f>IF(Pricing_Details[[#This Row],[Quantity]]="","",Pricing_Details[[#This Row],[Retail Price]]*Pricing_Details[[#This Row],[Quantity]])</f>
        <v/>
      </c>
      <c r="AB12" s="196" t="str">
        <f>IF(Pricing_Details[[#This Row],[Quantity]]="","",Pricing_Details[[#This Row],[Total Discount]]*Pricing_Details[[#This Row],[Quantity]])</f>
        <v/>
      </c>
      <c r="AC12" s="176" t="str">
        <f>IFERROR(ROUND(Pricing_Details[[#This Row],[Actual Price]]*Pricing_Details[[#This Row],[Quantity]],2),"")</f>
        <v/>
      </c>
      <c r="AE12" s="156" t="str">
        <f>IF('Bulk Order Details'!M22="","",VLOOKUP('Bulk Order Details'!K22,Collection[],3)&amp;VLOOKUP('Bulk Order Details'!M22,Collar[],4)&amp;VLOOKUP('Bulk Order Details'!L22,Sleeve[],4))</f>
        <v/>
      </c>
      <c r="AF12" s="156" t="str">
        <f>IF('Bulk Order Details'!M22="","",LOOKUP('Bulk Order Details'!H22,Cut[Display],Cut[Code])&amp;LOOKUP('Bulk Order Details'!I22,#REF!,#REF!)&amp;IF('Bulk Order Details'!J22="","",LOOKUP('Bulk Order Details'!J22,Length[Display],Length[Code])))</f>
        <v/>
      </c>
      <c r="AG12" s="156" t="str">
        <f>IF('Bulk Order Details'!M22="","",IF('Bulk Order Details'!F22="","",'Bulk Order Details'!F22))</f>
        <v/>
      </c>
      <c r="AH12" s="156" t="str">
        <f>IF('Bulk Order Details'!R22="","","-"&amp;LOOKUP('Bulk Order Details'!R22,#REF!,#REF!))</f>
        <v/>
      </c>
      <c r="AI12" s="156" t="str">
        <f>IF('Bulk Order Details'!S22="","","-"&amp;LOOKUP('Bulk Order Details'!S22,#REF!,#REF!))</f>
        <v/>
      </c>
      <c r="AJ12" s="156" t="str">
        <f>IF('Bulk Order Details'!T22="","","-"&amp;LOOKUP('Bulk Order Details'!T22,#REF!,#REF!))</f>
        <v/>
      </c>
      <c r="AK12" s="156" t="str">
        <f>IF('Bulk Order Details'!U22="","","-"&amp;LOOKUP('Bulk Order Details'!U22,#REF!,#REF!))</f>
        <v/>
      </c>
      <c r="AL12" s="156" t="str">
        <f>IF('Bulk Order Details'!V22="","","-"&amp;LOOKUP('Bulk Order Details'!V22,#REF!,#REF!))</f>
        <v/>
      </c>
      <c r="AM12" s="156" t="str">
        <f t="shared" si="2"/>
        <v/>
      </c>
      <c r="AN12" s="156" t="str">
        <f>IF('Bulk Order Details'!N22="","","Na-"&amp;'Bulk Order Details'!N22)</f>
        <v/>
      </c>
      <c r="AO12" s="156" t="str">
        <f>IF('Bulk Order Details'!Q22="","","Fo-"&amp;'Bulk Order Details'!Q22)</f>
        <v/>
      </c>
      <c r="AP12" s="156" t="str">
        <f t="shared" si="3"/>
        <v/>
      </c>
      <c r="AQ12" s="37" t="str">
        <f t="shared" si="4"/>
        <v/>
      </c>
    </row>
    <row r="13" spans="1:43" ht="13.5" customHeight="1" x14ac:dyDescent="0.2">
      <c r="B13" s="34">
        <f>'Bulk Order Details'!B23</f>
        <v>10</v>
      </c>
      <c r="C13" s="34" t="str">
        <f>IF('Bulk Order Details'!C23="","",'Bulk Order Details'!C23&amp;" "&amp;'Bulk Order Details'!D23)</f>
        <v/>
      </c>
      <c r="D13" s="31" t="str">
        <f>IF('Bulk Order Details'!M23="","",VLOOKUP(1,Price[],3))</f>
        <v/>
      </c>
      <c r="E13" s="29" t="str">
        <f>IF('Bulk Order Details'!M23="","",Summary!$D$9)</f>
        <v/>
      </c>
      <c r="F13" s="16" t="str">
        <f>IF('Bulk Order Details'!I23="","",_xlfn.XLOOKUP('Bulk Order Details'!I23,Size[Display],Size[Price]))</f>
        <v/>
      </c>
      <c r="G13" s="16" t="str">
        <f>IF('Bulk Order Details'!J23="","",_xlfn.XLOOKUP('Bulk Order Details'!J23,Length[Display],Length[Price]))</f>
        <v/>
      </c>
      <c r="H13" s="16" t="str">
        <f>IF('Bulk Order Details'!K23="","",_xlfn.XLOOKUP('Bulk Order Details'!K23,Collection[Display],Collection[Price]))</f>
        <v/>
      </c>
      <c r="I13" s="16" t="str">
        <f>IF('Bulk Order Details'!L23="","",_xlfn.XLOOKUP('Bulk Order Details'!L23,Sleeve[Display],Sleeve[Price]))</f>
        <v/>
      </c>
      <c r="J13" s="16" t="str">
        <f>IF('Bulk Order Details'!M23="","",_xlfn.XLOOKUP('Bulk Order Details'!M23,Collar[Display],Collar[Price]))</f>
        <v/>
      </c>
      <c r="K13" s="16" t="str">
        <f>IF('Bulk Order Details'!N23="","",_xlfn.XLOOKUP("Name",Name[Name],Name[Price]))</f>
        <v/>
      </c>
      <c r="L13" s="18" t="str">
        <f>IFERROR(IF('Bulk Order Details'!R23="","",IF(_xlfn.XLOOKUP('Bulk Order Details'!R23,Logos[Display],Logos[Use])="Flat",_xlfn.XLOOKUP('Bulk Order Details'!R23,Logos[Display],Logos[Flat]),ROUND(_xlfn.XLOOKUP('Bulk Order Details'!R23,Logos[Display],Logos[Pct])*$E13,2))),"")</f>
        <v/>
      </c>
      <c r="M13" s="22" t="str">
        <f>IFERROR(IF('Bulk Order Details'!S23="","",IF(_xlfn.XLOOKUP('Bulk Order Details'!S23,Chest[Display],Chest[Use])="Flat",_xlfn.XLOOKUP('Bulk Order Details'!S23,Chest[Display],Chest[Flat]),ROUND(_xlfn.XLOOKUP('Bulk Order Details'!S23,Chest[Display],Chest[Pct])*$E13,2))),"")</f>
        <v/>
      </c>
      <c r="N13" s="22" t="str">
        <f>IFERROR(IF('Bulk Order Details'!T23="","",IF(_xlfn.XLOOKUP('Bulk Order Details'!T23,Chest[Display],Chest[Use])="Flat",_xlfn.XLOOKUP('Bulk Order Details'!T23,Chest[Display],Chest[Flat]),ROUND(_xlfn.XLOOKUP('Bulk Order Details'!T23,Chest[Display],Chest[Pct])*$E13,2))),"")</f>
        <v/>
      </c>
      <c r="O13" s="22" t="str">
        <f>IFERROR(IF('Bulk Order Details'!U23="","",IF(_xlfn.XLOOKUP('Bulk Order Details'!U23,LeftSleeve[Display],LeftSleeve[Use])="Flat",_xlfn.XLOOKUP('Bulk Order Details'!U23,LeftSleeve[Display],LeftSleeve[Flat]),ROUND(_xlfn.XLOOKUP('Bulk Order Details'!U23,LeftSleeve[Display],LeftSleeve[Pct])*$E13,2))),"")</f>
        <v/>
      </c>
      <c r="P13" s="22" t="str">
        <f>IFERROR(IF('Bulk Order Details'!V23="","",IF(_xlfn.XLOOKUP('Bulk Order Details'!V23,RightSleeve[Display],RightSleeve[Use])="Flat",_xlfn.XLOOKUP('Bulk Order Details'!V23,RightSleeve[Display],RightSleeve[Flat]),ROUND(_xlfn.XLOOKUP('Bulk Order Details'!V23,RightSleeve[Display],RightSleeve[Pct])*$E13,2))),"")</f>
        <v/>
      </c>
      <c r="Q13" s="27" t="str">
        <f>IF('Bulk Order Details'!M23="","",SUM(F13:P13))</f>
        <v/>
      </c>
      <c r="R13" s="24" t="str">
        <f t="shared" si="1"/>
        <v/>
      </c>
      <c r="S13" s="23" t="str">
        <f>IFERROR(MIN(IF(Summary!$D$11="Yes",-J13,0),IF(H13&gt;0,-J13,0)),"")</f>
        <v/>
      </c>
      <c r="T13" s="16" t="str">
        <f>IFERROR(IF(Summary!$D$10="Yes",-K13,""),"")</f>
        <v/>
      </c>
      <c r="U13" s="18" t="str">
        <f>IFERROR(IF(Summary!$D$12="Yes",-L13,""),"")</f>
        <v/>
      </c>
      <c r="V13" s="25" t="str">
        <f>IF('Bulk Order Details'!M23="","",SUM(R13:U13))</f>
        <v/>
      </c>
      <c r="W13" s="36" t="str">
        <f>IF('Bulk Order Details'!M23="","",D13+Q13)</f>
        <v/>
      </c>
      <c r="X13" s="37" t="str">
        <f>IF('Bulk Order Details'!M23="","",D13+Q13+V13)</f>
        <v/>
      </c>
      <c r="Y13" s="168" t="str">
        <f t="shared" si="0"/>
        <v/>
      </c>
      <c r="Z13" s="173" t="str">
        <f>IF('Bulk Order Details'!M23="","",MAX(1,'Bulk Order Details'!G23))</f>
        <v/>
      </c>
      <c r="AA13" s="196" t="str">
        <f>IF(Pricing_Details[[#This Row],[Quantity]]="","",Pricing_Details[[#This Row],[Retail Price]]*Pricing_Details[[#This Row],[Quantity]])</f>
        <v/>
      </c>
      <c r="AB13" s="196" t="str">
        <f>IF(Pricing_Details[[#This Row],[Quantity]]="","",Pricing_Details[[#This Row],[Total Discount]]*Pricing_Details[[#This Row],[Quantity]])</f>
        <v/>
      </c>
      <c r="AC13" s="176" t="str">
        <f>IFERROR(ROUND(Pricing_Details[[#This Row],[Actual Price]]*Pricing_Details[[#This Row],[Quantity]],2),"")</f>
        <v/>
      </c>
      <c r="AE13" s="156" t="str">
        <f>IF('Bulk Order Details'!M23="","",VLOOKUP('Bulk Order Details'!K23,Collection[],3)&amp;VLOOKUP('Bulk Order Details'!M23,Collar[],4)&amp;VLOOKUP('Bulk Order Details'!L23,Sleeve[],4))</f>
        <v/>
      </c>
      <c r="AF13" s="156" t="str">
        <f>IF('Bulk Order Details'!M23="","",LOOKUP('Bulk Order Details'!H23,Cut[Display],Cut[Code])&amp;LOOKUP('Bulk Order Details'!I23,#REF!,#REF!)&amp;IF('Bulk Order Details'!J23="","",LOOKUP('Bulk Order Details'!J23,Length[Display],Length[Code])))</f>
        <v/>
      </c>
      <c r="AG13" s="156" t="str">
        <f>IF('Bulk Order Details'!M23="","",IF('Bulk Order Details'!F23="","",'Bulk Order Details'!F23))</f>
        <v/>
      </c>
      <c r="AH13" s="156" t="str">
        <f>IF('Bulk Order Details'!R23="","","-"&amp;LOOKUP('Bulk Order Details'!R23,#REF!,#REF!))</f>
        <v/>
      </c>
      <c r="AI13" s="156" t="str">
        <f>IF('Bulk Order Details'!S23="","","-"&amp;LOOKUP('Bulk Order Details'!S23,#REF!,#REF!))</f>
        <v/>
      </c>
      <c r="AJ13" s="156" t="str">
        <f>IF('Bulk Order Details'!T23="","","-"&amp;LOOKUP('Bulk Order Details'!T23,#REF!,#REF!))</f>
        <v/>
      </c>
      <c r="AK13" s="156" t="str">
        <f>IF('Bulk Order Details'!U23="","","-"&amp;LOOKUP('Bulk Order Details'!U23,#REF!,#REF!))</f>
        <v/>
      </c>
      <c r="AL13" s="156" t="str">
        <f>IF('Bulk Order Details'!V23="","","-"&amp;LOOKUP('Bulk Order Details'!V23,#REF!,#REF!))</f>
        <v/>
      </c>
      <c r="AM13" s="156" t="str">
        <f t="shared" si="2"/>
        <v/>
      </c>
      <c r="AN13" s="156" t="str">
        <f>IF('Bulk Order Details'!N23="","","Na-"&amp;'Bulk Order Details'!N23)</f>
        <v/>
      </c>
      <c r="AO13" s="156" t="str">
        <f>IF('Bulk Order Details'!Q23="","","Fo-"&amp;'Bulk Order Details'!Q23)</f>
        <v/>
      </c>
      <c r="AP13" s="156" t="str">
        <f t="shared" si="3"/>
        <v/>
      </c>
      <c r="AQ13" s="37" t="str">
        <f t="shared" si="4"/>
        <v/>
      </c>
    </row>
    <row r="14" spans="1:43" ht="13.5" customHeight="1" x14ac:dyDescent="0.2">
      <c r="B14" s="34">
        <f>'Bulk Order Details'!B24</f>
        <v>11</v>
      </c>
      <c r="C14" s="34" t="str">
        <f>IF('Bulk Order Details'!C24="","",'Bulk Order Details'!C24&amp;" "&amp;'Bulk Order Details'!D24)</f>
        <v/>
      </c>
      <c r="D14" s="31" t="str">
        <f>IF('Bulk Order Details'!M24="","",VLOOKUP(1,Price[],3))</f>
        <v/>
      </c>
      <c r="E14" s="29" t="str">
        <f>IF('Bulk Order Details'!M24="","",Summary!$D$9)</f>
        <v/>
      </c>
      <c r="F14" s="16" t="str">
        <f>IF('Bulk Order Details'!I24="","",_xlfn.XLOOKUP('Bulk Order Details'!I24,Size[Display],Size[Price]))</f>
        <v/>
      </c>
      <c r="G14" s="16" t="str">
        <f>IF('Bulk Order Details'!J24="","",_xlfn.XLOOKUP('Bulk Order Details'!J24,Length[Display],Length[Price]))</f>
        <v/>
      </c>
      <c r="H14" s="16" t="str">
        <f>IF('Bulk Order Details'!K24="","",_xlfn.XLOOKUP('Bulk Order Details'!K24,Collection[Display],Collection[Price]))</f>
        <v/>
      </c>
      <c r="I14" s="16" t="str">
        <f>IF('Bulk Order Details'!L24="","",_xlfn.XLOOKUP('Bulk Order Details'!L24,Sleeve[Display],Sleeve[Price]))</f>
        <v/>
      </c>
      <c r="J14" s="16" t="str">
        <f>IF('Bulk Order Details'!M24="","",_xlfn.XLOOKUP('Bulk Order Details'!M24,Collar[Display],Collar[Price]))</f>
        <v/>
      </c>
      <c r="K14" s="16" t="str">
        <f>IF('Bulk Order Details'!N24="","",_xlfn.XLOOKUP("Name",Name[Name],Name[Price]))</f>
        <v/>
      </c>
      <c r="L14" s="18" t="str">
        <f>IFERROR(IF('Bulk Order Details'!R24="","",IF(_xlfn.XLOOKUP('Bulk Order Details'!R24,Logos[Display],Logos[Use])="Flat",_xlfn.XLOOKUP('Bulk Order Details'!R24,Logos[Display],Logos[Flat]),ROUND(_xlfn.XLOOKUP('Bulk Order Details'!R24,Logos[Display],Logos[Pct])*$E14,2))),"")</f>
        <v/>
      </c>
      <c r="M14" s="22" t="str">
        <f>IFERROR(IF('Bulk Order Details'!S24="","",IF(_xlfn.XLOOKUP('Bulk Order Details'!S24,Chest[Display],Chest[Use])="Flat",_xlfn.XLOOKUP('Bulk Order Details'!S24,Chest[Display],Chest[Flat]),ROUND(_xlfn.XLOOKUP('Bulk Order Details'!S24,Chest[Display],Chest[Pct])*$E14,2))),"")</f>
        <v/>
      </c>
      <c r="N14" s="22" t="str">
        <f>IFERROR(IF('Bulk Order Details'!T24="","",IF(_xlfn.XLOOKUP('Bulk Order Details'!T24,Chest[Display],Chest[Use])="Flat",_xlfn.XLOOKUP('Bulk Order Details'!T24,Chest[Display],Chest[Flat]),ROUND(_xlfn.XLOOKUP('Bulk Order Details'!T24,Chest[Display],Chest[Pct])*$E14,2))),"")</f>
        <v/>
      </c>
      <c r="O14" s="22" t="str">
        <f>IFERROR(IF('Bulk Order Details'!U24="","",IF(_xlfn.XLOOKUP('Bulk Order Details'!U24,LeftSleeve[Display],LeftSleeve[Use])="Flat",_xlfn.XLOOKUP('Bulk Order Details'!U24,LeftSleeve[Display],LeftSleeve[Flat]),ROUND(_xlfn.XLOOKUP('Bulk Order Details'!U24,LeftSleeve[Display],LeftSleeve[Pct])*$E14,2))),"")</f>
        <v/>
      </c>
      <c r="P14" s="22" t="str">
        <f>IFERROR(IF('Bulk Order Details'!V24="","",IF(_xlfn.XLOOKUP('Bulk Order Details'!V24,RightSleeve[Display],RightSleeve[Use])="Flat",_xlfn.XLOOKUP('Bulk Order Details'!V24,RightSleeve[Display],RightSleeve[Flat]),ROUND(_xlfn.XLOOKUP('Bulk Order Details'!V24,RightSleeve[Display],RightSleeve[Pct])*$E14,2))),"")</f>
        <v/>
      </c>
      <c r="Q14" s="27" t="str">
        <f>IF('Bulk Order Details'!M24="","",SUM(F14:P14))</f>
        <v/>
      </c>
      <c r="R14" s="24" t="str">
        <f t="shared" si="1"/>
        <v/>
      </c>
      <c r="S14" s="23" t="str">
        <f>IFERROR(MIN(IF(Summary!$D$11="Yes",-J14,0),IF(H14&gt;0,-J14,0)),"")</f>
        <v/>
      </c>
      <c r="T14" s="16" t="str">
        <f>IFERROR(IF(Summary!$D$10="Yes",-K14,""),"")</f>
        <v/>
      </c>
      <c r="U14" s="18" t="str">
        <f>IFERROR(IF(Summary!$D$12="Yes",-L14,""),"")</f>
        <v/>
      </c>
      <c r="V14" s="25" t="str">
        <f>IF('Bulk Order Details'!M24="","",SUM(R14:U14))</f>
        <v/>
      </c>
      <c r="W14" s="36" t="str">
        <f>IF('Bulk Order Details'!M24="","",D14+Q14)</f>
        <v/>
      </c>
      <c r="X14" s="37" t="str">
        <f>IF('Bulk Order Details'!M24="","",D14+Q14+V14)</f>
        <v/>
      </c>
      <c r="Y14" s="168" t="str">
        <f t="shared" si="0"/>
        <v/>
      </c>
      <c r="Z14" s="173" t="str">
        <f>IF('Bulk Order Details'!M24="","",MAX(1,'Bulk Order Details'!G24))</f>
        <v/>
      </c>
      <c r="AA14" s="196" t="str">
        <f>IF(Pricing_Details[[#This Row],[Quantity]]="","",Pricing_Details[[#This Row],[Retail Price]]*Pricing_Details[[#This Row],[Quantity]])</f>
        <v/>
      </c>
      <c r="AB14" s="196" t="str">
        <f>IF(Pricing_Details[[#This Row],[Quantity]]="","",Pricing_Details[[#This Row],[Total Discount]]*Pricing_Details[[#This Row],[Quantity]])</f>
        <v/>
      </c>
      <c r="AC14" s="176" t="str">
        <f>IFERROR(ROUND(Pricing_Details[[#This Row],[Actual Price]]*Pricing_Details[[#This Row],[Quantity]],2),"")</f>
        <v/>
      </c>
      <c r="AE14" s="156" t="str">
        <f>IF('Bulk Order Details'!M24="","",VLOOKUP('Bulk Order Details'!K24,Collection[],3)&amp;VLOOKUP('Bulk Order Details'!M24,Collar[],4)&amp;VLOOKUP('Bulk Order Details'!L24,Sleeve[],4))</f>
        <v/>
      </c>
      <c r="AF14" s="156" t="str">
        <f>IF('Bulk Order Details'!M24="","",LOOKUP('Bulk Order Details'!H24,Cut[Display],Cut[Code])&amp;LOOKUP('Bulk Order Details'!I24,#REF!,#REF!)&amp;IF('Bulk Order Details'!J24="","",LOOKUP('Bulk Order Details'!J24,Length[Display],Length[Code])))</f>
        <v/>
      </c>
      <c r="AG14" s="156" t="str">
        <f>IF('Bulk Order Details'!M24="","",IF('Bulk Order Details'!F24="","",'Bulk Order Details'!F24))</f>
        <v/>
      </c>
      <c r="AH14" s="156" t="str">
        <f>IF('Bulk Order Details'!R24="","","-"&amp;LOOKUP('Bulk Order Details'!R24,#REF!,#REF!))</f>
        <v/>
      </c>
      <c r="AI14" s="156" t="str">
        <f>IF('Bulk Order Details'!S24="","","-"&amp;LOOKUP('Bulk Order Details'!S24,#REF!,#REF!))</f>
        <v/>
      </c>
      <c r="AJ14" s="156" t="str">
        <f>IF('Bulk Order Details'!T24="","","-"&amp;LOOKUP('Bulk Order Details'!T24,#REF!,#REF!))</f>
        <v/>
      </c>
      <c r="AK14" s="156" t="str">
        <f>IF('Bulk Order Details'!U24="","","-"&amp;LOOKUP('Bulk Order Details'!U24,#REF!,#REF!))</f>
        <v/>
      </c>
      <c r="AL14" s="156" t="str">
        <f>IF('Bulk Order Details'!V24="","","-"&amp;LOOKUP('Bulk Order Details'!V24,#REF!,#REF!))</f>
        <v/>
      </c>
      <c r="AM14" s="156" t="str">
        <f t="shared" si="2"/>
        <v/>
      </c>
      <c r="AN14" s="156" t="str">
        <f>IF('Bulk Order Details'!N24="","","Na-"&amp;'Bulk Order Details'!N24)</f>
        <v/>
      </c>
      <c r="AO14" s="156" t="str">
        <f>IF('Bulk Order Details'!Q24="","","Fo-"&amp;'Bulk Order Details'!Q24)</f>
        <v/>
      </c>
      <c r="AP14" s="156" t="str">
        <f t="shared" si="3"/>
        <v/>
      </c>
      <c r="AQ14" s="37" t="str">
        <f t="shared" si="4"/>
        <v/>
      </c>
    </row>
    <row r="15" spans="1:43" ht="13.5" customHeight="1" x14ac:dyDescent="0.2">
      <c r="B15" s="34">
        <f>'Bulk Order Details'!B25</f>
        <v>12</v>
      </c>
      <c r="C15" s="34" t="str">
        <f>IF('Bulk Order Details'!C25="","",'Bulk Order Details'!C25&amp;" "&amp;'Bulk Order Details'!D25)</f>
        <v/>
      </c>
      <c r="D15" s="31" t="str">
        <f>IF('Bulk Order Details'!M25="","",VLOOKUP(1,Price[],3))</f>
        <v/>
      </c>
      <c r="E15" s="29" t="str">
        <f>IF('Bulk Order Details'!M25="","",Summary!$D$9)</f>
        <v/>
      </c>
      <c r="F15" s="16" t="str">
        <f>IF('Bulk Order Details'!I25="","",_xlfn.XLOOKUP('Bulk Order Details'!I25,Size[Display],Size[Price]))</f>
        <v/>
      </c>
      <c r="G15" s="16" t="str">
        <f>IF('Bulk Order Details'!J25="","",_xlfn.XLOOKUP('Bulk Order Details'!J25,Length[Display],Length[Price]))</f>
        <v/>
      </c>
      <c r="H15" s="16" t="str">
        <f>IF('Bulk Order Details'!K25="","",_xlfn.XLOOKUP('Bulk Order Details'!K25,Collection[Display],Collection[Price]))</f>
        <v/>
      </c>
      <c r="I15" s="16" t="str">
        <f>IF('Bulk Order Details'!L25="","",_xlfn.XLOOKUP('Bulk Order Details'!L25,Sleeve[Display],Sleeve[Price]))</f>
        <v/>
      </c>
      <c r="J15" s="16" t="str">
        <f>IF('Bulk Order Details'!M25="","",_xlfn.XLOOKUP('Bulk Order Details'!M25,Collar[Display],Collar[Price]))</f>
        <v/>
      </c>
      <c r="K15" s="16" t="str">
        <f>IF('Bulk Order Details'!N25="","",_xlfn.XLOOKUP("Name",Name[Name],Name[Price]))</f>
        <v/>
      </c>
      <c r="L15" s="18" t="str">
        <f>IFERROR(IF('Bulk Order Details'!R25="","",IF(_xlfn.XLOOKUP('Bulk Order Details'!R25,Logos[Display],Logos[Use])="Flat",_xlfn.XLOOKUP('Bulk Order Details'!R25,Logos[Display],Logos[Flat]),ROUND(_xlfn.XLOOKUP('Bulk Order Details'!R25,Logos[Display],Logos[Pct])*$E15,2))),"")</f>
        <v/>
      </c>
      <c r="M15" s="22" t="str">
        <f>IFERROR(IF('Bulk Order Details'!S25="","",IF(_xlfn.XLOOKUP('Bulk Order Details'!S25,Chest[Display],Chest[Use])="Flat",_xlfn.XLOOKUP('Bulk Order Details'!S25,Chest[Display],Chest[Flat]),ROUND(_xlfn.XLOOKUP('Bulk Order Details'!S25,Chest[Display],Chest[Pct])*$E15,2))),"")</f>
        <v/>
      </c>
      <c r="N15" s="22" t="str">
        <f>IFERROR(IF('Bulk Order Details'!T25="","",IF(_xlfn.XLOOKUP('Bulk Order Details'!T25,Chest[Display],Chest[Use])="Flat",_xlfn.XLOOKUP('Bulk Order Details'!T25,Chest[Display],Chest[Flat]),ROUND(_xlfn.XLOOKUP('Bulk Order Details'!T25,Chest[Display],Chest[Pct])*$E15,2))),"")</f>
        <v/>
      </c>
      <c r="O15" s="22" t="str">
        <f>IFERROR(IF('Bulk Order Details'!U25="","",IF(_xlfn.XLOOKUP('Bulk Order Details'!U25,LeftSleeve[Display],LeftSleeve[Use])="Flat",_xlfn.XLOOKUP('Bulk Order Details'!U25,LeftSleeve[Display],LeftSleeve[Flat]),ROUND(_xlfn.XLOOKUP('Bulk Order Details'!U25,LeftSleeve[Display],LeftSleeve[Pct])*$E15,2))),"")</f>
        <v/>
      </c>
      <c r="P15" s="22" t="str">
        <f>IFERROR(IF('Bulk Order Details'!V25="","",IF(_xlfn.XLOOKUP('Bulk Order Details'!V25,RightSleeve[Display],RightSleeve[Use])="Flat",_xlfn.XLOOKUP('Bulk Order Details'!V25,RightSleeve[Display],RightSleeve[Flat]),ROUND(_xlfn.XLOOKUP('Bulk Order Details'!V25,RightSleeve[Display],RightSleeve[Pct])*$E15,2))),"")</f>
        <v/>
      </c>
      <c r="Q15" s="27" t="str">
        <f>IF('Bulk Order Details'!M25="","",SUM(F15:P15))</f>
        <v/>
      </c>
      <c r="R15" s="24" t="str">
        <f t="shared" si="1"/>
        <v/>
      </c>
      <c r="S15" s="23" t="str">
        <f>IFERROR(MIN(IF(Summary!$D$11="Yes",-J15,0),IF(H15&gt;0,-J15,0)),"")</f>
        <v/>
      </c>
      <c r="T15" s="16" t="str">
        <f>IFERROR(IF(Summary!$D$10="Yes",-K15,""),"")</f>
        <v/>
      </c>
      <c r="U15" s="18" t="str">
        <f>IFERROR(IF(Summary!$D$12="Yes",-L15,""),"")</f>
        <v/>
      </c>
      <c r="V15" s="25" t="str">
        <f>IF('Bulk Order Details'!M25="","",SUM(R15:U15))</f>
        <v/>
      </c>
      <c r="W15" s="36" t="str">
        <f>IF('Bulk Order Details'!M25="","",D15+Q15)</f>
        <v/>
      </c>
      <c r="X15" s="37" t="str">
        <f>IF('Bulk Order Details'!M25="","",D15+Q15+V15)</f>
        <v/>
      </c>
      <c r="Y15" s="168" t="str">
        <f t="shared" si="0"/>
        <v/>
      </c>
      <c r="Z15" s="173" t="str">
        <f>IF('Bulk Order Details'!M25="","",MAX(1,'Bulk Order Details'!G25))</f>
        <v/>
      </c>
      <c r="AA15" s="196" t="str">
        <f>IF(Pricing_Details[[#This Row],[Quantity]]="","",Pricing_Details[[#This Row],[Retail Price]]*Pricing_Details[[#This Row],[Quantity]])</f>
        <v/>
      </c>
      <c r="AB15" s="196" t="str">
        <f>IF(Pricing_Details[[#This Row],[Quantity]]="","",Pricing_Details[[#This Row],[Total Discount]]*Pricing_Details[[#This Row],[Quantity]])</f>
        <v/>
      </c>
      <c r="AC15" s="176" t="str">
        <f>IFERROR(ROUND(Pricing_Details[[#This Row],[Actual Price]]*Pricing_Details[[#This Row],[Quantity]],2),"")</f>
        <v/>
      </c>
      <c r="AE15" s="156" t="str">
        <f>IF('Bulk Order Details'!M25="","",VLOOKUP('Bulk Order Details'!K25,Collection[],3)&amp;VLOOKUP('Bulk Order Details'!M25,Collar[],4)&amp;VLOOKUP('Bulk Order Details'!L25,Sleeve[],4))</f>
        <v/>
      </c>
      <c r="AF15" s="156" t="str">
        <f>IF('Bulk Order Details'!M25="","",LOOKUP('Bulk Order Details'!H25,Cut[Display],Cut[Code])&amp;LOOKUP('Bulk Order Details'!I25,#REF!,#REF!)&amp;IF('Bulk Order Details'!J25="","",LOOKUP('Bulk Order Details'!J25,Length[Display],Length[Code])))</f>
        <v/>
      </c>
      <c r="AG15" s="156" t="str">
        <f>IF('Bulk Order Details'!M25="","",IF('Bulk Order Details'!F25="","",'Bulk Order Details'!F25))</f>
        <v/>
      </c>
      <c r="AH15" s="156" t="str">
        <f>IF('Bulk Order Details'!R25="","","-"&amp;LOOKUP('Bulk Order Details'!R25,#REF!,#REF!))</f>
        <v/>
      </c>
      <c r="AI15" s="156" t="str">
        <f>IF('Bulk Order Details'!S25="","","-"&amp;LOOKUP('Bulk Order Details'!S25,#REF!,#REF!))</f>
        <v/>
      </c>
      <c r="AJ15" s="156" t="str">
        <f>IF('Bulk Order Details'!T25="","","-"&amp;LOOKUP('Bulk Order Details'!T25,#REF!,#REF!))</f>
        <v/>
      </c>
      <c r="AK15" s="156" t="str">
        <f>IF('Bulk Order Details'!U25="","","-"&amp;LOOKUP('Bulk Order Details'!U25,#REF!,#REF!))</f>
        <v/>
      </c>
      <c r="AL15" s="156" t="str">
        <f>IF('Bulk Order Details'!V25="","","-"&amp;LOOKUP('Bulk Order Details'!V25,#REF!,#REF!))</f>
        <v/>
      </c>
      <c r="AM15" s="156" t="str">
        <f t="shared" si="2"/>
        <v/>
      </c>
      <c r="AN15" s="156" t="str">
        <f>IF('Bulk Order Details'!N25="","","Na-"&amp;'Bulk Order Details'!N25)</f>
        <v/>
      </c>
      <c r="AO15" s="156" t="str">
        <f>IF('Bulk Order Details'!Q25="","","Fo-"&amp;'Bulk Order Details'!Q25)</f>
        <v/>
      </c>
      <c r="AP15" s="156" t="str">
        <f t="shared" si="3"/>
        <v/>
      </c>
      <c r="AQ15" s="37" t="str">
        <f t="shared" si="4"/>
        <v/>
      </c>
    </row>
    <row r="16" spans="1:43" ht="13.5" customHeight="1" x14ac:dyDescent="0.2">
      <c r="B16" s="34">
        <f>'Bulk Order Details'!B26</f>
        <v>13</v>
      </c>
      <c r="C16" s="34" t="str">
        <f>IF('Bulk Order Details'!C26="","",'Bulk Order Details'!C26&amp;" "&amp;'Bulk Order Details'!D26)</f>
        <v/>
      </c>
      <c r="D16" s="31" t="str">
        <f>IF('Bulk Order Details'!M26="","",VLOOKUP(1,Price[],3))</f>
        <v/>
      </c>
      <c r="E16" s="29" t="str">
        <f>IF('Bulk Order Details'!M26="","",Summary!$D$9)</f>
        <v/>
      </c>
      <c r="F16" s="16" t="str">
        <f>IF('Bulk Order Details'!I26="","",_xlfn.XLOOKUP('Bulk Order Details'!I26,Size[Display],Size[Price]))</f>
        <v/>
      </c>
      <c r="G16" s="16" t="str">
        <f>IF('Bulk Order Details'!J26="","",_xlfn.XLOOKUP('Bulk Order Details'!J26,Length[Display],Length[Price]))</f>
        <v/>
      </c>
      <c r="H16" s="16" t="str">
        <f>IF('Bulk Order Details'!K26="","",_xlfn.XLOOKUP('Bulk Order Details'!K26,Collection[Display],Collection[Price]))</f>
        <v/>
      </c>
      <c r="I16" s="16" t="str">
        <f>IF('Bulk Order Details'!L26="","",_xlfn.XLOOKUP('Bulk Order Details'!L26,Sleeve[Display],Sleeve[Price]))</f>
        <v/>
      </c>
      <c r="J16" s="16" t="str">
        <f>IF('Bulk Order Details'!M26="","",_xlfn.XLOOKUP('Bulk Order Details'!M26,Collar[Display],Collar[Price]))</f>
        <v/>
      </c>
      <c r="K16" s="16" t="str">
        <f>IF('Bulk Order Details'!N26="","",_xlfn.XLOOKUP("Name",Name[Name],Name[Price]))</f>
        <v/>
      </c>
      <c r="L16" s="18" t="str">
        <f>IFERROR(IF('Bulk Order Details'!R26="","",IF(_xlfn.XLOOKUP('Bulk Order Details'!R26,Logos[Display],Logos[Use])="Flat",_xlfn.XLOOKUP('Bulk Order Details'!R26,Logos[Display],Logos[Flat]),ROUND(_xlfn.XLOOKUP('Bulk Order Details'!R26,Logos[Display],Logos[Pct])*$E16,2))),"")</f>
        <v/>
      </c>
      <c r="M16" s="22" t="str">
        <f>IFERROR(IF('Bulk Order Details'!S26="","",IF(_xlfn.XLOOKUP('Bulk Order Details'!S26,Chest[Display],Chest[Use])="Flat",_xlfn.XLOOKUP('Bulk Order Details'!S26,Chest[Display],Chest[Flat]),ROUND(_xlfn.XLOOKUP('Bulk Order Details'!S26,Chest[Display],Chest[Pct])*$E16,2))),"")</f>
        <v/>
      </c>
      <c r="N16" s="22" t="str">
        <f>IFERROR(IF('Bulk Order Details'!T26="","",IF(_xlfn.XLOOKUP('Bulk Order Details'!T26,Chest[Display],Chest[Use])="Flat",_xlfn.XLOOKUP('Bulk Order Details'!T26,Chest[Display],Chest[Flat]),ROUND(_xlfn.XLOOKUP('Bulk Order Details'!T26,Chest[Display],Chest[Pct])*$E16,2))),"")</f>
        <v/>
      </c>
      <c r="O16" s="22" t="str">
        <f>IFERROR(IF('Bulk Order Details'!U26="","",IF(_xlfn.XLOOKUP('Bulk Order Details'!U26,LeftSleeve[Display],LeftSleeve[Use])="Flat",_xlfn.XLOOKUP('Bulk Order Details'!U26,LeftSleeve[Display],LeftSleeve[Flat]),ROUND(_xlfn.XLOOKUP('Bulk Order Details'!U26,LeftSleeve[Display],LeftSleeve[Pct])*$E16,2))),"")</f>
        <v/>
      </c>
      <c r="P16" s="22" t="str">
        <f>IFERROR(IF('Bulk Order Details'!V26="","",IF(_xlfn.XLOOKUP('Bulk Order Details'!V26,RightSleeve[Display],RightSleeve[Use])="Flat",_xlfn.XLOOKUP('Bulk Order Details'!V26,RightSleeve[Display],RightSleeve[Flat]),ROUND(_xlfn.XLOOKUP('Bulk Order Details'!V26,RightSleeve[Display],RightSleeve[Pct])*$E16,2))),"")</f>
        <v/>
      </c>
      <c r="Q16" s="27" t="str">
        <f>IF('Bulk Order Details'!M26="","",SUM(F16:P16))</f>
        <v/>
      </c>
      <c r="R16" s="24" t="str">
        <f t="shared" si="1"/>
        <v/>
      </c>
      <c r="S16" s="23" t="str">
        <f>IFERROR(MIN(IF(Summary!$D$11="Yes",-J16,0),IF(H16&gt;0,-J16,0)),"")</f>
        <v/>
      </c>
      <c r="T16" s="16" t="str">
        <f>IFERROR(IF(Summary!$D$10="Yes",-K16,""),"")</f>
        <v/>
      </c>
      <c r="U16" s="18" t="str">
        <f>IFERROR(IF(Summary!$D$12="Yes",-L16,""),"")</f>
        <v/>
      </c>
      <c r="V16" s="25" t="str">
        <f>IF('Bulk Order Details'!M26="","",SUM(R16:U16))</f>
        <v/>
      </c>
      <c r="W16" s="36" t="str">
        <f>IF('Bulk Order Details'!M26="","",D16+Q16)</f>
        <v/>
      </c>
      <c r="X16" s="37" t="str">
        <f>IF('Bulk Order Details'!M26="","",D16+Q16+V16)</f>
        <v/>
      </c>
      <c r="Y16" s="168" t="str">
        <f t="shared" si="0"/>
        <v/>
      </c>
      <c r="Z16" s="173" t="str">
        <f>IF('Bulk Order Details'!M26="","",MAX(1,'Bulk Order Details'!G26))</f>
        <v/>
      </c>
      <c r="AA16" s="196" t="str">
        <f>IF(Pricing_Details[[#This Row],[Quantity]]="","",Pricing_Details[[#This Row],[Retail Price]]*Pricing_Details[[#This Row],[Quantity]])</f>
        <v/>
      </c>
      <c r="AB16" s="196" t="str">
        <f>IF(Pricing_Details[[#This Row],[Quantity]]="","",Pricing_Details[[#This Row],[Total Discount]]*Pricing_Details[[#This Row],[Quantity]])</f>
        <v/>
      </c>
      <c r="AC16" s="176" t="str">
        <f>IFERROR(ROUND(Pricing_Details[[#This Row],[Actual Price]]*Pricing_Details[[#This Row],[Quantity]],2),"")</f>
        <v/>
      </c>
      <c r="AE16" s="156" t="str">
        <f>IF('Bulk Order Details'!M26="","",VLOOKUP('Bulk Order Details'!K26,Collection[],3)&amp;VLOOKUP('Bulk Order Details'!M26,Collar[],4)&amp;VLOOKUP('Bulk Order Details'!L26,Sleeve[],4))</f>
        <v/>
      </c>
      <c r="AF16" s="156" t="str">
        <f>IF('Bulk Order Details'!M26="","",LOOKUP('Bulk Order Details'!H26,Cut[Display],Cut[Code])&amp;LOOKUP('Bulk Order Details'!I26,#REF!,#REF!)&amp;IF('Bulk Order Details'!J26="","",LOOKUP('Bulk Order Details'!J26,Length[Display],Length[Code])))</f>
        <v/>
      </c>
      <c r="AG16" s="156" t="str">
        <f>IF('Bulk Order Details'!M26="","",IF('Bulk Order Details'!F26="","",'Bulk Order Details'!F26))</f>
        <v/>
      </c>
      <c r="AH16" s="156" t="str">
        <f>IF('Bulk Order Details'!R26="","","-"&amp;LOOKUP('Bulk Order Details'!R26,#REF!,#REF!))</f>
        <v/>
      </c>
      <c r="AI16" s="156" t="str">
        <f>IF('Bulk Order Details'!S26="","","-"&amp;LOOKUP('Bulk Order Details'!S26,#REF!,#REF!))</f>
        <v/>
      </c>
      <c r="AJ16" s="156" t="str">
        <f>IF('Bulk Order Details'!T26="","","-"&amp;LOOKUP('Bulk Order Details'!T26,#REF!,#REF!))</f>
        <v/>
      </c>
      <c r="AK16" s="156" t="str">
        <f>IF('Bulk Order Details'!U26="","","-"&amp;LOOKUP('Bulk Order Details'!U26,#REF!,#REF!))</f>
        <v/>
      </c>
      <c r="AL16" s="156" t="str">
        <f>IF('Bulk Order Details'!V26="","","-"&amp;LOOKUP('Bulk Order Details'!V26,#REF!,#REF!))</f>
        <v/>
      </c>
      <c r="AM16" s="156" t="str">
        <f t="shared" si="2"/>
        <v/>
      </c>
      <c r="AN16" s="156" t="str">
        <f>IF('Bulk Order Details'!N26="","","Na-"&amp;'Bulk Order Details'!N26)</f>
        <v/>
      </c>
      <c r="AO16" s="156" t="str">
        <f>IF('Bulk Order Details'!Q26="","","Fo-"&amp;'Bulk Order Details'!Q26)</f>
        <v/>
      </c>
      <c r="AP16" s="156" t="str">
        <f t="shared" si="3"/>
        <v/>
      </c>
      <c r="AQ16" s="37" t="str">
        <f t="shared" si="4"/>
        <v/>
      </c>
    </row>
    <row r="17" spans="2:43" ht="13.5" customHeight="1" x14ac:dyDescent="0.2">
      <c r="B17" s="34">
        <f>'Bulk Order Details'!B27</f>
        <v>14</v>
      </c>
      <c r="C17" s="34" t="str">
        <f>IF('Bulk Order Details'!C27="","",'Bulk Order Details'!C27&amp;" "&amp;'Bulk Order Details'!D27)</f>
        <v/>
      </c>
      <c r="D17" s="31" t="str">
        <f>IF('Bulk Order Details'!M27="","",VLOOKUP(1,Price[],3))</f>
        <v/>
      </c>
      <c r="E17" s="29" t="str">
        <f>IF('Bulk Order Details'!M27="","",Summary!$D$9)</f>
        <v/>
      </c>
      <c r="F17" s="16" t="str">
        <f>IF('Bulk Order Details'!I27="","",_xlfn.XLOOKUP('Bulk Order Details'!I27,Size[Display],Size[Price]))</f>
        <v/>
      </c>
      <c r="G17" s="16" t="str">
        <f>IF('Bulk Order Details'!J27="","",_xlfn.XLOOKUP('Bulk Order Details'!J27,Length[Display],Length[Price]))</f>
        <v/>
      </c>
      <c r="H17" s="16" t="str">
        <f>IF('Bulk Order Details'!K27="","",_xlfn.XLOOKUP('Bulk Order Details'!K27,Collection[Display],Collection[Price]))</f>
        <v/>
      </c>
      <c r="I17" s="16" t="str">
        <f>IF('Bulk Order Details'!L27="","",_xlfn.XLOOKUP('Bulk Order Details'!L27,Sleeve[Display],Sleeve[Price]))</f>
        <v/>
      </c>
      <c r="J17" s="16" t="str">
        <f>IF('Bulk Order Details'!M27="","",_xlfn.XLOOKUP('Bulk Order Details'!M27,Collar[Display],Collar[Price]))</f>
        <v/>
      </c>
      <c r="K17" s="16" t="str">
        <f>IF('Bulk Order Details'!N27="","",_xlfn.XLOOKUP("Name",Name[Name],Name[Price]))</f>
        <v/>
      </c>
      <c r="L17" s="18" t="str">
        <f>IFERROR(IF('Bulk Order Details'!R27="","",IF(_xlfn.XLOOKUP('Bulk Order Details'!R27,Logos[Display],Logos[Use])="Flat",_xlfn.XLOOKUP('Bulk Order Details'!R27,Logos[Display],Logos[Flat]),ROUND(_xlfn.XLOOKUP('Bulk Order Details'!R27,Logos[Display],Logos[Pct])*$E17,2))),"")</f>
        <v/>
      </c>
      <c r="M17" s="22" t="str">
        <f>IFERROR(IF('Bulk Order Details'!S27="","",IF(_xlfn.XLOOKUP('Bulk Order Details'!S27,Chest[Display],Chest[Use])="Flat",_xlfn.XLOOKUP('Bulk Order Details'!S27,Chest[Display],Chest[Flat]),ROUND(_xlfn.XLOOKUP('Bulk Order Details'!S27,Chest[Display],Chest[Pct])*$E17,2))),"")</f>
        <v/>
      </c>
      <c r="N17" s="22" t="str">
        <f>IFERROR(IF('Bulk Order Details'!T27="","",IF(_xlfn.XLOOKUP('Bulk Order Details'!T27,Chest[Display],Chest[Use])="Flat",_xlfn.XLOOKUP('Bulk Order Details'!T27,Chest[Display],Chest[Flat]),ROUND(_xlfn.XLOOKUP('Bulk Order Details'!T27,Chest[Display],Chest[Pct])*$E17,2))),"")</f>
        <v/>
      </c>
      <c r="O17" s="22" t="str">
        <f>IFERROR(IF('Bulk Order Details'!U27="","",IF(_xlfn.XLOOKUP('Bulk Order Details'!U27,LeftSleeve[Display],LeftSleeve[Use])="Flat",_xlfn.XLOOKUP('Bulk Order Details'!U27,LeftSleeve[Display],LeftSleeve[Flat]),ROUND(_xlfn.XLOOKUP('Bulk Order Details'!U27,LeftSleeve[Display],LeftSleeve[Pct])*$E17,2))),"")</f>
        <v/>
      </c>
      <c r="P17" s="22" t="str">
        <f>IFERROR(IF('Bulk Order Details'!V27="","",IF(_xlfn.XLOOKUP('Bulk Order Details'!V27,RightSleeve[Display],RightSleeve[Use])="Flat",_xlfn.XLOOKUP('Bulk Order Details'!V27,RightSleeve[Display],RightSleeve[Flat]),ROUND(_xlfn.XLOOKUP('Bulk Order Details'!V27,RightSleeve[Display],RightSleeve[Pct])*$E17,2))),"")</f>
        <v/>
      </c>
      <c r="Q17" s="27" t="str">
        <f>IF('Bulk Order Details'!M27="","",SUM(F17:P17))</f>
        <v/>
      </c>
      <c r="R17" s="24" t="str">
        <f t="shared" si="1"/>
        <v/>
      </c>
      <c r="S17" s="23" t="str">
        <f>IFERROR(MIN(IF(Summary!$D$11="Yes",-J17,0),IF(H17&gt;0,-J17,0)),"")</f>
        <v/>
      </c>
      <c r="T17" s="16" t="str">
        <f>IFERROR(IF(Summary!$D$10="Yes",-K17,""),"")</f>
        <v/>
      </c>
      <c r="U17" s="18" t="str">
        <f>IFERROR(IF(Summary!$D$12="Yes",-L17,""),"")</f>
        <v/>
      </c>
      <c r="V17" s="25" t="str">
        <f>IF('Bulk Order Details'!M27="","",SUM(R17:U17))</f>
        <v/>
      </c>
      <c r="W17" s="36" t="str">
        <f>IF('Bulk Order Details'!M27="","",D17+Q17)</f>
        <v/>
      </c>
      <c r="X17" s="37" t="str">
        <f>IF('Bulk Order Details'!M27="","",D17+Q17+V17)</f>
        <v/>
      </c>
      <c r="Y17" s="168" t="str">
        <f t="shared" si="0"/>
        <v/>
      </c>
      <c r="Z17" s="173" t="str">
        <f>IF('Bulk Order Details'!M27="","",MAX(1,'Bulk Order Details'!G27))</f>
        <v/>
      </c>
      <c r="AA17" s="196" t="str">
        <f>IF(Pricing_Details[[#This Row],[Quantity]]="","",Pricing_Details[[#This Row],[Retail Price]]*Pricing_Details[[#This Row],[Quantity]])</f>
        <v/>
      </c>
      <c r="AB17" s="196" t="str">
        <f>IF(Pricing_Details[[#This Row],[Quantity]]="","",Pricing_Details[[#This Row],[Total Discount]]*Pricing_Details[[#This Row],[Quantity]])</f>
        <v/>
      </c>
      <c r="AC17" s="176" t="str">
        <f>IFERROR(ROUND(Pricing_Details[[#This Row],[Actual Price]]*Pricing_Details[[#This Row],[Quantity]],2),"")</f>
        <v/>
      </c>
      <c r="AE17" s="156" t="str">
        <f>IF('Bulk Order Details'!M27="","",VLOOKUP('Bulk Order Details'!K27,Collection[],3)&amp;VLOOKUP('Bulk Order Details'!M27,Collar[],4)&amp;VLOOKUP('Bulk Order Details'!L27,Sleeve[],4))</f>
        <v/>
      </c>
      <c r="AF17" s="156" t="str">
        <f>IF('Bulk Order Details'!M27="","",LOOKUP('Bulk Order Details'!H27,Cut[Display],Cut[Code])&amp;LOOKUP('Bulk Order Details'!I27,#REF!,#REF!)&amp;IF('Bulk Order Details'!J27="","",LOOKUP('Bulk Order Details'!J27,Length[Display],Length[Code])))</f>
        <v/>
      </c>
      <c r="AG17" s="156" t="str">
        <f>IF('Bulk Order Details'!M27="","",IF('Bulk Order Details'!F27="","",'Bulk Order Details'!F27))</f>
        <v/>
      </c>
      <c r="AH17" s="156" t="str">
        <f>IF('Bulk Order Details'!R27="","","-"&amp;LOOKUP('Bulk Order Details'!R27,#REF!,#REF!))</f>
        <v/>
      </c>
      <c r="AI17" s="156" t="str">
        <f>IF('Bulk Order Details'!S27="","","-"&amp;LOOKUP('Bulk Order Details'!S27,#REF!,#REF!))</f>
        <v/>
      </c>
      <c r="AJ17" s="156" t="str">
        <f>IF('Bulk Order Details'!T27="","","-"&amp;LOOKUP('Bulk Order Details'!T27,#REF!,#REF!))</f>
        <v/>
      </c>
      <c r="AK17" s="156" t="str">
        <f>IF('Bulk Order Details'!U27="","","-"&amp;LOOKUP('Bulk Order Details'!U27,#REF!,#REF!))</f>
        <v/>
      </c>
      <c r="AL17" s="156" t="str">
        <f>IF('Bulk Order Details'!V27="","","-"&amp;LOOKUP('Bulk Order Details'!V27,#REF!,#REF!))</f>
        <v/>
      </c>
      <c r="AM17" s="156" t="str">
        <f t="shared" si="2"/>
        <v/>
      </c>
      <c r="AN17" s="156" t="str">
        <f>IF('Bulk Order Details'!N27="","","Na-"&amp;'Bulk Order Details'!N27)</f>
        <v/>
      </c>
      <c r="AO17" s="156" t="str">
        <f>IF('Bulk Order Details'!Q27="","","Fo-"&amp;'Bulk Order Details'!Q27)</f>
        <v/>
      </c>
      <c r="AP17" s="156" t="str">
        <f t="shared" si="3"/>
        <v/>
      </c>
      <c r="AQ17" s="37" t="str">
        <f t="shared" si="4"/>
        <v/>
      </c>
    </row>
    <row r="18" spans="2:43" ht="13.5" customHeight="1" x14ac:dyDescent="0.2">
      <c r="B18" s="34">
        <f>'Bulk Order Details'!B28</f>
        <v>15</v>
      </c>
      <c r="C18" s="34" t="str">
        <f>IF('Bulk Order Details'!C28="","",'Bulk Order Details'!C28&amp;" "&amp;'Bulk Order Details'!D28)</f>
        <v/>
      </c>
      <c r="D18" s="31" t="str">
        <f>IF('Bulk Order Details'!M28="","",VLOOKUP(1,Price[],3))</f>
        <v/>
      </c>
      <c r="E18" s="29" t="str">
        <f>IF('Bulk Order Details'!M28="","",Summary!$D$9)</f>
        <v/>
      </c>
      <c r="F18" s="16" t="str">
        <f>IF('Bulk Order Details'!I28="","",_xlfn.XLOOKUP('Bulk Order Details'!I28,Size[Display],Size[Price]))</f>
        <v/>
      </c>
      <c r="G18" s="16" t="str">
        <f>IF('Bulk Order Details'!J28="","",_xlfn.XLOOKUP('Bulk Order Details'!J28,Length[Display],Length[Price]))</f>
        <v/>
      </c>
      <c r="H18" s="16" t="str">
        <f>IF('Bulk Order Details'!K28="","",_xlfn.XLOOKUP('Bulk Order Details'!K28,Collection[Display],Collection[Price]))</f>
        <v/>
      </c>
      <c r="I18" s="16" t="str">
        <f>IF('Bulk Order Details'!L28="","",_xlfn.XLOOKUP('Bulk Order Details'!L28,Sleeve[Display],Sleeve[Price]))</f>
        <v/>
      </c>
      <c r="J18" s="16" t="str">
        <f>IF('Bulk Order Details'!M28="","",_xlfn.XLOOKUP('Bulk Order Details'!M28,Collar[Display],Collar[Price]))</f>
        <v/>
      </c>
      <c r="K18" s="16" t="str">
        <f>IF('Bulk Order Details'!N28="","",_xlfn.XLOOKUP("Name",Name[Name],Name[Price]))</f>
        <v/>
      </c>
      <c r="L18" s="18" t="str">
        <f>IFERROR(IF('Bulk Order Details'!R28="","",IF(_xlfn.XLOOKUP('Bulk Order Details'!R28,Logos[Display],Logos[Use])="Flat",_xlfn.XLOOKUP('Bulk Order Details'!R28,Logos[Display],Logos[Flat]),ROUND(_xlfn.XLOOKUP('Bulk Order Details'!R28,Logos[Display],Logos[Pct])*$E18,2))),"")</f>
        <v/>
      </c>
      <c r="M18" s="22" t="str">
        <f>IFERROR(IF('Bulk Order Details'!S28="","",IF(_xlfn.XLOOKUP('Bulk Order Details'!S28,Chest[Display],Chest[Use])="Flat",_xlfn.XLOOKUP('Bulk Order Details'!S28,Chest[Display],Chest[Flat]),ROUND(_xlfn.XLOOKUP('Bulk Order Details'!S28,Chest[Display],Chest[Pct])*$E18,2))),"")</f>
        <v/>
      </c>
      <c r="N18" s="22" t="str">
        <f>IFERROR(IF('Bulk Order Details'!T28="","",IF(_xlfn.XLOOKUP('Bulk Order Details'!T28,Chest[Display],Chest[Use])="Flat",_xlfn.XLOOKUP('Bulk Order Details'!T28,Chest[Display],Chest[Flat]),ROUND(_xlfn.XLOOKUP('Bulk Order Details'!T28,Chest[Display],Chest[Pct])*$E18,2))),"")</f>
        <v/>
      </c>
      <c r="O18" s="22" t="str">
        <f>IFERROR(IF('Bulk Order Details'!U28="","",IF(_xlfn.XLOOKUP('Bulk Order Details'!U28,LeftSleeve[Display],LeftSleeve[Use])="Flat",_xlfn.XLOOKUP('Bulk Order Details'!U28,LeftSleeve[Display],LeftSleeve[Flat]),ROUND(_xlfn.XLOOKUP('Bulk Order Details'!U28,LeftSleeve[Display],LeftSleeve[Pct])*$E18,2))),"")</f>
        <v/>
      </c>
      <c r="P18" s="22" t="str">
        <f>IFERROR(IF('Bulk Order Details'!V28="","",IF(_xlfn.XLOOKUP('Bulk Order Details'!V28,RightSleeve[Display],RightSleeve[Use])="Flat",_xlfn.XLOOKUP('Bulk Order Details'!V28,RightSleeve[Display],RightSleeve[Flat]),ROUND(_xlfn.XLOOKUP('Bulk Order Details'!V28,RightSleeve[Display],RightSleeve[Pct])*$E18,2))),"")</f>
        <v/>
      </c>
      <c r="Q18" s="27" t="str">
        <f>IF('Bulk Order Details'!M28="","",SUM(F18:P18))</f>
        <v/>
      </c>
      <c r="R18" s="24" t="str">
        <f t="shared" si="1"/>
        <v/>
      </c>
      <c r="S18" s="23" t="str">
        <f>IFERROR(MIN(IF(Summary!$D$11="Yes",-J18,0),IF(H18&gt;0,-J18,0)),"")</f>
        <v/>
      </c>
      <c r="T18" s="16" t="str">
        <f>IFERROR(IF(Summary!$D$10="Yes",-K18,""),"")</f>
        <v/>
      </c>
      <c r="U18" s="18" t="str">
        <f>IFERROR(IF(Summary!$D$12="Yes",-L18,""),"")</f>
        <v/>
      </c>
      <c r="V18" s="25" t="str">
        <f>IF('Bulk Order Details'!M28="","",SUM(R18:U18))</f>
        <v/>
      </c>
      <c r="W18" s="36" t="str">
        <f>IF('Bulk Order Details'!M28="","",D18+Q18)</f>
        <v/>
      </c>
      <c r="X18" s="37" t="str">
        <f>IF('Bulk Order Details'!M28="","",D18+Q18+V18)</f>
        <v/>
      </c>
      <c r="Y18" s="168" t="str">
        <f t="shared" si="0"/>
        <v/>
      </c>
      <c r="Z18" s="173" t="str">
        <f>IF('Bulk Order Details'!M28="","",MAX(1,'Bulk Order Details'!G28))</f>
        <v/>
      </c>
      <c r="AA18" s="196" t="str">
        <f>IF(Pricing_Details[[#This Row],[Quantity]]="","",Pricing_Details[[#This Row],[Retail Price]]*Pricing_Details[[#This Row],[Quantity]])</f>
        <v/>
      </c>
      <c r="AB18" s="196" t="str">
        <f>IF(Pricing_Details[[#This Row],[Quantity]]="","",Pricing_Details[[#This Row],[Total Discount]]*Pricing_Details[[#This Row],[Quantity]])</f>
        <v/>
      </c>
      <c r="AC18" s="176" t="str">
        <f>IFERROR(ROUND(Pricing_Details[[#This Row],[Actual Price]]*Pricing_Details[[#This Row],[Quantity]],2),"")</f>
        <v/>
      </c>
      <c r="AE18" s="156" t="str">
        <f>IF('Bulk Order Details'!M28="","",VLOOKUP('Bulk Order Details'!K28,Collection[],3)&amp;VLOOKUP('Bulk Order Details'!M28,Collar[],4)&amp;VLOOKUP('Bulk Order Details'!L28,Sleeve[],4))</f>
        <v/>
      </c>
      <c r="AF18" s="156" t="str">
        <f>IF('Bulk Order Details'!M28="","",LOOKUP('Bulk Order Details'!H28,Cut[Display],Cut[Code])&amp;LOOKUP('Bulk Order Details'!I28,#REF!,#REF!)&amp;IF('Bulk Order Details'!J28="","",LOOKUP('Bulk Order Details'!J28,Length[Display],Length[Code])))</f>
        <v/>
      </c>
      <c r="AG18" s="156" t="str">
        <f>IF('Bulk Order Details'!M28="","",IF('Bulk Order Details'!F28="","",'Bulk Order Details'!F28))</f>
        <v/>
      </c>
      <c r="AH18" s="156" t="str">
        <f>IF('Bulk Order Details'!R28="","","-"&amp;LOOKUP('Bulk Order Details'!R28,#REF!,#REF!))</f>
        <v/>
      </c>
      <c r="AI18" s="156" t="str">
        <f>IF('Bulk Order Details'!S28="","","-"&amp;LOOKUP('Bulk Order Details'!S28,#REF!,#REF!))</f>
        <v/>
      </c>
      <c r="AJ18" s="156" t="str">
        <f>IF('Bulk Order Details'!T28="","","-"&amp;LOOKUP('Bulk Order Details'!T28,#REF!,#REF!))</f>
        <v/>
      </c>
      <c r="AK18" s="156" t="str">
        <f>IF('Bulk Order Details'!U28="","","-"&amp;LOOKUP('Bulk Order Details'!U28,#REF!,#REF!))</f>
        <v/>
      </c>
      <c r="AL18" s="156" t="str">
        <f>IF('Bulk Order Details'!V28="","","-"&amp;LOOKUP('Bulk Order Details'!V28,#REF!,#REF!))</f>
        <v/>
      </c>
      <c r="AM18" s="156" t="str">
        <f t="shared" si="2"/>
        <v/>
      </c>
      <c r="AN18" s="156" t="str">
        <f>IF('Bulk Order Details'!N28="","","Na-"&amp;'Bulk Order Details'!N28)</f>
        <v/>
      </c>
      <c r="AO18" s="156" t="str">
        <f>IF('Bulk Order Details'!Q28="","","Fo-"&amp;'Bulk Order Details'!Q28)</f>
        <v/>
      </c>
      <c r="AP18" s="156" t="str">
        <f t="shared" si="3"/>
        <v/>
      </c>
      <c r="AQ18" s="37" t="str">
        <f t="shared" si="4"/>
        <v/>
      </c>
    </row>
    <row r="19" spans="2:43" ht="13.5" customHeight="1" x14ac:dyDescent="0.2">
      <c r="B19" s="34">
        <f>'Bulk Order Details'!B29</f>
        <v>16</v>
      </c>
      <c r="C19" s="34" t="str">
        <f>IF('Bulk Order Details'!C29="","",'Bulk Order Details'!C29&amp;" "&amp;'Bulk Order Details'!D29)</f>
        <v/>
      </c>
      <c r="D19" s="31" t="str">
        <f>IF('Bulk Order Details'!M29="","",VLOOKUP(1,Price[],3))</f>
        <v/>
      </c>
      <c r="E19" s="29" t="str">
        <f>IF('Bulk Order Details'!M29="","",Summary!$D$9)</f>
        <v/>
      </c>
      <c r="F19" s="16" t="str">
        <f>IF('Bulk Order Details'!I29="","",_xlfn.XLOOKUP('Bulk Order Details'!I29,Size[Display],Size[Price]))</f>
        <v/>
      </c>
      <c r="G19" s="16" t="str">
        <f>IF('Bulk Order Details'!J29="","",_xlfn.XLOOKUP('Bulk Order Details'!J29,Length[Display],Length[Price]))</f>
        <v/>
      </c>
      <c r="H19" s="16" t="str">
        <f>IF('Bulk Order Details'!K29="","",_xlfn.XLOOKUP('Bulk Order Details'!K29,Collection[Display],Collection[Price]))</f>
        <v/>
      </c>
      <c r="I19" s="16" t="str">
        <f>IF('Bulk Order Details'!L29="","",_xlfn.XLOOKUP('Bulk Order Details'!L29,Sleeve[Display],Sleeve[Price]))</f>
        <v/>
      </c>
      <c r="J19" s="16" t="str">
        <f>IF('Bulk Order Details'!M29="","",_xlfn.XLOOKUP('Bulk Order Details'!M29,Collar[Display],Collar[Price]))</f>
        <v/>
      </c>
      <c r="K19" s="16" t="str">
        <f>IF('Bulk Order Details'!N29="","",_xlfn.XLOOKUP("Name",Name[Name],Name[Price]))</f>
        <v/>
      </c>
      <c r="L19" s="18" t="str">
        <f>IFERROR(IF('Bulk Order Details'!R29="","",IF(_xlfn.XLOOKUP('Bulk Order Details'!R29,Logos[Display],Logos[Use])="Flat",_xlfn.XLOOKUP('Bulk Order Details'!R29,Logos[Display],Logos[Flat]),ROUND(_xlfn.XLOOKUP('Bulk Order Details'!R29,Logos[Display],Logos[Pct])*$E19,2))),"")</f>
        <v/>
      </c>
      <c r="M19" s="22" t="str">
        <f>IFERROR(IF('Bulk Order Details'!S29="","",IF(_xlfn.XLOOKUP('Bulk Order Details'!S29,Chest[Display],Chest[Use])="Flat",_xlfn.XLOOKUP('Bulk Order Details'!S29,Chest[Display],Chest[Flat]),ROUND(_xlfn.XLOOKUP('Bulk Order Details'!S29,Chest[Display],Chest[Pct])*$E19,2))),"")</f>
        <v/>
      </c>
      <c r="N19" s="22" t="str">
        <f>IFERROR(IF('Bulk Order Details'!T29="","",IF(_xlfn.XLOOKUP('Bulk Order Details'!T29,Chest[Display],Chest[Use])="Flat",_xlfn.XLOOKUP('Bulk Order Details'!T29,Chest[Display],Chest[Flat]),ROUND(_xlfn.XLOOKUP('Bulk Order Details'!T29,Chest[Display],Chest[Pct])*$E19,2))),"")</f>
        <v/>
      </c>
      <c r="O19" s="22" t="str">
        <f>IFERROR(IF('Bulk Order Details'!U29="","",IF(_xlfn.XLOOKUP('Bulk Order Details'!U29,LeftSleeve[Display],LeftSleeve[Use])="Flat",_xlfn.XLOOKUP('Bulk Order Details'!U29,LeftSleeve[Display],LeftSleeve[Flat]),ROUND(_xlfn.XLOOKUP('Bulk Order Details'!U29,LeftSleeve[Display],LeftSleeve[Pct])*$E19,2))),"")</f>
        <v/>
      </c>
      <c r="P19" s="22" t="str">
        <f>IFERROR(IF('Bulk Order Details'!V29="","",IF(_xlfn.XLOOKUP('Bulk Order Details'!V29,RightSleeve[Display],RightSleeve[Use])="Flat",_xlfn.XLOOKUP('Bulk Order Details'!V29,RightSleeve[Display],RightSleeve[Flat]),ROUND(_xlfn.XLOOKUP('Bulk Order Details'!V29,RightSleeve[Display],RightSleeve[Pct])*$E19,2))),"")</f>
        <v/>
      </c>
      <c r="Q19" s="27" t="str">
        <f>IF('Bulk Order Details'!M29="","",SUM(F19:P19))</f>
        <v/>
      </c>
      <c r="R19" s="24" t="str">
        <f t="shared" si="1"/>
        <v/>
      </c>
      <c r="S19" s="23" t="str">
        <f>IFERROR(MIN(IF(Summary!$D$11="Yes",-J19,0),IF(H19&gt;0,-J19,0)),"")</f>
        <v/>
      </c>
      <c r="T19" s="16" t="str">
        <f>IFERROR(IF(Summary!$D$10="Yes",-K19,""),"")</f>
        <v/>
      </c>
      <c r="U19" s="18" t="str">
        <f>IFERROR(IF(Summary!$D$12="Yes",-L19,""),"")</f>
        <v/>
      </c>
      <c r="V19" s="25" t="str">
        <f>IF('Bulk Order Details'!M29="","",SUM(R19:U19))</f>
        <v/>
      </c>
      <c r="W19" s="36" t="str">
        <f>IF('Bulk Order Details'!M29="","",D19+Q19)</f>
        <v/>
      </c>
      <c r="X19" s="37" t="str">
        <f>IF('Bulk Order Details'!M29="","",D19+Q19+V19)</f>
        <v/>
      </c>
      <c r="Y19" s="168" t="str">
        <f t="shared" si="0"/>
        <v/>
      </c>
      <c r="Z19" s="173" t="str">
        <f>IF('Bulk Order Details'!M29="","",MAX(1,'Bulk Order Details'!G29))</f>
        <v/>
      </c>
      <c r="AA19" s="196" t="str">
        <f>IF(Pricing_Details[[#This Row],[Quantity]]="","",Pricing_Details[[#This Row],[Retail Price]]*Pricing_Details[[#This Row],[Quantity]])</f>
        <v/>
      </c>
      <c r="AB19" s="196" t="str">
        <f>IF(Pricing_Details[[#This Row],[Quantity]]="","",Pricing_Details[[#This Row],[Total Discount]]*Pricing_Details[[#This Row],[Quantity]])</f>
        <v/>
      </c>
      <c r="AC19" s="176" t="str">
        <f>IFERROR(ROUND(Pricing_Details[[#This Row],[Actual Price]]*Pricing_Details[[#This Row],[Quantity]],2),"")</f>
        <v/>
      </c>
      <c r="AE19" s="156" t="str">
        <f>IF('Bulk Order Details'!M29="","",VLOOKUP('Bulk Order Details'!K29,Collection[],3)&amp;VLOOKUP('Bulk Order Details'!M29,Collar[],4)&amp;VLOOKUP('Bulk Order Details'!L29,Sleeve[],4))</f>
        <v/>
      </c>
      <c r="AF19" s="156" t="str">
        <f>IF('Bulk Order Details'!M29="","",LOOKUP('Bulk Order Details'!H29,Cut[Display],Cut[Code])&amp;LOOKUP('Bulk Order Details'!I29,#REF!,#REF!)&amp;IF('Bulk Order Details'!J29="","",LOOKUP('Bulk Order Details'!J29,Length[Display],Length[Code])))</f>
        <v/>
      </c>
      <c r="AG19" s="156" t="str">
        <f>IF('Bulk Order Details'!M29="","",IF('Bulk Order Details'!F29="","",'Bulk Order Details'!F29))</f>
        <v/>
      </c>
      <c r="AH19" s="156" t="str">
        <f>IF('Bulk Order Details'!R29="","","-"&amp;LOOKUP('Bulk Order Details'!R29,#REF!,#REF!))</f>
        <v/>
      </c>
      <c r="AI19" s="156" t="str">
        <f>IF('Bulk Order Details'!S29="","","-"&amp;LOOKUP('Bulk Order Details'!S29,#REF!,#REF!))</f>
        <v/>
      </c>
      <c r="AJ19" s="156" t="str">
        <f>IF('Bulk Order Details'!T29="","","-"&amp;LOOKUP('Bulk Order Details'!T29,#REF!,#REF!))</f>
        <v/>
      </c>
      <c r="AK19" s="156" t="str">
        <f>IF('Bulk Order Details'!U29="","","-"&amp;LOOKUP('Bulk Order Details'!U29,#REF!,#REF!))</f>
        <v/>
      </c>
      <c r="AL19" s="156" t="str">
        <f>IF('Bulk Order Details'!V29="","","-"&amp;LOOKUP('Bulk Order Details'!V29,#REF!,#REF!))</f>
        <v/>
      </c>
      <c r="AM19" s="156" t="str">
        <f t="shared" si="2"/>
        <v/>
      </c>
      <c r="AN19" s="156" t="str">
        <f>IF('Bulk Order Details'!N29="","","Na-"&amp;'Bulk Order Details'!N29)</f>
        <v/>
      </c>
      <c r="AO19" s="156" t="str">
        <f>IF('Bulk Order Details'!Q29="","","Fo-"&amp;'Bulk Order Details'!Q29)</f>
        <v/>
      </c>
      <c r="AP19" s="156" t="str">
        <f t="shared" si="3"/>
        <v/>
      </c>
      <c r="AQ19" s="37" t="str">
        <f t="shared" si="4"/>
        <v/>
      </c>
    </row>
    <row r="20" spans="2:43" ht="13.5" customHeight="1" x14ac:dyDescent="0.2">
      <c r="B20" s="34">
        <f>'Bulk Order Details'!B30</f>
        <v>17</v>
      </c>
      <c r="C20" s="34" t="str">
        <f>IF('Bulk Order Details'!C30="","",'Bulk Order Details'!C30&amp;" "&amp;'Bulk Order Details'!D30)</f>
        <v/>
      </c>
      <c r="D20" s="31" t="str">
        <f>IF('Bulk Order Details'!M30="","",VLOOKUP(1,Price[],3))</f>
        <v/>
      </c>
      <c r="E20" s="29" t="str">
        <f>IF('Bulk Order Details'!M30="","",Summary!$D$9)</f>
        <v/>
      </c>
      <c r="F20" s="16" t="str">
        <f>IF('Bulk Order Details'!I30="","",_xlfn.XLOOKUP('Bulk Order Details'!I30,Size[Display],Size[Price]))</f>
        <v/>
      </c>
      <c r="G20" s="16" t="str">
        <f>IF('Bulk Order Details'!J30="","",_xlfn.XLOOKUP('Bulk Order Details'!J30,Length[Display],Length[Price]))</f>
        <v/>
      </c>
      <c r="H20" s="16" t="str">
        <f>IF('Bulk Order Details'!K30="","",_xlfn.XLOOKUP('Bulk Order Details'!K30,Collection[Display],Collection[Price]))</f>
        <v/>
      </c>
      <c r="I20" s="16" t="str">
        <f>IF('Bulk Order Details'!L30="","",_xlfn.XLOOKUP('Bulk Order Details'!L30,Sleeve[Display],Sleeve[Price]))</f>
        <v/>
      </c>
      <c r="J20" s="16" t="str">
        <f>IF('Bulk Order Details'!M30="","",_xlfn.XLOOKUP('Bulk Order Details'!M30,Collar[Display],Collar[Price]))</f>
        <v/>
      </c>
      <c r="K20" s="16" t="str">
        <f>IF('Bulk Order Details'!N30="","",_xlfn.XLOOKUP("Name",Name[Name],Name[Price]))</f>
        <v/>
      </c>
      <c r="L20" s="18" t="str">
        <f>IFERROR(IF('Bulk Order Details'!R30="","",IF(_xlfn.XLOOKUP('Bulk Order Details'!R30,Logos[Display],Logos[Use])="Flat",_xlfn.XLOOKUP('Bulk Order Details'!R30,Logos[Display],Logos[Flat]),ROUND(_xlfn.XLOOKUP('Bulk Order Details'!R30,Logos[Display],Logos[Pct])*$E20,2))),"")</f>
        <v/>
      </c>
      <c r="M20" s="22" t="str">
        <f>IFERROR(IF('Bulk Order Details'!S30="","",IF(_xlfn.XLOOKUP('Bulk Order Details'!S30,Chest[Display],Chest[Use])="Flat",_xlfn.XLOOKUP('Bulk Order Details'!S30,Chest[Display],Chest[Flat]),ROUND(_xlfn.XLOOKUP('Bulk Order Details'!S30,Chest[Display],Chest[Pct])*$E20,2))),"")</f>
        <v/>
      </c>
      <c r="N20" s="22" t="str">
        <f>IFERROR(IF('Bulk Order Details'!T30="","",IF(_xlfn.XLOOKUP('Bulk Order Details'!T30,Chest[Display],Chest[Use])="Flat",_xlfn.XLOOKUP('Bulk Order Details'!T30,Chest[Display],Chest[Flat]),ROUND(_xlfn.XLOOKUP('Bulk Order Details'!T30,Chest[Display],Chest[Pct])*$E20,2))),"")</f>
        <v/>
      </c>
      <c r="O20" s="22" t="str">
        <f>IFERROR(IF('Bulk Order Details'!U30="","",IF(_xlfn.XLOOKUP('Bulk Order Details'!U30,LeftSleeve[Display],LeftSleeve[Use])="Flat",_xlfn.XLOOKUP('Bulk Order Details'!U30,LeftSleeve[Display],LeftSleeve[Flat]),ROUND(_xlfn.XLOOKUP('Bulk Order Details'!U30,LeftSleeve[Display],LeftSleeve[Pct])*$E20,2))),"")</f>
        <v/>
      </c>
      <c r="P20" s="22" t="str">
        <f>IFERROR(IF('Bulk Order Details'!V30="","",IF(_xlfn.XLOOKUP('Bulk Order Details'!V30,RightSleeve[Display],RightSleeve[Use])="Flat",_xlfn.XLOOKUP('Bulk Order Details'!V30,RightSleeve[Display],RightSleeve[Flat]),ROUND(_xlfn.XLOOKUP('Bulk Order Details'!V30,RightSleeve[Display],RightSleeve[Pct])*$E20,2))),"")</f>
        <v/>
      </c>
      <c r="Q20" s="27" t="str">
        <f>IF('Bulk Order Details'!M30="","",SUM(F20:P20))</f>
        <v/>
      </c>
      <c r="R20" s="24" t="str">
        <f t="shared" si="1"/>
        <v/>
      </c>
      <c r="S20" s="23" t="str">
        <f>IFERROR(MIN(IF(Summary!$D$11="Yes",-J20,0),IF(H20&gt;0,-J20,0)),"")</f>
        <v/>
      </c>
      <c r="T20" s="16" t="str">
        <f>IFERROR(IF(Summary!$D$10="Yes",-K20,""),"")</f>
        <v/>
      </c>
      <c r="U20" s="18" t="str">
        <f>IFERROR(IF(Summary!$D$12="Yes",-L20,""),"")</f>
        <v/>
      </c>
      <c r="V20" s="25" t="str">
        <f>IF('Bulk Order Details'!M30="","",SUM(R20:U20))</f>
        <v/>
      </c>
      <c r="W20" s="36" t="str">
        <f>IF('Bulk Order Details'!M30="","",D20+Q20)</f>
        <v/>
      </c>
      <c r="X20" s="37" t="str">
        <f>IF('Bulk Order Details'!M30="","",D20+Q20+V20)</f>
        <v/>
      </c>
      <c r="Y20" s="168" t="str">
        <f t="shared" si="0"/>
        <v/>
      </c>
      <c r="Z20" s="173" t="str">
        <f>IF('Bulk Order Details'!M30="","",MAX(1,'Bulk Order Details'!G30))</f>
        <v/>
      </c>
      <c r="AA20" s="196" t="str">
        <f>IF(Pricing_Details[[#This Row],[Quantity]]="","",Pricing_Details[[#This Row],[Retail Price]]*Pricing_Details[[#This Row],[Quantity]])</f>
        <v/>
      </c>
      <c r="AB20" s="196" t="str">
        <f>IF(Pricing_Details[[#This Row],[Quantity]]="","",Pricing_Details[[#This Row],[Total Discount]]*Pricing_Details[[#This Row],[Quantity]])</f>
        <v/>
      </c>
      <c r="AC20" s="176" t="str">
        <f>IFERROR(ROUND(Pricing_Details[[#This Row],[Actual Price]]*Pricing_Details[[#This Row],[Quantity]],2),"")</f>
        <v/>
      </c>
      <c r="AE20" s="156" t="str">
        <f>IF('Bulk Order Details'!M30="","",VLOOKUP('Bulk Order Details'!K30,Collection[],3)&amp;VLOOKUP('Bulk Order Details'!M30,Collar[],4)&amp;VLOOKUP('Bulk Order Details'!L30,Sleeve[],4))</f>
        <v/>
      </c>
      <c r="AF20" s="156" t="str">
        <f>IF('Bulk Order Details'!M30="","",LOOKUP('Bulk Order Details'!H30,Cut[Display],Cut[Code])&amp;LOOKUP('Bulk Order Details'!I30,#REF!,#REF!)&amp;IF('Bulk Order Details'!J30="","",LOOKUP('Bulk Order Details'!J30,Length[Display],Length[Code])))</f>
        <v/>
      </c>
      <c r="AG20" s="156" t="str">
        <f>IF('Bulk Order Details'!M30="","",IF('Bulk Order Details'!F30="","",'Bulk Order Details'!F30))</f>
        <v/>
      </c>
      <c r="AH20" s="156" t="str">
        <f>IF('Bulk Order Details'!R30="","","-"&amp;LOOKUP('Bulk Order Details'!R30,#REF!,#REF!))</f>
        <v/>
      </c>
      <c r="AI20" s="156" t="str">
        <f>IF('Bulk Order Details'!S30="","","-"&amp;LOOKUP('Bulk Order Details'!S30,#REF!,#REF!))</f>
        <v/>
      </c>
      <c r="AJ20" s="156" t="str">
        <f>IF('Bulk Order Details'!T30="","","-"&amp;LOOKUP('Bulk Order Details'!T30,#REF!,#REF!))</f>
        <v/>
      </c>
      <c r="AK20" s="156" t="str">
        <f>IF('Bulk Order Details'!U30="","","-"&amp;LOOKUP('Bulk Order Details'!U30,#REF!,#REF!))</f>
        <v/>
      </c>
      <c r="AL20" s="156" t="str">
        <f>IF('Bulk Order Details'!V30="","","-"&amp;LOOKUP('Bulk Order Details'!V30,#REF!,#REF!))</f>
        <v/>
      </c>
      <c r="AM20" s="156" t="str">
        <f t="shared" si="2"/>
        <v/>
      </c>
      <c r="AN20" s="156" t="str">
        <f>IF('Bulk Order Details'!N30="","","Na-"&amp;'Bulk Order Details'!N30)</f>
        <v/>
      </c>
      <c r="AO20" s="156" t="str">
        <f>IF('Bulk Order Details'!Q30="","","Fo-"&amp;'Bulk Order Details'!Q30)</f>
        <v/>
      </c>
      <c r="AP20" s="156" t="str">
        <f t="shared" si="3"/>
        <v/>
      </c>
      <c r="AQ20" s="37" t="str">
        <f t="shared" si="4"/>
        <v/>
      </c>
    </row>
    <row r="21" spans="2:43" ht="13.5" customHeight="1" x14ac:dyDescent="0.2">
      <c r="B21" s="34">
        <f>'Bulk Order Details'!B31</f>
        <v>18</v>
      </c>
      <c r="C21" s="34" t="str">
        <f>IF('Bulk Order Details'!C31="","",'Bulk Order Details'!C31&amp;" "&amp;'Bulk Order Details'!D31)</f>
        <v/>
      </c>
      <c r="D21" s="31" t="str">
        <f>IF('Bulk Order Details'!M31="","",VLOOKUP(1,Price[],3))</f>
        <v/>
      </c>
      <c r="E21" s="29" t="str">
        <f>IF('Bulk Order Details'!M31="","",Summary!$D$9)</f>
        <v/>
      </c>
      <c r="F21" s="16" t="str">
        <f>IF('Bulk Order Details'!I31="","",_xlfn.XLOOKUP('Bulk Order Details'!I31,Size[Display],Size[Price]))</f>
        <v/>
      </c>
      <c r="G21" s="16" t="str">
        <f>IF('Bulk Order Details'!J31="","",_xlfn.XLOOKUP('Bulk Order Details'!J31,Length[Display],Length[Price]))</f>
        <v/>
      </c>
      <c r="H21" s="16" t="str">
        <f>IF('Bulk Order Details'!K31="","",_xlfn.XLOOKUP('Bulk Order Details'!K31,Collection[Display],Collection[Price]))</f>
        <v/>
      </c>
      <c r="I21" s="16" t="str">
        <f>IF('Bulk Order Details'!L31="","",_xlfn.XLOOKUP('Bulk Order Details'!L31,Sleeve[Display],Sleeve[Price]))</f>
        <v/>
      </c>
      <c r="J21" s="16" t="str">
        <f>IF('Bulk Order Details'!M31="","",_xlfn.XLOOKUP('Bulk Order Details'!M31,Collar[Display],Collar[Price]))</f>
        <v/>
      </c>
      <c r="K21" s="16" t="str">
        <f>IF('Bulk Order Details'!N31="","",_xlfn.XLOOKUP("Name",Name[Name],Name[Price]))</f>
        <v/>
      </c>
      <c r="L21" s="18" t="str">
        <f>IFERROR(IF('Bulk Order Details'!R31="","",IF(_xlfn.XLOOKUP('Bulk Order Details'!R31,Logos[Display],Logos[Use])="Flat",_xlfn.XLOOKUP('Bulk Order Details'!R31,Logos[Display],Logos[Flat]),ROUND(_xlfn.XLOOKUP('Bulk Order Details'!R31,Logos[Display],Logos[Pct])*$E21,2))),"")</f>
        <v/>
      </c>
      <c r="M21" s="22" t="str">
        <f>IFERROR(IF('Bulk Order Details'!S31="","",IF(_xlfn.XLOOKUP('Bulk Order Details'!S31,Chest[Display],Chest[Use])="Flat",_xlfn.XLOOKUP('Bulk Order Details'!S31,Chest[Display],Chest[Flat]),ROUND(_xlfn.XLOOKUP('Bulk Order Details'!S31,Chest[Display],Chest[Pct])*$E21,2))),"")</f>
        <v/>
      </c>
      <c r="N21" s="22" t="str">
        <f>IFERROR(IF('Bulk Order Details'!T31="","",IF(_xlfn.XLOOKUP('Bulk Order Details'!T31,Chest[Display],Chest[Use])="Flat",_xlfn.XLOOKUP('Bulk Order Details'!T31,Chest[Display],Chest[Flat]),ROUND(_xlfn.XLOOKUP('Bulk Order Details'!T31,Chest[Display],Chest[Pct])*$E21,2))),"")</f>
        <v/>
      </c>
      <c r="O21" s="22" t="str">
        <f>IFERROR(IF('Bulk Order Details'!U31="","",IF(_xlfn.XLOOKUP('Bulk Order Details'!U31,LeftSleeve[Display],LeftSleeve[Use])="Flat",_xlfn.XLOOKUP('Bulk Order Details'!U31,LeftSleeve[Display],LeftSleeve[Flat]),ROUND(_xlfn.XLOOKUP('Bulk Order Details'!U31,LeftSleeve[Display],LeftSleeve[Pct])*$E21,2))),"")</f>
        <v/>
      </c>
      <c r="P21" s="22" t="str">
        <f>IFERROR(IF('Bulk Order Details'!V31="","",IF(_xlfn.XLOOKUP('Bulk Order Details'!V31,RightSleeve[Display],RightSleeve[Use])="Flat",_xlfn.XLOOKUP('Bulk Order Details'!V31,RightSleeve[Display],RightSleeve[Flat]),ROUND(_xlfn.XLOOKUP('Bulk Order Details'!V31,RightSleeve[Display],RightSleeve[Pct])*$E21,2))),"")</f>
        <v/>
      </c>
      <c r="Q21" s="27" t="str">
        <f>IF('Bulk Order Details'!M31="","",SUM(F21:P21))</f>
        <v/>
      </c>
      <c r="R21" s="24" t="str">
        <f t="shared" si="1"/>
        <v/>
      </c>
      <c r="S21" s="23" t="str">
        <f>IFERROR(MIN(IF(Summary!$D$11="Yes",-J21,0),IF(H21&gt;0,-J21,0)),"")</f>
        <v/>
      </c>
      <c r="T21" s="16" t="str">
        <f>IFERROR(IF(Summary!$D$10="Yes",-K21,""),"")</f>
        <v/>
      </c>
      <c r="U21" s="18" t="str">
        <f>IFERROR(IF(Summary!$D$12="Yes",-L21,""),"")</f>
        <v/>
      </c>
      <c r="V21" s="25" t="str">
        <f>IF('Bulk Order Details'!M31="","",SUM(R21:U21))</f>
        <v/>
      </c>
      <c r="W21" s="36" t="str">
        <f>IF('Bulk Order Details'!M31="","",D21+Q21)</f>
        <v/>
      </c>
      <c r="X21" s="37" t="str">
        <f>IF('Bulk Order Details'!M31="","",D21+Q21+V21)</f>
        <v/>
      </c>
      <c r="Y21" s="168" t="str">
        <f t="shared" si="0"/>
        <v/>
      </c>
      <c r="Z21" s="173" t="str">
        <f>IF('Bulk Order Details'!M31="","",MAX(1,'Bulk Order Details'!G31))</f>
        <v/>
      </c>
      <c r="AA21" s="196" t="str">
        <f>IF(Pricing_Details[[#This Row],[Quantity]]="","",Pricing_Details[[#This Row],[Retail Price]]*Pricing_Details[[#This Row],[Quantity]])</f>
        <v/>
      </c>
      <c r="AB21" s="196" t="str">
        <f>IF(Pricing_Details[[#This Row],[Quantity]]="","",Pricing_Details[[#This Row],[Total Discount]]*Pricing_Details[[#This Row],[Quantity]])</f>
        <v/>
      </c>
      <c r="AC21" s="176" t="str">
        <f>IFERROR(ROUND(Pricing_Details[[#This Row],[Actual Price]]*Pricing_Details[[#This Row],[Quantity]],2),"")</f>
        <v/>
      </c>
      <c r="AE21" s="156" t="str">
        <f>IF('Bulk Order Details'!M31="","",VLOOKUP('Bulk Order Details'!K31,Collection[],3)&amp;VLOOKUP('Bulk Order Details'!M31,Collar[],4)&amp;VLOOKUP('Bulk Order Details'!L31,Sleeve[],4))</f>
        <v/>
      </c>
      <c r="AF21" s="156" t="str">
        <f>IF('Bulk Order Details'!M31="","",LOOKUP('Bulk Order Details'!H31,Cut[Display],Cut[Code])&amp;LOOKUP('Bulk Order Details'!I31,#REF!,#REF!)&amp;IF('Bulk Order Details'!J31="","",LOOKUP('Bulk Order Details'!J31,Length[Display],Length[Code])))</f>
        <v/>
      </c>
      <c r="AG21" s="156" t="str">
        <f>IF('Bulk Order Details'!M31="","",IF('Bulk Order Details'!F31="","",'Bulk Order Details'!F31))</f>
        <v/>
      </c>
      <c r="AH21" s="156" t="str">
        <f>IF('Bulk Order Details'!R31="","","-"&amp;LOOKUP('Bulk Order Details'!R31,#REF!,#REF!))</f>
        <v/>
      </c>
      <c r="AI21" s="156" t="str">
        <f>IF('Bulk Order Details'!S31="","","-"&amp;LOOKUP('Bulk Order Details'!S31,#REF!,#REF!))</f>
        <v/>
      </c>
      <c r="AJ21" s="156" t="str">
        <f>IF('Bulk Order Details'!T31="","","-"&amp;LOOKUP('Bulk Order Details'!T31,#REF!,#REF!))</f>
        <v/>
      </c>
      <c r="AK21" s="156" t="str">
        <f>IF('Bulk Order Details'!U31="","","-"&amp;LOOKUP('Bulk Order Details'!U31,#REF!,#REF!))</f>
        <v/>
      </c>
      <c r="AL21" s="156" t="str">
        <f>IF('Bulk Order Details'!V31="","","-"&amp;LOOKUP('Bulk Order Details'!V31,#REF!,#REF!))</f>
        <v/>
      </c>
      <c r="AM21" s="156" t="str">
        <f t="shared" si="2"/>
        <v/>
      </c>
      <c r="AN21" s="156" t="str">
        <f>IF('Bulk Order Details'!N31="","","Na-"&amp;'Bulk Order Details'!N31)</f>
        <v/>
      </c>
      <c r="AO21" s="156" t="str">
        <f>IF('Bulk Order Details'!Q31="","","Fo-"&amp;'Bulk Order Details'!Q31)</f>
        <v/>
      </c>
      <c r="AP21" s="156" t="str">
        <f t="shared" si="3"/>
        <v/>
      </c>
      <c r="AQ21" s="37" t="str">
        <f t="shared" si="4"/>
        <v/>
      </c>
    </row>
    <row r="22" spans="2:43" ht="13.5" customHeight="1" x14ac:dyDescent="0.2">
      <c r="B22" s="34">
        <f>'Bulk Order Details'!B32</f>
        <v>19</v>
      </c>
      <c r="C22" s="34" t="str">
        <f>IF('Bulk Order Details'!C32="","",'Bulk Order Details'!C32&amp;" "&amp;'Bulk Order Details'!D32)</f>
        <v/>
      </c>
      <c r="D22" s="31" t="str">
        <f>IF('Bulk Order Details'!M32="","",VLOOKUP(1,Price[],3))</f>
        <v/>
      </c>
      <c r="E22" s="29" t="str">
        <f>IF('Bulk Order Details'!M32="","",Summary!$D$9)</f>
        <v/>
      </c>
      <c r="F22" s="16" t="str">
        <f>IF('Bulk Order Details'!I32="","",_xlfn.XLOOKUP('Bulk Order Details'!I32,Size[Display],Size[Price]))</f>
        <v/>
      </c>
      <c r="G22" s="16" t="str">
        <f>IF('Bulk Order Details'!J32="","",_xlfn.XLOOKUP('Bulk Order Details'!J32,Length[Display],Length[Price]))</f>
        <v/>
      </c>
      <c r="H22" s="16" t="str">
        <f>IF('Bulk Order Details'!K32="","",_xlfn.XLOOKUP('Bulk Order Details'!K32,Collection[Display],Collection[Price]))</f>
        <v/>
      </c>
      <c r="I22" s="16" t="str">
        <f>IF('Bulk Order Details'!L32="","",_xlfn.XLOOKUP('Bulk Order Details'!L32,Sleeve[Display],Sleeve[Price]))</f>
        <v/>
      </c>
      <c r="J22" s="16" t="str">
        <f>IF('Bulk Order Details'!M32="","",_xlfn.XLOOKUP('Bulk Order Details'!M32,Collar[Display],Collar[Price]))</f>
        <v/>
      </c>
      <c r="K22" s="16" t="str">
        <f>IF('Bulk Order Details'!N32="","",_xlfn.XLOOKUP("Name",Name[Name],Name[Price]))</f>
        <v/>
      </c>
      <c r="L22" s="18" t="str">
        <f>IFERROR(IF('Bulk Order Details'!R32="","",IF(_xlfn.XLOOKUP('Bulk Order Details'!R32,Logos[Display],Logos[Use])="Flat",_xlfn.XLOOKUP('Bulk Order Details'!R32,Logos[Display],Logos[Flat]),ROUND(_xlfn.XLOOKUP('Bulk Order Details'!R32,Logos[Display],Logos[Pct])*$E22,2))),"")</f>
        <v/>
      </c>
      <c r="M22" s="22" t="str">
        <f>IFERROR(IF('Bulk Order Details'!S32="","",IF(_xlfn.XLOOKUP('Bulk Order Details'!S32,Chest[Display],Chest[Use])="Flat",_xlfn.XLOOKUP('Bulk Order Details'!S32,Chest[Display],Chest[Flat]),ROUND(_xlfn.XLOOKUP('Bulk Order Details'!S32,Chest[Display],Chest[Pct])*$E22,2))),"")</f>
        <v/>
      </c>
      <c r="N22" s="22" t="str">
        <f>IFERROR(IF('Bulk Order Details'!T32="","",IF(_xlfn.XLOOKUP('Bulk Order Details'!T32,Chest[Display],Chest[Use])="Flat",_xlfn.XLOOKUP('Bulk Order Details'!T32,Chest[Display],Chest[Flat]),ROUND(_xlfn.XLOOKUP('Bulk Order Details'!T32,Chest[Display],Chest[Pct])*$E22,2))),"")</f>
        <v/>
      </c>
      <c r="O22" s="22" t="str">
        <f>IFERROR(IF('Bulk Order Details'!U32="","",IF(_xlfn.XLOOKUP('Bulk Order Details'!U32,LeftSleeve[Display],LeftSleeve[Use])="Flat",_xlfn.XLOOKUP('Bulk Order Details'!U32,LeftSleeve[Display],LeftSleeve[Flat]),ROUND(_xlfn.XLOOKUP('Bulk Order Details'!U32,LeftSleeve[Display],LeftSleeve[Pct])*$E22,2))),"")</f>
        <v/>
      </c>
      <c r="P22" s="22" t="str">
        <f>IFERROR(IF('Bulk Order Details'!V32="","",IF(_xlfn.XLOOKUP('Bulk Order Details'!V32,RightSleeve[Display],RightSleeve[Use])="Flat",_xlfn.XLOOKUP('Bulk Order Details'!V32,RightSleeve[Display],RightSleeve[Flat]),ROUND(_xlfn.XLOOKUP('Bulk Order Details'!V32,RightSleeve[Display],RightSleeve[Pct])*$E22,2))),"")</f>
        <v/>
      </c>
      <c r="Q22" s="27" t="str">
        <f>IF('Bulk Order Details'!M32="","",SUM(F22:P22))</f>
        <v/>
      </c>
      <c r="R22" s="24" t="str">
        <f t="shared" si="1"/>
        <v/>
      </c>
      <c r="S22" s="23" t="str">
        <f>IFERROR(MIN(IF(Summary!$D$11="Yes",-J22,0),IF(H22&gt;0,-J22,0)),"")</f>
        <v/>
      </c>
      <c r="T22" s="16" t="str">
        <f>IFERROR(IF(Summary!$D$10="Yes",-K22,""),"")</f>
        <v/>
      </c>
      <c r="U22" s="18" t="str">
        <f>IFERROR(IF(Summary!$D$12="Yes",-L22,""),"")</f>
        <v/>
      </c>
      <c r="V22" s="25" t="str">
        <f>IF('Bulk Order Details'!M32="","",SUM(R22:U22))</f>
        <v/>
      </c>
      <c r="W22" s="36" t="str">
        <f>IF('Bulk Order Details'!M32="","",D22+Q22)</f>
        <v/>
      </c>
      <c r="X22" s="37" t="str">
        <f>IF('Bulk Order Details'!M32="","",D22+Q22+V22)</f>
        <v/>
      </c>
      <c r="Y22" s="168" t="str">
        <f t="shared" si="0"/>
        <v/>
      </c>
      <c r="Z22" s="173" t="str">
        <f>IF('Bulk Order Details'!M32="","",MAX(1,'Bulk Order Details'!G32))</f>
        <v/>
      </c>
      <c r="AA22" s="196" t="str">
        <f>IF(Pricing_Details[[#This Row],[Quantity]]="","",Pricing_Details[[#This Row],[Retail Price]]*Pricing_Details[[#This Row],[Quantity]])</f>
        <v/>
      </c>
      <c r="AB22" s="196" t="str">
        <f>IF(Pricing_Details[[#This Row],[Quantity]]="","",Pricing_Details[[#This Row],[Total Discount]]*Pricing_Details[[#This Row],[Quantity]])</f>
        <v/>
      </c>
      <c r="AC22" s="176" t="str">
        <f>IFERROR(ROUND(Pricing_Details[[#This Row],[Actual Price]]*Pricing_Details[[#This Row],[Quantity]],2),"")</f>
        <v/>
      </c>
      <c r="AE22" s="156" t="str">
        <f>IF('Bulk Order Details'!M32="","",VLOOKUP('Bulk Order Details'!K32,Collection[],3)&amp;VLOOKUP('Bulk Order Details'!M32,Collar[],4)&amp;VLOOKUP('Bulk Order Details'!L32,Sleeve[],4))</f>
        <v/>
      </c>
      <c r="AF22" s="156" t="str">
        <f>IF('Bulk Order Details'!M32="","",LOOKUP('Bulk Order Details'!H32,Cut[Display],Cut[Code])&amp;LOOKUP('Bulk Order Details'!I32,#REF!,#REF!)&amp;IF('Bulk Order Details'!J32="","",LOOKUP('Bulk Order Details'!J32,Length[Display],Length[Code])))</f>
        <v/>
      </c>
      <c r="AG22" s="156" t="str">
        <f>IF('Bulk Order Details'!M32="","",IF('Bulk Order Details'!F32="","",'Bulk Order Details'!F32))</f>
        <v/>
      </c>
      <c r="AH22" s="156" t="str">
        <f>IF('Bulk Order Details'!R32="","","-"&amp;LOOKUP('Bulk Order Details'!R32,#REF!,#REF!))</f>
        <v/>
      </c>
      <c r="AI22" s="156" t="str">
        <f>IF('Bulk Order Details'!S32="","","-"&amp;LOOKUP('Bulk Order Details'!S32,#REF!,#REF!))</f>
        <v/>
      </c>
      <c r="AJ22" s="156" t="str">
        <f>IF('Bulk Order Details'!T32="","","-"&amp;LOOKUP('Bulk Order Details'!T32,#REF!,#REF!))</f>
        <v/>
      </c>
      <c r="AK22" s="156" t="str">
        <f>IF('Bulk Order Details'!U32="","","-"&amp;LOOKUP('Bulk Order Details'!U32,#REF!,#REF!))</f>
        <v/>
      </c>
      <c r="AL22" s="156" t="str">
        <f>IF('Bulk Order Details'!V32="","","-"&amp;LOOKUP('Bulk Order Details'!V32,#REF!,#REF!))</f>
        <v/>
      </c>
      <c r="AM22" s="156" t="str">
        <f t="shared" si="2"/>
        <v/>
      </c>
      <c r="AN22" s="156" t="str">
        <f>IF('Bulk Order Details'!N32="","","Na-"&amp;'Bulk Order Details'!N32)</f>
        <v/>
      </c>
      <c r="AO22" s="156" t="str">
        <f>IF('Bulk Order Details'!Q32="","","Fo-"&amp;'Bulk Order Details'!Q32)</f>
        <v/>
      </c>
      <c r="AP22" s="156" t="str">
        <f t="shared" si="3"/>
        <v/>
      </c>
      <c r="AQ22" s="37" t="str">
        <f t="shared" si="4"/>
        <v/>
      </c>
    </row>
    <row r="23" spans="2:43" ht="13.5" customHeight="1" x14ac:dyDescent="0.2">
      <c r="B23" s="34">
        <f>'Bulk Order Details'!B33</f>
        <v>20</v>
      </c>
      <c r="C23" s="34" t="str">
        <f>IF('Bulk Order Details'!C33="","",'Bulk Order Details'!C33&amp;" "&amp;'Bulk Order Details'!D33)</f>
        <v/>
      </c>
      <c r="D23" s="31" t="str">
        <f>IF('Bulk Order Details'!M33="","",VLOOKUP(1,Price[],3))</f>
        <v/>
      </c>
      <c r="E23" s="29" t="str">
        <f>IF('Bulk Order Details'!M33="","",Summary!$D$9)</f>
        <v/>
      </c>
      <c r="F23" s="16" t="str">
        <f>IF('Bulk Order Details'!I33="","",_xlfn.XLOOKUP('Bulk Order Details'!I33,Size[Display],Size[Price]))</f>
        <v/>
      </c>
      <c r="G23" s="16" t="str">
        <f>IF('Bulk Order Details'!J33="","",_xlfn.XLOOKUP('Bulk Order Details'!J33,Length[Display],Length[Price]))</f>
        <v/>
      </c>
      <c r="H23" s="16" t="str">
        <f>IF('Bulk Order Details'!K33="","",_xlfn.XLOOKUP('Bulk Order Details'!K33,Collection[Display],Collection[Price]))</f>
        <v/>
      </c>
      <c r="I23" s="16" t="str">
        <f>IF('Bulk Order Details'!L33="","",_xlfn.XLOOKUP('Bulk Order Details'!L33,Sleeve[Display],Sleeve[Price]))</f>
        <v/>
      </c>
      <c r="J23" s="16" t="str">
        <f>IF('Bulk Order Details'!M33="","",_xlfn.XLOOKUP('Bulk Order Details'!M33,Collar[Display],Collar[Price]))</f>
        <v/>
      </c>
      <c r="K23" s="16" t="str">
        <f>IF('Bulk Order Details'!N33="","",_xlfn.XLOOKUP("Name",Name[Name],Name[Price]))</f>
        <v/>
      </c>
      <c r="L23" s="18" t="str">
        <f>IFERROR(IF('Bulk Order Details'!R33="","",IF(_xlfn.XLOOKUP('Bulk Order Details'!R33,Logos[Display],Logos[Use])="Flat",_xlfn.XLOOKUP('Bulk Order Details'!R33,Logos[Display],Logos[Flat]),ROUND(_xlfn.XLOOKUP('Bulk Order Details'!R33,Logos[Display],Logos[Pct])*$E23,2))),"")</f>
        <v/>
      </c>
      <c r="M23" s="22" t="str">
        <f>IFERROR(IF('Bulk Order Details'!S33="","",IF(_xlfn.XLOOKUP('Bulk Order Details'!S33,Chest[Display],Chest[Use])="Flat",_xlfn.XLOOKUP('Bulk Order Details'!S33,Chest[Display],Chest[Flat]),ROUND(_xlfn.XLOOKUP('Bulk Order Details'!S33,Chest[Display],Chest[Pct])*$E23,2))),"")</f>
        <v/>
      </c>
      <c r="N23" s="22" t="str">
        <f>IFERROR(IF('Bulk Order Details'!T33="","",IF(_xlfn.XLOOKUP('Bulk Order Details'!T33,Chest[Display],Chest[Use])="Flat",_xlfn.XLOOKUP('Bulk Order Details'!T33,Chest[Display],Chest[Flat]),ROUND(_xlfn.XLOOKUP('Bulk Order Details'!T33,Chest[Display],Chest[Pct])*$E23,2))),"")</f>
        <v/>
      </c>
      <c r="O23" s="22" t="str">
        <f>IFERROR(IF('Bulk Order Details'!U33="","",IF(_xlfn.XLOOKUP('Bulk Order Details'!U33,LeftSleeve[Display],LeftSleeve[Use])="Flat",_xlfn.XLOOKUP('Bulk Order Details'!U33,LeftSleeve[Display],LeftSleeve[Flat]),ROUND(_xlfn.XLOOKUP('Bulk Order Details'!U33,LeftSleeve[Display],LeftSleeve[Pct])*$E23,2))),"")</f>
        <v/>
      </c>
      <c r="P23" s="22" t="str">
        <f>IFERROR(IF('Bulk Order Details'!V33="","",IF(_xlfn.XLOOKUP('Bulk Order Details'!V33,RightSleeve[Display],RightSleeve[Use])="Flat",_xlfn.XLOOKUP('Bulk Order Details'!V33,RightSleeve[Display],RightSleeve[Flat]),ROUND(_xlfn.XLOOKUP('Bulk Order Details'!V33,RightSleeve[Display],RightSleeve[Pct])*$E23,2))),"")</f>
        <v/>
      </c>
      <c r="Q23" s="27" t="str">
        <f>IF('Bulk Order Details'!M33="","",SUM(F23:P23))</f>
        <v/>
      </c>
      <c r="R23" s="24" t="str">
        <f t="shared" si="1"/>
        <v/>
      </c>
      <c r="S23" s="23" t="str">
        <f>IFERROR(MIN(IF(Summary!$D$11="Yes",-J23,0),IF(H23&gt;0,-J23,0)),"")</f>
        <v/>
      </c>
      <c r="T23" s="16" t="str">
        <f>IFERROR(IF(Summary!$D$10="Yes",-K23,""),"")</f>
        <v/>
      </c>
      <c r="U23" s="18" t="str">
        <f>IFERROR(IF(Summary!$D$12="Yes",-L23,""),"")</f>
        <v/>
      </c>
      <c r="V23" s="25" t="str">
        <f>IF('Bulk Order Details'!M33="","",SUM(R23:U23))</f>
        <v/>
      </c>
      <c r="W23" s="36" t="str">
        <f>IF('Bulk Order Details'!M33="","",D23+Q23)</f>
        <v/>
      </c>
      <c r="X23" s="37" t="str">
        <f>IF('Bulk Order Details'!M33="","",D23+Q23+V23)</f>
        <v/>
      </c>
      <c r="Y23" s="168" t="str">
        <f t="shared" si="0"/>
        <v/>
      </c>
      <c r="Z23" s="173" t="str">
        <f>IF('Bulk Order Details'!M33="","",MAX(1,'Bulk Order Details'!G33))</f>
        <v/>
      </c>
      <c r="AA23" s="196" t="str">
        <f>IF(Pricing_Details[[#This Row],[Quantity]]="","",Pricing_Details[[#This Row],[Retail Price]]*Pricing_Details[[#This Row],[Quantity]])</f>
        <v/>
      </c>
      <c r="AB23" s="196" t="str">
        <f>IF(Pricing_Details[[#This Row],[Quantity]]="","",Pricing_Details[[#This Row],[Total Discount]]*Pricing_Details[[#This Row],[Quantity]])</f>
        <v/>
      </c>
      <c r="AC23" s="176" t="str">
        <f>IFERROR(ROUND(Pricing_Details[[#This Row],[Actual Price]]*Pricing_Details[[#This Row],[Quantity]],2),"")</f>
        <v/>
      </c>
      <c r="AE23" s="156" t="str">
        <f>IF('Bulk Order Details'!M33="","",VLOOKUP('Bulk Order Details'!K33,Collection[],3)&amp;VLOOKUP('Bulk Order Details'!M33,Collar[],4)&amp;VLOOKUP('Bulk Order Details'!L33,Sleeve[],4))</f>
        <v/>
      </c>
      <c r="AF23" s="156" t="str">
        <f>IF('Bulk Order Details'!M33="","",LOOKUP('Bulk Order Details'!H33,Cut[Display],Cut[Code])&amp;LOOKUP('Bulk Order Details'!I33,#REF!,#REF!)&amp;IF('Bulk Order Details'!J33="","",LOOKUP('Bulk Order Details'!J33,Length[Display],Length[Code])))</f>
        <v/>
      </c>
      <c r="AG23" s="156" t="str">
        <f>IF('Bulk Order Details'!M33="","",IF('Bulk Order Details'!F33="","",'Bulk Order Details'!F33))</f>
        <v/>
      </c>
      <c r="AH23" s="156" t="str">
        <f>IF('Bulk Order Details'!R33="","","-"&amp;LOOKUP('Bulk Order Details'!R33,#REF!,#REF!))</f>
        <v/>
      </c>
      <c r="AI23" s="156" t="str">
        <f>IF('Bulk Order Details'!S33="","","-"&amp;LOOKUP('Bulk Order Details'!S33,#REF!,#REF!))</f>
        <v/>
      </c>
      <c r="AJ23" s="156" t="str">
        <f>IF('Bulk Order Details'!T33="","","-"&amp;LOOKUP('Bulk Order Details'!T33,#REF!,#REF!))</f>
        <v/>
      </c>
      <c r="AK23" s="156" t="str">
        <f>IF('Bulk Order Details'!U33="","","-"&amp;LOOKUP('Bulk Order Details'!U33,#REF!,#REF!))</f>
        <v/>
      </c>
      <c r="AL23" s="156" t="str">
        <f>IF('Bulk Order Details'!V33="","","-"&amp;LOOKUP('Bulk Order Details'!V33,#REF!,#REF!))</f>
        <v/>
      </c>
      <c r="AM23" s="156" t="str">
        <f t="shared" si="2"/>
        <v/>
      </c>
      <c r="AN23" s="156" t="str">
        <f>IF('Bulk Order Details'!N33="","","Na-"&amp;'Bulk Order Details'!N33)</f>
        <v/>
      </c>
      <c r="AO23" s="156" t="str">
        <f>IF('Bulk Order Details'!Q33="","","Fo-"&amp;'Bulk Order Details'!Q33)</f>
        <v/>
      </c>
      <c r="AP23" s="156" t="str">
        <f t="shared" si="3"/>
        <v/>
      </c>
      <c r="AQ23" s="37" t="str">
        <f t="shared" si="4"/>
        <v/>
      </c>
    </row>
    <row r="24" spans="2:43" ht="13.5" customHeight="1" x14ac:dyDescent="0.2">
      <c r="B24" s="34">
        <f>'Bulk Order Details'!B34</f>
        <v>21</v>
      </c>
      <c r="C24" s="34" t="str">
        <f>IF('Bulk Order Details'!C34="","",'Bulk Order Details'!C34&amp;" "&amp;'Bulk Order Details'!D34)</f>
        <v/>
      </c>
      <c r="D24" s="31" t="str">
        <f>IF('Bulk Order Details'!M34="","",VLOOKUP(1,Price[],3))</f>
        <v/>
      </c>
      <c r="E24" s="29" t="str">
        <f>IF('Bulk Order Details'!M34="","",Summary!$D$9)</f>
        <v/>
      </c>
      <c r="F24" s="16" t="str">
        <f>IF('Bulk Order Details'!I34="","",_xlfn.XLOOKUP('Bulk Order Details'!I34,Size[Display],Size[Price]))</f>
        <v/>
      </c>
      <c r="G24" s="16" t="str">
        <f>IF('Bulk Order Details'!J34="","",_xlfn.XLOOKUP('Bulk Order Details'!J34,Length[Display],Length[Price]))</f>
        <v/>
      </c>
      <c r="H24" s="16" t="str">
        <f>IF('Bulk Order Details'!K34="","",_xlfn.XLOOKUP('Bulk Order Details'!K34,Collection[Display],Collection[Price]))</f>
        <v/>
      </c>
      <c r="I24" s="16" t="str">
        <f>IF('Bulk Order Details'!L34="","",_xlfn.XLOOKUP('Bulk Order Details'!L34,Sleeve[Display],Sleeve[Price]))</f>
        <v/>
      </c>
      <c r="J24" s="16" t="str">
        <f>IF('Bulk Order Details'!M34="","",_xlfn.XLOOKUP('Bulk Order Details'!M34,Collar[Display],Collar[Price]))</f>
        <v/>
      </c>
      <c r="K24" s="16" t="str">
        <f>IF('Bulk Order Details'!N34="","",_xlfn.XLOOKUP("Name",Name[Name],Name[Price]))</f>
        <v/>
      </c>
      <c r="L24" s="18" t="str">
        <f>IFERROR(IF('Bulk Order Details'!R34="","",IF(_xlfn.XLOOKUP('Bulk Order Details'!R34,Logos[Display],Logos[Use])="Flat",_xlfn.XLOOKUP('Bulk Order Details'!R34,Logos[Display],Logos[Flat]),ROUND(_xlfn.XLOOKUP('Bulk Order Details'!R34,Logos[Display],Logos[Pct])*$E24,2))),"")</f>
        <v/>
      </c>
      <c r="M24" s="22" t="str">
        <f>IFERROR(IF('Bulk Order Details'!S34="","",IF(_xlfn.XLOOKUP('Bulk Order Details'!S34,Chest[Display],Chest[Use])="Flat",_xlfn.XLOOKUP('Bulk Order Details'!S34,Chest[Display],Chest[Flat]),ROUND(_xlfn.XLOOKUP('Bulk Order Details'!S34,Chest[Display],Chest[Pct])*$E24,2))),"")</f>
        <v/>
      </c>
      <c r="N24" s="22" t="str">
        <f>IFERROR(IF('Bulk Order Details'!T34="","",IF(_xlfn.XLOOKUP('Bulk Order Details'!T34,Chest[Display],Chest[Use])="Flat",_xlfn.XLOOKUP('Bulk Order Details'!T34,Chest[Display],Chest[Flat]),ROUND(_xlfn.XLOOKUP('Bulk Order Details'!T34,Chest[Display],Chest[Pct])*$E24,2))),"")</f>
        <v/>
      </c>
      <c r="O24" s="22" t="str">
        <f>IFERROR(IF('Bulk Order Details'!U34="","",IF(_xlfn.XLOOKUP('Bulk Order Details'!U34,LeftSleeve[Display],LeftSleeve[Use])="Flat",_xlfn.XLOOKUP('Bulk Order Details'!U34,LeftSleeve[Display],LeftSleeve[Flat]),ROUND(_xlfn.XLOOKUP('Bulk Order Details'!U34,LeftSleeve[Display],LeftSleeve[Pct])*$E24,2))),"")</f>
        <v/>
      </c>
      <c r="P24" s="22" t="str">
        <f>IFERROR(IF('Bulk Order Details'!V34="","",IF(_xlfn.XLOOKUP('Bulk Order Details'!V34,RightSleeve[Display],RightSleeve[Use])="Flat",_xlfn.XLOOKUP('Bulk Order Details'!V34,RightSleeve[Display],RightSleeve[Flat]),ROUND(_xlfn.XLOOKUP('Bulk Order Details'!V34,RightSleeve[Display],RightSleeve[Pct])*$E24,2))),"")</f>
        <v/>
      </c>
      <c r="Q24" s="27" t="str">
        <f>IF('Bulk Order Details'!M34="","",SUM(F24:P24))</f>
        <v/>
      </c>
      <c r="R24" s="24" t="str">
        <f t="shared" si="1"/>
        <v/>
      </c>
      <c r="S24" s="23" t="str">
        <f>IFERROR(MIN(IF(Summary!$D$11="Yes",-J24,0),IF(H24&gt;0,-J24,0)),"")</f>
        <v/>
      </c>
      <c r="T24" s="16" t="str">
        <f>IFERROR(IF(Summary!$D$10="Yes",-K24,""),"")</f>
        <v/>
      </c>
      <c r="U24" s="18" t="str">
        <f>IFERROR(IF(Summary!$D$12="Yes",-L24,""),"")</f>
        <v/>
      </c>
      <c r="V24" s="25" t="str">
        <f>IF('Bulk Order Details'!M34="","",SUM(R24:U24))</f>
        <v/>
      </c>
      <c r="W24" s="36" t="str">
        <f>IF('Bulk Order Details'!M34="","",D24+Q24)</f>
        <v/>
      </c>
      <c r="X24" s="37" t="str">
        <f>IF('Bulk Order Details'!M34="","",D24+Q24+V24)</f>
        <v/>
      </c>
      <c r="Y24" s="168" t="str">
        <f t="shared" si="0"/>
        <v/>
      </c>
      <c r="Z24" s="173" t="str">
        <f>IF('Bulk Order Details'!M34="","",MAX(1,'Bulk Order Details'!G34))</f>
        <v/>
      </c>
      <c r="AA24" s="196" t="str">
        <f>IF(Pricing_Details[[#This Row],[Quantity]]="","",Pricing_Details[[#This Row],[Retail Price]]*Pricing_Details[[#This Row],[Quantity]])</f>
        <v/>
      </c>
      <c r="AB24" s="196" t="str">
        <f>IF(Pricing_Details[[#This Row],[Quantity]]="","",Pricing_Details[[#This Row],[Total Discount]]*Pricing_Details[[#This Row],[Quantity]])</f>
        <v/>
      </c>
      <c r="AC24" s="176" t="str">
        <f>IFERROR(ROUND(Pricing_Details[[#This Row],[Actual Price]]*Pricing_Details[[#This Row],[Quantity]],2),"")</f>
        <v/>
      </c>
      <c r="AE24" s="156" t="str">
        <f>IF('Bulk Order Details'!M34="","",VLOOKUP('Bulk Order Details'!K34,Collection[],3)&amp;VLOOKUP('Bulk Order Details'!M34,Collar[],4)&amp;VLOOKUP('Bulk Order Details'!L34,Sleeve[],4))</f>
        <v/>
      </c>
      <c r="AF24" s="156" t="str">
        <f>IF('Bulk Order Details'!M34="","",LOOKUP('Bulk Order Details'!H34,Cut[Display],Cut[Code])&amp;LOOKUP('Bulk Order Details'!I34,#REF!,#REF!)&amp;IF('Bulk Order Details'!J34="","",LOOKUP('Bulk Order Details'!J34,Length[Display],Length[Code])))</f>
        <v/>
      </c>
      <c r="AG24" s="156" t="str">
        <f>IF('Bulk Order Details'!M34="","",IF('Bulk Order Details'!F34="","",'Bulk Order Details'!F34))</f>
        <v/>
      </c>
      <c r="AH24" s="156" t="str">
        <f>IF('Bulk Order Details'!R34="","","-"&amp;LOOKUP('Bulk Order Details'!R34,#REF!,#REF!))</f>
        <v/>
      </c>
      <c r="AI24" s="156" t="str">
        <f>IF('Bulk Order Details'!S34="","","-"&amp;LOOKUP('Bulk Order Details'!S34,#REF!,#REF!))</f>
        <v/>
      </c>
      <c r="AJ24" s="156" t="str">
        <f>IF('Bulk Order Details'!T34="","","-"&amp;LOOKUP('Bulk Order Details'!T34,#REF!,#REF!))</f>
        <v/>
      </c>
      <c r="AK24" s="156" t="str">
        <f>IF('Bulk Order Details'!U34="","","-"&amp;LOOKUP('Bulk Order Details'!U34,#REF!,#REF!))</f>
        <v/>
      </c>
      <c r="AL24" s="156" t="str">
        <f>IF('Bulk Order Details'!V34="","","-"&amp;LOOKUP('Bulk Order Details'!V34,#REF!,#REF!))</f>
        <v/>
      </c>
      <c r="AM24" s="156" t="str">
        <f t="shared" si="2"/>
        <v/>
      </c>
      <c r="AN24" s="156" t="str">
        <f>IF('Bulk Order Details'!N34="","","Na-"&amp;'Bulk Order Details'!N34)</f>
        <v/>
      </c>
      <c r="AO24" s="156" t="str">
        <f>IF('Bulk Order Details'!Q34="","","Fo-"&amp;'Bulk Order Details'!Q34)</f>
        <v/>
      </c>
      <c r="AP24" s="156" t="str">
        <f t="shared" si="3"/>
        <v/>
      </c>
      <c r="AQ24" s="37" t="str">
        <f t="shared" si="4"/>
        <v/>
      </c>
    </row>
    <row r="25" spans="2:43" ht="13.5" customHeight="1" x14ac:dyDescent="0.2">
      <c r="B25" s="34">
        <f>'Bulk Order Details'!B35</f>
        <v>22</v>
      </c>
      <c r="C25" s="34" t="str">
        <f>IF('Bulk Order Details'!C35="","",'Bulk Order Details'!C35&amp;" "&amp;'Bulk Order Details'!D35)</f>
        <v/>
      </c>
      <c r="D25" s="31" t="str">
        <f>IF('Bulk Order Details'!M35="","",VLOOKUP(1,Price[],3))</f>
        <v/>
      </c>
      <c r="E25" s="29" t="str">
        <f>IF('Bulk Order Details'!M35="","",Summary!$D$9)</f>
        <v/>
      </c>
      <c r="F25" s="16" t="str">
        <f>IF('Bulk Order Details'!I35="","",_xlfn.XLOOKUP('Bulk Order Details'!I35,Size[Display],Size[Price]))</f>
        <v/>
      </c>
      <c r="G25" s="16" t="str">
        <f>IF('Bulk Order Details'!J35="","",_xlfn.XLOOKUP('Bulk Order Details'!J35,Length[Display],Length[Price]))</f>
        <v/>
      </c>
      <c r="H25" s="16" t="str">
        <f>IF('Bulk Order Details'!K35="","",_xlfn.XLOOKUP('Bulk Order Details'!K35,Collection[Display],Collection[Price]))</f>
        <v/>
      </c>
      <c r="I25" s="16" t="str">
        <f>IF('Bulk Order Details'!L35="","",_xlfn.XLOOKUP('Bulk Order Details'!L35,Sleeve[Display],Sleeve[Price]))</f>
        <v/>
      </c>
      <c r="J25" s="16" t="str">
        <f>IF('Bulk Order Details'!M35="","",_xlfn.XLOOKUP('Bulk Order Details'!M35,Collar[Display],Collar[Price]))</f>
        <v/>
      </c>
      <c r="K25" s="16" t="str">
        <f>IF('Bulk Order Details'!N35="","",_xlfn.XLOOKUP("Name",Name[Name],Name[Price]))</f>
        <v/>
      </c>
      <c r="L25" s="18" t="str">
        <f>IFERROR(IF('Bulk Order Details'!R35="","",IF(_xlfn.XLOOKUP('Bulk Order Details'!R35,Logos[Display],Logos[Use])="Flat",_xlfn.XLOOKUP('Bulk Order Details'!R35,Logos[Display],Logos[Flat]),ROUND(_xlfn.XLOOKUP('Bulk Order Details'!R35,Logos[Display],Logos[Pct])*$E25,2))),"")</f>
        <v/>
      </c>
      <c r="M25" s="22" t="str">
        <f>IFERROR(IF('Bulk Order Details'!S35="","",IF(_xlfn.XLOOKUP('Bulk Order Details'!S35,Chest[Display],Chest[Use])="Flat",_xlfn.XLOOKUP('Bulk Order Details'!S35,Chest[Display],Chest[Flat]),ROUND(_xlfn.XLOOKUP('Bulk Order Details'!S35,Chest[Display],Chest[Pct])*$E25,2))),"")</f>
        <v/>
      </c>
      <c r="N25" s="22" t="str">
        <f>IFERROR(IF('Bulk Order Details'!T35="","",IF(_xlfn.XLOOKUP('Bulk Order Details'!T35,Chest[Display],Chest[Use])="Flat",_xlfn.XLOOKUP('Bulk Order Details'!T35,Chest[Display],Chest[Flat]),ROUND(_xlfn.XLOOKUP('Bulk Order Details'!T35,Chest[Display],Chest[Pct])*$E25,2))),"")</f>
        <v/>
      </c>
      <c r="O25" s="22" t="str">
        <f>IFERROR(IF('Bulk Order Details'!U35="","",IF(_xlfn.XLOOKUP('Bulk Order Details'!U35,LeftSleeve[Display],LeftSleeve[Use])="Flat",_xlfn.XLOOKUP('Bulk Order Details'!U35,LeftSleeve[Display],LeftSleeve[Flat]),ROUND(_xlfn.XLOOKUP('Bulk Order Details'!U35,LeftSleeve[Display],LeftSleeve[Pct])*$E25,2))),"")</f>
        <v/>
      </c>
      <c r="P25" s="22" t="str">
        <f>IFERROR(IF('Bulk Order Details'!V35="","",IF(_xlfn.XLOOKUP('Bulk Order Details'!V35,RightSleeve[Display],RightSleeve[Use])="Flat",_xlfn.XLOOKUP('Bulk Order Details'!V35,RightSleeve[Display],RightSleeve[Flat]),ROUND(_xlfn.XLOOKUP('Bulk Order Details'!V35,RightSleeve[Display],RightSleeve[Pct])*$E25,2))),"")</f>
        <v/>
      </c>
      <c r="Q25" s="27" t="str">
        <f>IF('Bulk Order Details'!M35="","",SUM(F25:P25))</f>
        <v/>
      </c>
      <c r="R25" s="24" t="str">
        <f t="shared" si="1"/>
        <v/>
      </c>
      <c r="S25" s="23" t="str">
        <f>IFERROR(MIN(IF(Summary!$D$11="Yes",-J25,0),IF(H25&gt;0,-J25,0)),"")</f>
        <v/>
      </c>
      <c r="T25" s="16" t="str">
        <f>IFERROR(IF(Summary!$D$10="Yes",-K25,""),"")</f>
        <v/>
      </c>
      <c r="U25" s="18" t="str">
        <f>IFERROR(IF(Summary!$D$12="Yes",-L25,""),"")</f>
        <v/>
      </c>
      <c r="V25" s="25" t="str">
        <f>IF('Bulk Order Details'!M35="","",SUM(R25:U25))</f>
        <v/>
      </c>
      <c r="W25" s="36" t="str">
        <f>IF('Bulk Order Details'!M35="","",D25+Q25)</f>
        <v/>
      </c>
      <c r="X25" s="37" t="str">
        <f>IF('Bulk Order Details'!M35="","",D25+Q25+V25)</f>
        <v/>
      </c>
      <c r="Y25" s="168" t="str">
        <f t="shared" si="0"/>
        <v/>
      </c>
      <c r="Z25" s="173" t="str">
        <f>IF('Bulk Order Details'!M35="","",MAX(1,'Bulk Order Details'!G35))</f>
        <v/>
      </c>
      <c r="AA25" s="196" t="str">
        <f>IF(Pricing_Details[[#This Row],[Quantity]]="","",Pricing_Details[[#This Row],[Retail Price]]*Pricing_Details[[#This Row],[Quantity]])</f>
        <v/>
      </c>
      <c r="AB25" s="196" t="str">
        <f>IF(Pricing_Details[[#This Row],[Quantity]]="","",Pricing_Details[[#This Row],[Total Discount]]*Pricing_Details[[#This Row],[Quantity]])</f>
        <v/>
      </c>
      <c r="AC25" s="176" t="str">
        <f>IFERROR(ROUND(Pricing_Details[[#This Row],[Actual Price]]*Pricing_Details[[#This Row],[Quantity]],2),"")</f>
        <v/>
      </c>
      <c r="AE25" s="156" t="str">
        <f>IF('Bulk Order Details'!M35="","",VLOOKUP('Bulk Order Details'!K35,Collection[],3)&amp;VLOOKUP('Bulk Order Details'!M35,Collar[],4)&amp;VLOOKUP('Bulk Order Details'!L35,Sleeve[],4))</f>
        <v/>
      </c>
      <c r="AF25" s="156" t="str">
        <f>IF('Bulk Order Details'!M35="","",LOOKUP('Bulk Order Details'!H35,Cut[Display],Cut[Code])&amp;LOOKUP('Bulk Order Details'!I35,#REF!,#REF!)&amp;IF('Bulk Order Details'!J35="","",LOOKUP('Bulk Order Details'!J35,Length[Display],Length[Code])))</f>
        <v/>
      </c>
      <c r="AG25" s="156" t="str">
        <f>IF('Bulk Order Details'!M35="","",IF('Bulk Order Details'!F35="","",'Bulk Order Details'!F35))</f>
        <v/>
      </c>
      <c r="AH25" s="156" t="str">
        <f>IF('Bulk Order Details'!R35="","","-"&amp;LOOKUP('Bulk Order Details'!R35,#REF!,#REF!))</f>
        <v/>
      </c>
      <c r="AI25" s="156" t="str">
        <f>IF('Bulk Order Details'!S35="","","-"&amp;LOOKUP('Bulk Order Details'!S35,#REF!,#REF!))</f>
        <v/>
      </c>
      <c r="AJ25" s="156" t="str">
        <f>IF('Bulk Order Details'!T35="","","-"&amp;LOOKUP('Bulk Order Details'!T35,#REF!,#REF!))</f>
        <v/>
      </c>
      <c r="AK25" s="156" t="str">
        <f>IF('Bulk Order Details'!U35="","","-"&amp;LOOKUP('Bulk Order Details'!U35,#REF!,#REF!))</f>
        <v/>
      </c>
      <c r="AL25" s="156" t="str">
        <f>IF('Bulk Order Details'!V35="","","-"&amp;LOOKUP('Bulk Order Details'!V35,#REF!,#REF!))</f>
        <v/>
      </c>
      <c r="AM25" s="156" t="str">
        <f t="shared" si="2"/>
        <v/>
      </c>
      <c r="AN25" s="156" t="str">
        <f>IF('Bulk Order Details'!N35="","","Na-"&amp;'Bulk Order Details'!N35)</f>
        <v/>
      </c>
      <c r="AO25" s="156" t="str">
        <f>IF('Bulk Order Details'!Q35="","","Fo-"&amp;'Bulk Order Details'!Q35)</f>
        <v/>
      </c>
      <c r="AP25" s="156" t="str">
        <f t="shared" si="3"/>
        <v/>
      </c>
      <c r="AQ25" s="37" t="str">
        <f t="shared" si="4"/>
        <v/>
      </c>
    </row>
    <row r="26" spans="2:43" ht="13.5" customHeight="1" x14ac:dyDescent="0.2">
      <c r="B26" s="34">
        <f>'Bulk Order Details'!B36</f>
        <v>23</v>
      </c>
      <c r="C26" s="34" t="str">
        <f>IF('Bulk Order Details'!C36="","",'Bulk Order Details'!C36&amp;" "&amp;'Bulk Order Details'!D36)</f>
        <v/>
      </c>
      <c r="D26" s="31" t="str">
        <f>IF('Bulk Order Details'!M36="","",VLOOKUP(1,Price[],3))</f>
        <v/>
      </c>
      <c r="E26" s="29" t="str">
        <f>IF('Bulk Order Details'!M36="","",Summary!$D$9)</f>
        <v/>
      </c>
      <c r="F26" s="16" t="str">
        <f>IF('Bulk Order Details'!I36="","",_xlfn.XLOOKUP('Bulk Order Details'!I36,Size[Display],Size[Price]))</f>
        <v/>
      </c>
      <c r="G26" s="16" t="str">
        <f>IF('Bulk Order Details'!J36="","",_xlfn.XLOOKUP('Bulk Order Details'!J36,Length[Display],Length[Price]))</f>
        <v/>
      </c>
      <c r="H26" s="16" t="str">
        <f>IF('Bulk Order Details'!K36="","",_xlfn.XLOOKUP('Bulk Order Details'!K36,Collection[Display],Collection[Price]))</f>
        <v/>
      </c>
      <c r="I26" s="16" t="str">
        <f>IF('Bulk Order Details'!L36="","",_xlfn.XLOOKUP('Bulk Order Details'!L36,Sleeve[Display],Sleeve[Price]))</f>
        <v/>
      </c>
      <c r="J26" s="16" t="str">
        <f>IF('Bulk Order Details'!M36="","",_xlfn.XLOOKUP('Bulk Order Details'!M36,Collar[Display],Collar[Price]))</f>
        <v/>
      </c>
      <c r="K26" s="16" t="str">
        <f>IF('Bulk Order Details'!N36="","",_xlfn.XLOOKUP("Name",Name[Name],Name[Price]))</f>
        <v/>
      </c>
      <c r="L26" s="18" t="str">
        <f>IFERROR(IF('Bulk Order Details'!R36="","",IF(_xlfn.XLOOKUP('Bulk Order Details'!R36,Logos[Display],Logos[Use])="Flat",_xlfn.XLOOKUP('Bulk Order Details'!R36,Logos[Display],Logos[Flat]),ROUND(_xlfn.XLOOKUP('Bulk Order Details'!R36,Logos[Display],Logos[Pct])*$E26,2))),"")</f>
        <v/>
      </c>
      <c r="M26" s="22" t="str">
        <f>IFERROR(IF('Bulk Order Details'!S36="","",IF(_xlfn.XLOOKUP('Bulk Order Details'!S36,Chest[Display],Chest[Use])="Flat",_xlfn.XLOOKUP('Bulk Order Details'!S36,Chest[Display],Chest[Flat]),ROUND(_xlfn.XLOOKUP('Bulk Order Details'!S36,Chest[Display],Chest[Pct])*$E26,2))),"")</f>
        <v/>
      </c>
      <c r="N26" s="22" t="str">
        <f>IFERROR(IF('Bulk Order Details'!T36="","",IF(_xlfn.XLOOKUP('Bulk Order Details'!T36,Chest[Display],Chest[Use])="Flat",_xlfn.XLOOKUP('Bulk Order Details'!T36,Chest[Display],Chest[Flat]),ROUND(_xlfn.XLOOKUP('Bulk Order Details'!T36,Chest[Display],Chest[Pct])*$E26,2))),"")</f>
        <v/>
      </c>
      <c r="O26" s="22" t="str">
        <f>IFERROR(IF('Bulk Order Details'!U36="","",IF(_xlfn.XLOOKUP('Bulk Order Details'!U36,LeftSleeve[Display],LeftSleeve[Use])="Flat",_xlfn.XLOOKUP('Bulk Order Details'!U36,LeftSleeve[Display],LeftSleeve[Flat]),ROUND(_xlfn.XLOOKUP('Bulk Order Details'!U36,LeftSleeve[Display],LeftSleeve[Pct])*$E26,2))),"")</f>
        <v/>
      </c>
      <c r="P26" s="22" t="str">
        <f>IFERROR(IF('Bulk Order Details'!V36="","",IF(_xlfn.XLOOKUP('Bulk Order Details'!V36,RightSleeve[Display],RightSleeve[Use])="Flat",_xlfn.XLOOKUP('Bulk Order Details'!V36,RightSleeve[Display],RightSleeve[Flat]),ROUND(_xlfn.XLOOKUP('Bulk Order Details'!V36,RightSleeve[Display],RightSleeve[Pct])*$E26,2))),"")</f>
        <v/>
      </c>
      <c r="Q26" s="27" t="str">
        <f>IF('Bulk Order Details'!M36="","",SUM(F26:P26))</f>
        <v/>
      </c>
      <c r="R26" s="24" t="str">
        <f t="shared" si="1"/>
        <v/>
      </c>
      <c r="S26" s="23" t="str">
        <f>IFERROR(MIN(IF(Summary!$D$11="Yes",-J26,0),IF(H26&gt;0,-J26,0)),"")</f>
        <v/>
      </c>
      <c r="T26" s="16" t="str">
        <f>IFERROR(IF(Summary!$D$10="Yes",-K26,""),"")</f>
        <v/>
      </c>
      <c r="U26" s="18" t="str">
        <f>IFERROR(IF(Summary!$D$12="Yes",-L26,""),"")</f>
        <v/>
      </c>
      <c r="V26" s="25" t="str">
        <f>IF('Bulk Order Details'!M36="","",SUM(R26:U26))</f>
        <v/>
      </c>
      <c r="W26" s="36" t="str">
        <f>IF('Bulk Order Details'!M36="","",D26+Q26)</f>
        <v/>
      </c>
      <c r="X26" s="37" t="str">
        <f>IF('Bulk Order Details'!M36="","",D26+Q26+V26)</f>
        <v/>
      </c>
      <c r="Y26" s="168" t="str">
        <f t="shared" si="0"/>
        <v/>
      </c>
      <c r="Z26" s="173" t="str">
        <f>IF('Bulk Order Details'!M36="","",MAX(1,'Bulk Order Details'!G36))</f>
        <v/>
      </c>
      <c r="AA26" s="196" t="str">
        <f>IF(Pricing_Details[[#This Row],[Quantity]]="","",Pricing_Details[[#This Row],[Retail Price]]*Pricing_Details[[#This Row],[Quantity]])</f>
        <v/>
      </c>
      <c r="AB26" s="196" t="str">
        <f>IF(Pricing_Details[[#This Row],[Quantity]]="","",Pricing_Details[[#This Row],[Total Discount]]*Pricing_Details[[#This Row],[Quantity]])</f>
        <v/>
      </c>
      <c r="AC26" s="176" t="str">
        <f>IFERROR(ROUND(Pricing_Details[[#This Row],[Actual Price]]*Pricing_Details[[#This Row],[Quantity]],2),"")</f>
        <v/>
      </c>
      <c r="AE26" s="156" t="str">
        <f>IF('Bulk Order Details'!M36="","",VLOOKUP('Bulk Order Details'!K36,Collection[],3)&amp;VLOOKUP('Bulk Order Details'!M36,Collar[],4)&amp;VLOOKUP('Bulk Order Details'!L36,Sleeve[],4))</f>
        <v/>
      </c>
      <c r="AF26" s="156" t="str">
        <f>IF('Bulk Order Details'!M36="","",LOOKUP('Bulk Order Details'!H36,Cut[Display],Cut[Code])&amp;LOOKUP('Bulk Order Details'!I36,#REF!,#REF!)&amp;IF('Bulk Order Details'!J36="","",LOOKUP('Bulk Order Details'!J36,Length[Display],Length[Code])))</f>
        <v/>
      </c>
      <c r="AG26" s="156" t="str">
        <f>IF('Bulk Order Details'!M36="","",IF('Bulk Order Details'!F36="","",'Bulk Order Details'!F36))</f>
        <v/>
      </c>
      <c r="AH26" s="156" t="str">
        <f>IF('Bulk Order Details'!R36="","","-"&amp;LOOKUP('Bulk Order Details'!R36,#REF!,#REF!))</f>
        <v/>
      </c>
      <c r="AI26" s="156" t="str">
        <f>IF('Bulk Order Details'!S36="","","-"&amp;LOOKUP('Bulk Order Details'!S36,#REF!,#REF!))</f>
        <v/>
      </c>
      <c r="AJ26" s="156" t="str">
        <f>IF('Bulk Order Details'!T36="","","-"&amp;LOOKUP('Bulk Order Details'!T36,#REF!,#REF!))</f>
        <v/>
      </c>
      <c r="AK26" s="156" t="str">
        <f>IF('Bulk Order Details'!U36="","","-"&amp;LOOKUP('Bulk Order Details'!U36,#REF!,#REF!))</f>
        <v/>
      </c>
      <c r="AL26" s="156" t="str">
        <f>IF('Bulk Order Details'!V36="","","-"&amp;LOOKUP('Bulk Order Details'!V36,#REF!,#REF!))</f>
        <v/>
      </c>
      <c r="AM26" s="156" t="str">
        <f t="shared" si="2"/>
        <v/>
      </c>
      <c r="AN26" s="156" t="str">
        <f>IF('Bulk Order Details'!N36="","","Na-"&amp;'Bulk Order Details'!N36)</f>
        <v/>
      </c>
      <c r="AO26" s="156" t="str">
        <f>IF('Bulk Order Details'!Q36="","","Fo-"&amp;'Bulk Order Details'!Q36)</f>
        <v/>
      </c>
      <c r="AP26" s="156" t="str">
        <f t="shared" si="3"/>
        <v/>
      </c>
      <c r="AQ26" s="37" t="str">
        <f t="shared" si="4"/>
        <v/>
      </c>
    </row>
    <row r="27" spans="2:43" ht="13.5" customHeight="1" x14ac:dyDescent="0.2">
      <c r="B27" s="34">
        <f>'Bulk Order Details'!B37</f>
        <v>24</v>
      </c>
      <c r="C27" s="34" t="str">
        <f>IF('Bulk Order Details'!C37="","",'Bulk Order Details'!C37&amp;" "&amp;'Bulk Order Details'!D37)</f>
        <v/>
      </c>
      <c r="D27" s="31" t="str">
        <f>IF('Bulk Order Details'!M37="","",VLOOKUP(1,Price[],3))</f>
        <v/>
      </c>
      <c r="E27" s="29" t="str">
        <f>IF('Bulk Order Details'!M37="","",Summary!$D$9)</f>
        <v/>
      </c>
      <c r="F27" s="16" t="str">
        <f>IF('Bulk Order Details'!I37="","",_xlfn.XLOOKUP('Bulk Order Details'!I37,Size[Display],Size[Price]))</f>
        <v/>
      </c>
      <c r="G27" s="16" t="str">
        <f>IF('Bulk Order Details'!J37="","",_xlfn.XLOOKUP('Bulk Order Details'!J37,Length[Display],Length[Price]))</f>
        <v/>
      </c>
      <c r="H27" s="16" t="str">
        <f>IF('Bulk Order Details'!K37="","",_xlfn.XLOOKUP('Bulk Order Details'!K37,Collection[Display],Collection[Price]))</f>
        <v/>
      </c>
      <c r="I27" s="16" t="str">
        <f>IF('Bulk Order Details'!L37="","",_xlfn.XLOOKUP('Bulk Order Details'!L37,Sleeve[Display],Sleeve[Price]))</f>
        <v/>
      </c>
      <c r="J27" s="16" t="str">
        <f>IF('Bulk Order Details'!M37="","",_xlfn.XLOOKUP('Bulk Order Details'!M37,Collar[Display],Collar[Price]))</f>
        <v/>
      </c>
      <c r="K27" s="16" t="str">
        <f>IF('Bulk Order Details'!N37="","",_xlfn.XLOOKUP("Name",Name[Name],Name[Price]))</f>
        <v/>
      </c>
      <c r="L27" s="18" t="str">
        <f>IFERROR(IF('Bulk Order Details'!R37="","",IF(_xlfn.XLOOKUP('Bulk Order Details'!R37,Logos[Display],Logos[Use])="Flat",_xlfn.XLOOKUP('Bulk Order Details'!R37,Logos[Display],Logos[Flat]),ROUND(_xlfn.XLOOKUP('Bulk Order Details'!R37,Logos[Display],Logos[Pct])*$E27,2))),"")</f>
        <v/>
      </c>
      <c r="M27" s="22" t="str">
        <f>IFERROR(IF('Bulk Order Details'!S37="","",IF(_xlfn.XLOOKUP('Bulk Order Details'!S37,Chest[Display],Chest[Use])="Flat",_xlfn.XLOOKUP('Bulk Order Details'!S37,Chest[Display],Chest[Flat]),ROUND(_xlfn.XLOOKUP('Bulk Order Details'!S37,Chest[Display],Chest[Pct])*$E27,2))),"")</f>
        <v/>
      </c>
      <c r="N27" s="22" t="str">
        <f>IFERROR(IF('Bulk Order Details'!T37="","",IF(_xlfn.XLOOKUP('Bulk Order Details'!T37,Chest[Display],Chest[Use])="Flat",_xlfn.XLOOKUP('Bulk Order Details'!T37,Chest[Display],Chest[Flat]),ROUND(_xlfn.XLOOKUP('Bulk Order Details'!T37,Chest[Display],Chest[Pct])*$E27,2))),"")</f>
        <v/>
      </c>
      <c r="O27" s="22" t="str">
        <f>IFERROR(IF('Bulk Order Details'!U37="","",IF(_xlfn.XLOOKUP('Bulk Order Details'!U37,LeftSleeve[Display],LeftSleeve[Use])="Flat",_xlfn.XLOOKUP('Bulk Order Details'!U37,LeftSleeve[Display],LeftSleeve[Flat]),ROUND(_xlfn.XLOOKUP('Bulk Order Details'!U37,LeftSleeve[Display],LeftSleeve[Pct])*$E27,2))),"")</f>
        <v/>
      </c>
      <c r="P27" s="22" t="str">
        <f>IFERROR(IF('Bulk Order Details'!V37="","",IF(_xlfn.XLOOKUP('Bulk Order Details'!V37,RightSleeve[Display],RightSleeve[Use])="Flat",_xlfn.XLOOKUP('Bulk Order Details'!V37,RightSleeve[Display],RightSleeve[Flat]),ROUND(_xlfn.XLOOKUP('Bulk Order Details'!V37,RightSleeve[Display],RightSleeve[Pct])*$E27,2))),"")</f>
        <v/>
      </c>
      <c r="Q27" s="27" t="str">
        <f>IF('Bulk Order Details'!M37="","",SUM(F27:P27))</f>
        <v/>
      </c>
      <c r="R27" s="24" t="str">
        <f t="shared" si="1"/>
        <v/>
      </c>
      <c r="S27" s="23" t="str">
        <f>IFERROR(MIN(IF(Summary!$D$11="Yes",-J27,0),IF(H27&gt;0,-J27,0)),"")</f>
        <v/>
      </c>
      <c r="T27" s="16" t="str">
        <f>IFERROR(IF(Summary!$D$10="Yes",-K27,""),"")</f>
        <v/>
      </c>
      <c r="U27" s="18" t="str">
        <f>IFERROR(IF(Summary!$D$12="Yes",-L27,""),"")</f>
        <v/>
      </c>
      <c r="V27" s="25" t="str">
        <f>IF('Bulk Order Details'!M37="","",SUM(R27:U27))</f>
        <v/>
      </c>
      <c r="W27" s="36" t="str">
        <f>IF('Bulk Order Details'!M37="","",D27+Q27)</f>
        <v/>
      </c>
      <c r="X27" s="37" t="str">
        <f>IF('Bulk Order Details'!M37="","",D27+Q27+V27)</f>
        <v/>
      </c>
      <c r="Y27" s="168" t="str">
        <f t="shared" si="0"/>
        <v/>
      </c>
      <c r="Z27" s="173" t="str">
        <f>IF('Bulk Order Details'!M37="","",MAX(1,'Bulk Order Details'!G37))</f>
        <v/>
      </c>
      <c r="AA27" s="196" t="str">
        <f>IF(Pricing_Details[[#This Row],[Quantity]]="","",Pricing_Details[[#This Row],[Retail Price]]*Pricing_Details[[#This Row],[Quantity]])</f>
        <v/>
      </c>
      <c r="AB27" s="196" t="str">
        <f>IF(Pricing_Details[[#This Row],[Quantity]]="","",Pricing_Details[[#This Row],[Total Discount]]*Pricing_Details[[#This Row],[Quantity]])</f>
        <v/>
      </c>
      <c r="AC27" s="176" t="str">
        <f>IFERROR(ROUND(Pricing_Details[[#This Row],[Actual Price]]*Pricing_Details[[#This Row],[Quantity]],2),"")</f>
        <v/>
      </c>
      <c r="AE27" s="156" t="str">
        <f>IF('Bulk Order Details'!M37="","",VLOOKUP('Bulk Order Details'!K37,Collection[],3)&amp;VLOOKUP('Bulk Order Details'!M37,Collar[],4)&amp;VLOOKUP('Bulk Order Details'!L37,Sleeve[],4))</f>
        <v/>
      </c>
      <c r="AF27" s="156" t="str">
        <f>IF('Bulk Order Details'!M37="","",LOOKUP('Bulk Order Details'!H37,Cut[Display],Cut[Code])&amp;LOOKUP('Bulk Order Details'!I37,#REF!,#REF!)&amp;IF('Bulk Order Details'!J37="","",LOOKUP('Bulk Order Details'!J37,Length[Display],Length[Code])))</f>
        <v/>
      </c>
      <c r="AG27" s="156" t="str">
        <f>IF('Bulk Order Details'!M37="","",IF('Bulk Order Details'!F37="","",'Bulk Order Details'!F37))</f>
        <v/>
      </c>
      <c r="AH27" s="156" t="str">
        <f>IF('Bulk Order Details'!R37="","","-"&amp;LOOKUP('Bulk Order Details'!R37,#REF!,#REF!))</f>
        <v/>
      </c>
      <c r="AI27" s="156" t="str">
        <f>IF('Bulk Order Details'!S37="","","-"&amp;LOOKUP('Bulk Order Details'!S37,#REF!,#REF!))</f>
        <v/>
      </c>
      <c r="AJ27" s="156" t="str">
        <f>IF('Bulk Order Details'!T37="","","-"&amp;LOOKUP('Bulk Order Details'!T37,#REF!,#REF!))</f>
        <v/>
      </c>
      <c r="AK27" s="156" t="str">
        <f>IF('Bulk Order Details'!U37="","","-"&amp;LOOKUP('Bulk Order Details'!U37,#REF!,#REF!))</f>
        <v/>
      </c>
      <c r="AL27" s="156" t="str">
        <f>IF('Bulk Order Details'!V37="","","-"&amp;LOOKUP('Bulk Order Details'!V37,#REF!,#REF!))</f>
        <v/>
      </c>
      <c r="AM27" s="156" t="str">
        <f t="shared" si="2"/>
        <v/>
      </c>
      <c r="AN27" s="156" t="str">
        <f>IF('Bulk Order Details'!N37="","","Na-"&amp;'Bulk Order Details'!N37)</f>
        <v/>
      </c>
      <c r="AO27" s="156" t="str">
        <f>IF('Bulk Order Details'!Q37="","","Fo-"&amp;'Bulk Order Details'!Q37)</f>
        <v/>
      </c>
      <c r="AP27" s="156" t="str">
        <f t="shared" si="3"/>
        <v/>
      </c>
      <c r="AQ27" s="37" t="str">
        <f t="shared" si="4"/>
        <v/>
      </c>
    </row>
    <row r="28" spans="2:43" ht="13.5" customHeight="1" x14ac:dyDescent="0.2">
      <c r="B28" s="34">
        <f>'Bulk Order Details'!B38</f>
        <v>25</v>
      </c>
      <c r="C28" s="34" t="str">
        <f>IF('Bulk Order Details'!C38="","",'Bulk Order Details'!C38&amp;" "&amp;'Bulk Order Details'!D38)</f>
        <v/>
      </c>
      <c r="D28" s="31" t="str">
        <f>IF('Bulk Order Details'!M38="","",VLOOKUP(1,Price[],3))</f>
        <v/>
      </c>
      <c r="E28" s="29" t="str">
        <f>IF('Bulk Order Details'!M38="","",Summary!$D$9)</f>
        <v/>
      </c>
      <c r="F28" s="16" t="str">
        <f>IF('Bulk Order Details'!I38="","",_xlfn.XLOOKUP('Bulk Order Details'!I38,Size[Display],Size[Price]))</f>
        <v/>
      </c>
      <c r="G28" s="16" t="str">
        <f>IF('Bulk Order Details'!J38="","",_xlfn.XLOOKUP('Bulk Order Details'!J38,Length[Display],Length[Price]))</f>
        <v/>
      </c>
      <c r="H28" s="16" t="str">
        <f>IF('Bulk Order Details'!K38="","",_xlfn.XLOOKUP('Bulk Order Details'!K38,Collection[Display],Collection[Price]))</f>
        <v/>
      </c>
      <c r="I28" s="16" t="str">
        <f>IF('Bulk Order Details'!L38="","",_xlfn.XLOOKUP('Bulk Order Details'!L38,Sleeve[Display],Sleeve[Price]))</f>
        <v/>
      </c>
      <c r="J28" s="16" t="str">
        <f>IF('Bulk Order Details'!M38="","",_xlfn.XLOOKUP('Bulk Order Details'!M38,Collar[Display],Collar[Price]))</f>
        <v/>
      </c>
      <c r="K28" s="16" t="str">
        <f>IF('Bulk Order Details'!N38="","",_xlfn.XLOOKUP("Name",Name[Name],Name[Price]))</f>
        <v/>
      </c>
      <c r="L28" s="18" t="str">
        <f>IFERROR(IF('Bulk Order Details'!R38="","",IF(_xlfn.XLOOKUP('Bulk Order Details'!R38,Logos[Display],Logos[Use])="Flat",_xlfn.XLOOKUP('Bulk Order Details'!R38,Logos[Display],Logos[Flat]),ROUND(_xlfn.XLOOKUP('Bulk Order Details'!R38,Logos[Display],Logos[Pct])*$E28,2))),"")</f>
        <v/>
      </c>
      <c r="M28" s="22" t="str">
        <f>IFERROR(IF('Bulk Order Details'!S38="","",IF(_xlfn.XLOOKUP('Bulk Order Details'!S38,Chest[Display],Chest[Use])="Flat",_xlfn.XLOOKUP('Bulk Order Details'!S38,Chest[Display],Chest[Flat]),ROUND(_xlfn.XLOOKUP('Bulk Order Details'!S38,Chest[Display],Chest[Pct])*$E28,2))),"")</f>
        <v/>
      </c>
      <c r="N28" s="22" t="str">
        <f>IFERROR(IF('Bulk Order Details'!T38="","",IF(_xlfn.XLOOKUP('Bulk Order Details'!T38,Chest[Display],Chest[Use])="Flat",_xlfn.XLOOKUP('Bulk Order Details'!T38,Chest[Display],Chest[Flat]),ROUND(_xlfn.XLOOKUP('Bulk Order Details'!T38,Chest[Display],Chest[Pct])*$E28,2))),"")</f>
        <v/>
      </c>
      <c r="O28" s="22" t="str">
        <f>IFERROR(IF('Bulk Order Details'!U38="","",IF(_xlfn.XLOOKUP('Bulk Order Details'!U38,LeftSleeve[Display],LeftSleeve[Use])="Flat",_xlfn.XLOOKUP('Bulk Order Details'!U38,LeftSleeve[Display],LeftSleeve[Flat]),ROUND(_xlfn.XLOOKUP('Bulk Order Details'!U38,LeftSleeve[Display],LeftSleeve[Pct])*$E28,2))),"")</f>
        <v/>
      </c>
      <c r="P28" s="22" t="str">
        <f>IFERROR(IF('Bulk Order Details'!V38="","",IF(_xlfn.XLOOKUP('Bulk Order Details'!V38,RightSleeve[Display],RightSleeve[Use])="Flat",_xlfn.XLOOKUP('Bulk Order Details'!V38,RightSleeve[Display],RightSleeve[Flat]),ROUND(_xlfn.XLOOKUP('Bulk Order Details'!V38,RightSleeve[Display],RightSleeve[Pct])*$E28,2))),"")</f>
        <v/>
      </c>
      <c r="Q28" s="27" t="str">
        <f>IF('Bulk Order Details'!M38="","",SUM(F28:P28))</f>
        <v/>
      </c>
      <c r="R28" s="24" t="str">
        <f t="shared" si="1"/>
        <v/>
      </c>
      <c r="S28" s="23" t="str">
        <f>IFERROR(MIN(IF(Summary!$D$11="Yes",-J28,0),IF(H28&gt;0,-J28,0)),"")</f>
        <v/>
      </c>
      <c r="T28" s="16" t="str">
        <f>IFERROR(IF(Summary!$D$10="Yes",-K28,""),"")</f>
        <v/>
      </c>
      <c r="U28" s="18" t="str">
        <f>IFERROR(IF(Summary!$D$12="Yes",-L28,""),"")</f>
        <v/>
      </c>
      <c r="V28" s="25" t="str">
        <f>IF('Bulk Order Details'!M38="","",SUM(R28:U28))</f>
        <v/>
      </c>
      <c r="W28" s="36" t="str">
        <f>IF('Bulk Order Details'!M38="","",D28+Q28)</f>
        <v/>
      </c>
      <c r="X28" s="37" t="str">
        <f>IF('Bulk Order Details'!M38="","",D28+Q28+V28)</f>
        <v/>
      </c>
      <c r="Y28" s="168" t="str">
        <f t="shared" si="0"/>
        <v/>
      </c>
      <c r="Z28" s="173" t="str">
        <f>IF('Bulk Order Details'!M38="","",MAX(1,'Bulk Order Details'!G38))</f>
        <v/>
      </c>
      <c r="AA28" s="196" t="str">
        <f>IF(Pricing_Details[[#This Row],[Quantity]]="","",Pricing_Details[[#This Row],[Retail Price]]*Pricing_Details[[#This Row],[Quantity]])</f>
        <v/>
      </c>
      <c r="AB28" s="196" t="str">
        <f>IF(Pricing_Details[[#This Row],[Quantity]]="","",Pricing_Details[[#This Row],[Total Discount]]*Pricing_Details[[#This Row],[Quantity]])</f>
        <v/>
      </c>
      <c r="AC28" s="176" t="str">
        <f>IFERROR(ROUND(Pricing_Details[[#This Row],[Actual Price]]*Pricing_Details[[#This Row],[Quantity]],2),"")</f>
        <v/>
      </c>
      <c r="AE28" s="156" t="str">
        <f>IF('Bulk Order Details'!M38="","",VLOOKUP('Bulk Order Details'!K38,Collection[],3)&amp;VLOOKUP('Bulk Order Details'!M38,Collar[],4)&amp;VLOOKUP('Bulk Order Details'!L38,Sleeve[],4))</f>
        <v/>
      </c>
      <c r="AF28" s="156" t="str">
        <f>IF('Bulk Order Details'!M38="","",LOOKUP('Bulk Order Details'!H38,Cut[Display],Cut[Code])&amp;LOOKUP('Bulk Order Details'!I38,#REF!,#REF!)&amp;IF('Bulk Order Details'!J38="","",LOOKUP('Bulk Order Details'!J38,Length[Display],Length[Code])))</f>
        <v/>
      </c>
      <c r="AG28" s="156" t="str">
        <f>IF('Bulk Order Details'!M38="","",IF('Bulk Order Details'!F38="","",'Bulk Order Details'!F38))</f>
        <v/>
      </c>
      <c r="AH28" s="156" t="str">
        <f>IF('Bulk Order Details'!R38="","","-"&amp;LOOKUP('Bulk Order Details'!R38,#REF!,#REF!))</f>
        <v/>
      </c>
      <c r="AI28" s="156" t="str">
        <f>IF('Bulk Order Details'!S38="","","-"&amp;LOOKUP('Bulk Order Details'!S38,#REF!,#REF!))</f>
        <v/>
      </c>
      <c r="AJ28" s="156" t="str">
        <f>IF('Bulk Order Details'!T38="","","-"&amp;LOOKUP('Bulk Order Details'!T38,#REF!,#REF!))</f>
        <v/>
      </c>
      <c r="AK28" s="156" t="str">
        <f>IF('Bulk Order Details'!U38="","","-"&amp;LOOKUP('Bulk Order Details'!U38,#REF!,#REF!))</f>
        <v/>
      </c>
      <c r="AL28" s="156" t="str">
        <f>IF('Bulk Order Details'!V38="","","-"&amp;LOOKUP('Bulk Order Details'!V38,#REF!,#REF!))</f>
        <v/>
      </c>
      <c r="AM28" s="156" t="str">
        <f t="shared" si="2"/>
        <v/>
      </c>
      <c r="AN28" s="156" t="str">
        <f>IF('Bulk Order Details'!N38="","","Na-"&amp;'Bulk Order Details'!N38)</f>
        <v/>
      </c>
      <c r="AO28" s="156" t="str">
        <f>IF('Bulk Order Details'!Q38="","","Fo-"&amp;'Bulk Order Details'!Q38)</f>
        <v/>
      </c>
      <c r="AP28" s="156" t="str">
        <f t="shared" si="3"/>
        <v/>
      </c>
      <c r="AQ28" s="37" t="str">
        <f t="shared" si="4"/>
        <v/>
      </c>
    </row>
    <row r="29" spans="2:43" ht="13.5" customHeight="1" x14ac:dyDescent="0.2">
      <c r="B29" s="34">
        <f>'Bulk Order Details'!B39</f>
        <v>26</v>
      </c>
      <c r="C29" s="34" t="str">
        <f>IF('Bulk Order Details'!C39="","",'Bulk Order Details'!C39&amp;" "&amp;'Bulk Order Details'!D39)</f>
        <v/>
      </c>
      <c r="D29" s="31" t="str">
        <f>IF('Bulk Order Details'!M39="","",VLOOKUP(1,Price[],3))</f>
        <v/>
      </c>
      <c r="E29" s="29" t="str">
        <f>IF('Bulk Order Details'!M39="","",Summary!$D$9)</f>
        <v/>
      </c>
      <c r="F29" s="16" t="str">
        <f>IF('Bulk Order Details'!I39="","",_xlfn.XLOOKUP('Bulk Order Details'!I39,Size[Display],Size[Price]))</f>
        <v/>
      </c>
      <c r="G29" s="16" t="str">
        <f>IF('Bulk Order Details'!J39="","",_xlfn.XLOOKUP('Bulk Order Details'!J39,Length[Display],Length[Price]))</f>
        <v/>
      </c>
      <c r="H29" s="16" t="str">
        <f>IF('Bulk Order Details'!K39="","",_xlfn.XLOOKUP('Bulk Order Details'!K39,Collection[Display],Collection[Price]))</f>
        <v/>
      </c>
      <c r="I29" s="16" t="str">
        <f>IF('Bulk Order Details'!L39="","",_xlfn.XLOOKUP('Bulk Order Details'!L39,Sleeve[Display],Sleeve[Price]))</f>
        <v/>
      </c>
      <c r="J29" s="16" t="str">
        <f>IF('Bulk Order Details'!M39="","",_xlfn.XLOOKUP('Bulk Order Details'!M39,Collar[Display],Collar[Price]))</f>
        <v/>
      </c>
      <c r="K29" s="16" t="str">
        <f>IF('Bulk Order Details'!N39="","",_xlfn.XLOOKUP("Name",Name[Name],Name[Price]))</f>
        <v/>
      </c>
      <c r="L29" s="18" t="str">
        <f>IFERROR(IF('Bulk Order Details'!R39="","",IF(_xlfn.XLOOKUP('Bulk Order Details'!R39,Logos[Display],Logos[Use])="Flat",_xlfn.XLOOKUP('Bulk Order Details'!R39,Logos[Display],Logos[Flat]),ROUND(_xlfn.XLOOKUP('Bulk Order Details'!R39,Logos[Display],Logos[Pct])*$E29,2))),"")</f>
        <v/>
      </c>
      <c r="M29" s="22" t="str">
        <f>IFERROR(IF('Bulk Order Details'!S39="","",IF(_xlfn.XLOOKUP('Bulk Order Details'!S39,Chest[Display],Chest[Use])="Flat",_xlfn.XLOOKUP('Bulk Order Details'!S39,Chest[Display],Chest[Flat]),ROUND(_xlfn.XLOOKUP('Bulk Order Details'!S39,Chest[Display],Chest[Pct])*$E29,2))),"")</f>
        <v/>
      </c>
      <c r="N29" s="22" t="str">
        <f>IFERROR(IF('Bulk Order Details'!T39="","",IF(_xlfn.XLOOKUP('Bulk Order Details'!T39,Chest[Display],Chest[Use])="Flat",_xlfn.XLOOKUP('Bulk Order Details'!T39,Chest[Display],Chest[Flat]),ROUND(_xlfn.XLOOKUP('Bulk Order Details'!T39,Chest[Display],Chest[Pct])*$E29,2))),"")</f>
        <v/>
      </c>
      <c r="O29" s="22" t="str">
        <f>IFERROR(IF('Bulk Order Details'!U39="","",IF(_xlfn.XLOOKUP('Bulk Order Details'!U39,LeftSleeve[Display],LeftSleeve[Use])="Flat",_xlfn.XLOOKUP('Bulk Order Details'!U39,LeftSleeve[Display],LeftSleeve[Flat]),ROUND(_xlfn.XLOOKUP('Bulk Order Details'!U39,LeftSleeve[Display],LeftSleeve[Pct])*$E29,2))),"")</f>
        <v/>
      </c>
      <c r="P29" s="22" t="str">
        <f>IFERROR(IF('Bulk Order Details'!V39="","",IF(_xlfn.XLOOKUP('Bulk Order Details'!V39,RightSleeve[Display],RightSleeve[Use])="Flat",_xlfn.XLOOKUP('Bulk Order Details'!V39,RightSleeve[Display],RightSleeve[Flat]),ROUND(_xlfn.XLOOKUP('Bulk Order Details'!V39,RightSleeve[Display],RightSleeve[Pct])*$E29,2))),"")</f>
        <v/>
      </c>
      <c r="Q29" s="27" t="str">
        <f>IF('Bulk Order Details'!M39="","",SUM(F29:P29))</f>
        <v/>
      </c>
      <c r="R29" s="24" t="str">
        <f t="shared" si="1"/>
        <v/>
      </c>
      <c r="S29" s="23" t="str">
        <f>IFERROR(MIN(IF(Summary!$D$11="Yes",-J29,0),IF(H29&gt;0,-J29,0)),"")</f>
        <v/>
      </c>
      <c r="T29" s="16" t="str">
        <f>IFERROR(IF(Summary!$D$10="Yes",-K29,""),"")</f>
        <v/>
      </c>
      <c r="U29" s="18" t="str">
        <f>IFERROR(IF(Summary!$D$12="Yes",-L29,""),"")</f>
        <v/>
      </c>
      <c r="V29" s="25" t="str">
        <f>IF('Bulk Order Details'!M39="","",SUM(R29:U29))</f>
        <v/>
      </c>
      <c r="W29" s="36" t="str">
        <f>IF('Bulk Order Details'!M39="","",D29+Q29)</f>
        <v/>
      </c>
      <c r="X29" s="37" t="str">
        <f>IF('Bulk Order Details'!M39="","",D29+Q29+V29)</f>
        <v/>
      </c>
      <c r="Y29" s="168" t="str">
        <f t="shared" si="0"/>
        <v/>
      </c>
      <c r="Z29" s="173" t="str">
        <f>IF('Bulk Order Details'!M39="","",MAX(1,'Bulk Order Details'!G39))</f>
        <v/>
      </c>
      <c r="AA29" s="196" t="str">
        <f>IF(Pricing_Details[[#This Row],[Quantity]]="","",Pricing_Details[[#This Row],[Retail Price]]*Pricing_Details[[#This Row],[Quantity]])</f>
        <v/>
      </c>
      <c r="AB29" s="196" t="str">
        <f>IF(Pricing_Details[[#This Row],[Quantity]]="","",Pricing_Details[[#This Row],[Total Discount]]*Pricing_Details[[#This Row],[Quantity]])</f>
        <v/>
      </c>
      <c r="AC29" s="176" t="str">
        <f>IFERROR(ROUND(Pricing_Details[[#This Row],[Actual Price]]*Pricing_Details[[#This Row],[Quantity]],2),"")</f>
        <v/>
      </c>
      <c r="AE29" s="156" t="str">
        <f>IF('Bulk Order Details'!M39="","",VLOOKUP('Bulk Order Details'!K39,Collection[],3)&amp;VLOOKUP('Bulk Order Details'!M39,Collar[],4)&amp;VLOOKUP('Bulk Order Details'!L39,Sleeve[],4))</f>
        <v/>
      </c>
      <c r="AF29" s="156" t="str">
        <f>IF('Bulk Order Details'!M39="","",LOOKUP('Bulk Order Details'!H39,Cut[Display],Cut[Code])&amp;LOOKUP('Bulk Order Details'!I39,#REF!,#REF!)&amp;IF('Bulk Order Details'!J39="","",LOOKUP('Bulk Order Details'!J39,Length[Display],Length[Code])))</f>
        <v/>
      </c>
      <c r="AG29" s="156" t="str">
        <f>IF('Bulk Order Details'!M39="","",IF('Bulk Order Details'!F39="","",'Bulk Order Details'!F39))</f>
        <v/>
      </c>
      <c r="AH29" s="156" t="str">
        <f>IF('Bulk Order Details'!R39="","","-"&amp;LOOKUP('Bulk Order Details'!R39,#REF!,#REF!))</f>
        <v/>
      </c>
      <c r="AI29" s="156" t="str">
        <f>IF('Bulk Order Details'!S39="","","-"&amp;LOOKUP('Bulk Order Details'!S39,#REF!,#REF!))</f>
        <v/>
      </c>
      <c r="AJ29" s="156" t="str">
        <f>IF('Bulk Order Details'!T39="","","-"&amp;LOOKUP('Bulk Order Details'!T39,#REF!,#REF!))</f>
        <v/>
      </c>
      <c r="AK29" s="156" t="str">
        <f>IF('Bulk Order Details'!U39="","","-"&amp;LOOKUP('Bulk Order Details'!U39,#REF!,#REF!))</f>
        <v/>
      </c>
      <c r="AL29" s="156" t="str">
        <f>IF('Bulk Order Details'!V39="","","-"&amp;LOOKUP('Bulk Order Details'!V39,#REF!,#REF!))</f>
        <v/>
      </c>
      <c r="AM29" s="156" t="str">
        <f t="shared" si="2"/>
        <v/>
      </c>
      <c r="AN29" s="156" t="str">
        <f>IF('Bulk Order Details'!N39="","","Na-"&amp;'Bulk Order Details'!N39)</f>
        <v/>
      </c>
      <c r="AO29" s="156" t="str">
        <f>IF('Bulk Order Details'!Q39="","","Fo-"&amp;'Bulk Order Details'!Q39)</f>
        <v/>
      </c>
      <c r="AP29" s="156" t="str">
        <f t="shared" si="3"/>
        <v/>
      </c>
      <c r="AQ29" s="37" t="str">
        <f t="shared" si="4"/>
        <v/>
      </c>
    </row>
    <row r="30" spans="2:43" ht="13.5" customHeight="1" x14ac:dyDescent="0.2">
      <c r="B30" s="34">
        <f>'Bulk Order Details'!B40</f>
        <v>27</v>
      </c>
      <c r="C30" s="34" t="str">
        <f>IF('Bulk Order Details'!C40="","",'Bulk Order Details'!C40&amp;" "&amp;'Bulk Order Details'!D40)</f>
        <v/>
      </c>
      <c r="D30" s="31" t="str">
        <f>IF('Bulk Order Details'!M40="","",VLOOKUP(1,Price[],3))</f>
        <v/>
      </c>
      <c r="E30" s="29" t="str">
        <f>IF('Bulk Order Details'!M40="","",Summary!$D$9)</f>
        <v/>
      </c>
      <c r="F30" s="16" t="str">
        <f>IF('Bulk Order Details'!I40="","",_xlfn.XLOOKUP('Bulk Order Details'!I40,Size[Display],Size[Price]))</f>
        <v/>
      </c>
      <c r="G30" s="16" t="str">
        <f>IF('Bulk Order Details'!J40="","",_xlfn.XLOOKUP('Bulk Order Details'!J40,Length[Display],Length[Price]))</f>
        <v/>
      </c>
      <c r="H30" s="16" t="str">
        <f>IF('Bulk Order Details'!K40="","",_xlfn.XLOOKUP('Bulk Order Details'!K40,Collection[Display],Collection[Price]))</f>
        <v/>
      </c>
      <c r="I30" s="16" t="str">
        <f>IF('Bulk Order Details'!L40="","",_xlfn.XLOOKUP('Bulk Order Details'!L40,Sleeve[Display],Sleeve[Price]))</f>
        <v/>
      </c>
      <c r="J30" s="16" t="str">
        <f>IF('Bulk Order Details'!M40="","",_xlfn.XLOOKUP('Bulk Order Details'!M40,Collar[Display],Collar[Price]))</f>
        <v/>
      </c>
      <c r="K30" s="16" t="str">
        <f>IF('Bulk Order Details'!N40="","",_xlfn.XLOOKUP("Name",Name[Name],Name[Price]))</f>
        <v/>
      </c>
      <c r="L30" s="18" t="str">
        <f>IFERROR(IF('Bulk Order Details'!R40="","",IF(_xlfn.XLOOKUP('Bulk Order Details'!R40,Logos[Display],Logos[Use])="Flat",_xlfn.XLOOKUP('Bulk Order Details'!R40,Logos[Display],Logos[Flat]),ROUND(_xlfn.XLOOKUP('Bulk Order Details'!R40,Logos[Display],Logos[Pct])*$E30,2))),"")</f>
        <v/>
      </c>
      <c r="M30" s="22" t="str">
        <f>IFERROR(IF('Bulk Order Details'!S40="","",IF(_xlfn.XLOOKUP('Bulk Order Details'!S40,Chest[Display],Chest[Use])="Flat",_xlfn.XLOOKUP('Bulk Order Details'!S40,Chest[Display],Chest[Flat]),ROUND(_xlfn.XLOOKUP('Bulk Order Details'!S40,Chest[Display],Chest[Pct])*$E30,2))),"")</f>
        <v/>
      </c>
      <c r="N30" s="22" t="str">
        <f>IFERROR(IF('Bulk Order Details'!T40="","",IF(_xlfn.XLOOKUP('Bulk Order Details'!T40,Chest[Display],Chest[Use])="Flat",_xlfn.XLOOKUP('Bulk Order Details'!T40,Chest[Display],Chest[Flat]),ROUND(_xlfn.XLOOKUP('Bulk Order Details'!T40,Chest[Display],Chest[Pct])*$E30,2))),"")</f>
        <v/>
      </c>
      <c r="O30" s="22" t="str">
        <f>IFERROR(IF('Bulk Order Details'!U40="","",IF(_xlfn.XLOOKUP('Bulk Order Details'!U40,LeftSleeve[Display],LeftSleeve[Use])="Flat",_xlfn.XLOOKUP('Bulk Order Details'!U40,LeftSleeve[Display],LeftSleeve[Flat]),ROUND(_xlfn.XLOOKUP('Bulk Order Details'!U40,LeftSleeve[Display],LeftSleeve[Pct])*$E30,2))),"")</f>
        <v/>
      </c>
      <c r="P30" s="22" t="str">
        <f>IFERROR(IF('Bulk Order Details'!V40="","",IF(_xlfn.XLOOKUP('Bulk Order Details'!V40,RightSleeve[Display],RightSleeve[Use])="Flat",_xlfn.XLOOKUP('Bulk Order Details'!V40,RightSleeve[Display],RightSleeve[Flat]),ROUND(_xlfn.XLOOKUP('Bulk Order Details'!V40,RightSleeve[Display],RightSleeve[Pct])*$E30,2))),"")</f>
        <v/>
      </c>
      <c r="Q30" s="27" t="str">
        <f>IF('Bulk Order Details'!M40="","",SUM(F30:P30))</f>
        <v/>
      </c>
      <c r="R30" s="24" t="str">
        <f t="shared" si="1"/>
        <v/>
      </c>
      <c r="S30" s="23" t="str">
        <f>IFERROR(MIN(IF(Summary!$D$11="Yes",-J30,0),IF(H30&gt;0,-J30,0)),"")</f>
        <v/>
      </c>
      <c r="T30" s="16" t="str">
        <f>IFERROR(IF(Summary!$D$10="Yes",-K30,""),"")</f>
        <v/>
      </c>
      <c r="U30" s="18" t="str">
        <f>IFERROR(IF(Summary!$D$12="Yes",-L30,""),"")</f>
        <v/>
      </c>
      <c r="V30" s="25" t="str">
        <f>IF('Bulk Order Details'!M40="","",SUM(R30:U30))</f>
        <v/>
      </c>
      <c r="W30" s="36" t="str">
        <f>IF('Bulk Order Details'!M40="","",D30+Q30)</f>
        <v/>
      </c>
      <c r="X30" s="37" t="str">
        <f>IF('Bulk Order Details'!M40="","",D30+Q30+V30)</f>
        <v/>
      </c>
      <c r="Y30" s="168" t="str">
        <f t="shared" si="0"/>
        <v/>
      </c>
      <c r="Z30" s="173" t="str">
        <f>IF('Bulk Order Details'!M40="","",MAX(1,'Bulk Order Details'!G40))</f>
        <v/>
      </c>
      <c r="AA30" s="196" t="str">
        <f>IF(Pricing_Details[[#This Row],[Quantity]]="","",Pricing_Details[[#This Row],[Retail Price]]*Pricing_Details[[#This Row],[Quantity]])</f>
        <v/>
      </c>
      <c r="AB30" s="196" t="str">
        <f>IF(Pricing_Details[[#This Row],[Quantity]]="","",Pricing_Details[[#This Row],[Total Discount]]*Pricing_Details[[#This Row],[Quantity]])</f>
        <v/>
      </c>
      <c r="AC30" s="176" t="str">
        <f>IFERROR(ROUND(Pricing_Details[[#This Row],[Actual Price]]*Pricing_Details[[#This Row],[Quantity]],2),"")</f>
        <v/>
      </c>
      <c r="AE30" s="156" t="str">
        <f>IF('Bulk Order Details'!M40="","",VLOOKUP('Bulk Order Details'!K40,Collection[],3)&amp;VLOOKUP('Bulk Order Details'!M40,Collar[],4)&amp;VLOOKUP('Bulk Order Details'!L40,Sleeve[],4))</f>
        <v/>
      </c>
      <c r="AF30" s="156" t="str">
        <f>IF('Bulk Order Details'!M40="","",LOOKUP('Bulk Order Details'!H40,Cut[Display],Cut[Code])&amp;LOOKUP('Bulk Order Details'!I40,#REF!,#REF!)&amp;IF('Bulk Order Details'!J40="","",LOOKUP('Bulk Order Details'!J40,Length[Display],Length[Code])))</f>
        <v/>
      </c>
      <c r="AG30" s="156" t="str">
        <f>IF('Bulk Order Details'!M40="","",IF('Bulk Order Details'!F40="","",'Bulk Order Details'!F40))</f>
        <v/>
      </c>
      <c r="AH30" s="156" t="str">
        <f>IF('Bulk Order Details'!R40="","","-"&amp;LOOKUP('Bulk Order Details'!R40,#REF!,#REF!))</f>
        <v/>
      </c>
      <c r="AI30" s="156" t="str">
        <f>IF('Bulk Order Details'!S40="","","-"&amp;LOOKUP('Bulk Order Details'!S40,#REF!,#REF!))</f>
        <v/>
      </c>
      <c r="AJ30" s="156" t="str">
        <f>IF('Bulk Order Details'!T40="","","-"&amp;LOOKUP('Bulk Order Details'!T40,#REF!,#REF!))</f>
        <v/>
      </c>
      <c r="AK30" s="156" t="str">
        <f>IF('Bulk Order Details'!U40="","","-"&amp;LOOKUP('Bulk Order Details'!U40,#REF!,#REF!))</f>
        <v/>
      </c>
      <c r="AL30" s="156" t="str">
        <f>IF('Bulk Order Details'!V40="","","-"&amp;LOOKUP('Bulk Order Details'!V40,#REF!,#REF!))</f>
        <v/>
      </c>
      <c r="AM30" s="156" t="str">
        <f t="shared" si="2"/>
        <v/>
      </c>
      <c r="AN30" s="156" t="str">
        <f>IF('Bulk Order Details'!N40="","","Na-"&amp;'Bulk Order Details'!N40)</f>
        <v/>
      </c>
      <c r="AO30" s="156" t="str">
        <f>IF('Bulk Order Details'!Q40="","","Fo-"&amp;'Bulk Order Details'!Q40)</f>
        <v/>
      </c>
      <c r="AP30" s="156" t="str">
        <f t="shared" si="3"/>
        <v/>
      </c>
      <c r="AQ30" s="37" t="str">
        <f t="shared" si="4"/>
        <v/>
      </c>
    </row>
    <row r="31" spans="2:43" ht="13.5" customHeight="1" x14ac:dyDescent="0.2">
      <c r="B31" s="34">
        <f>'Bulk Order Details'!B41</f>
        <v>28</v>
      </c>
      <c r="C31" s="34" t="str">
        <f>IF('Bulk Order Details'!C41="","",'Bulk Order Details'!C41&amp;" "&amp;'Bulk Order Details'!D41)</f>
        <v/>
      </c>
      <c r="D31" s="31" t="str">
        <f>IF('Bulk Order Details'!M41="","",VLOOKUP(1,Price[],3))</f>
        <v/>
      </c>
      <c r="E31" s="29" t="str">
        <f>IF('Bulk Order Details'!M41="","",Summary!$D$9)</f>
        <v/>
      </c>
      <c r="F31" s="16" t="str">
        <f>IF('Bulk Order Details'!I41="","",_xlfn.XLOOKUP('Bulk Order Details'!I41,Size[Display],Size[Price]))</f>
        <v/>
      </c>
      <c r="G31" s="16" t="str">
        <f>IF('Bulk Order Details'!J41="","",_xlfn.XLOOKUP('Bulk Order Details'!J41,Length[Display],Length[Price]))</f>
        <v/>
      </c>
      <c r="H31" s="16" t="str">
        <f>IF('Bulk Order Details'!K41="","",_xlfn.XLOOKUP('Bulk Order Details'!K41,Collection[Display],Collection[Price]))</f>
        <v/>
      </c>
      <c r="I31" s="16" t="str">
        <f>IF('Bulk Order Details'!L41="","",_xlfn.XLOOKUP('Bulk Order Details'!L41,Sleeve[Display],Sleeve[Price]))</f>
        <v/>
      </c>
      <c r="J31" s="16" t="str">
        <f>IF('Bulk Order Details'!M41="","",_xlfn.XLOOKUP('Bulk Order Details'!M41,Collar[Display],Collar[Price]))</f>
        <v/>
      </c>
      <c r="K31" s="16" t="str">
        <f>IF('Bulk Order Details'!N41="","",_xlfn.XLOOKUP("Name",Name[Name],Name[Price]))</f>
        <v/>
      </c>
      <c r="L31" s="18" t="str">
        <f>IFERROR(IF('Bulk Order Details'!R41="","",IF(_xlfn.XLOOKUP('Bulk Order Details'!R41,Logos[Display],Logos[Use])="Flat",_xlfn.XLOOKUP('Bulk Order Details'!R41,Logos[Display],Logos[Flat]),ROUND(_xlfn.XLOOKUP('Bulk Order Details'!R41,Logos[Display],Logos[Pct])*$E31,2))),"")</f>
        <v/>
      </c>
      <c r="M31" s="22" t="str">
        <f>IFERROR(IF('Bulk Order Details'!S41="","",IF(_xlfn.XLOOKUP('Bulk Order Details'!S41,Chest[Display],Chest[Use])="Flat",_xlfn.XLOOKUP('Bulk Order Details'!S41,Chest[Display],Chest[Flat]),ROUND(_xlfn.XLOOKUP('Bulk Order Details'!S41,Chest[Display],Chest[Pct])*$E31,2))),"")</f>
        <v/>
      </c>
      <c r="N31" s="22" t="str">
        <f>IFERROR(IF('Bulk Order Details'!T41="","",IF(_xlfn.XLOOKUP('Bulk Order Details'!T41,Chest[Display],Chest[Use])="Flat",_xlfn.XLOOKUP('Bulk Order Details'!T41,Chest[Display],Chest[Flat]),ROUND(_xlfn.XLOOKUP('Bulk Order Details'!T41,Chest[Display],Chest[Pct])*$E31,2))),"")</f>
        <v/>
      </c>
      <c r="O31" s="22" t="str">
        <f>IFERROR(IF('Bulk Order Details'!U41="","",IF(_xlfn.XLOOKUP('Bulk Order Details'!U41,LeftSleeve[Display],LeftSleeve[Use])="Flat",_xlfn.XLOOKUP('Bulk Order Details'!U41,LeftSleeve[Display],LeftSleeve[Flat]),ROUND(_xlfn.XLOOKUP('Bulk Order Details'!U41,LeftSleeve[Display],LeftSleeve[Pct])*$E31,2))),"")</f>
        <v/>
      </c>
      <c r="P31" s="22" t="str">
        <f>IFERROR(IF('Bulk Order Details'!V41="","",IF(_xlfn.XLOOKUP('Bulk Order Details'!V41,RightSleeve[Display],RightSleeve[Use])="Flat",_xlfn.XLOOKUP('Bulk Order Details'!V41,RightSleeve[Display],RightSleeve[Flat]),ROUND(_xlfn.XLOOKUP('Bulk Order Details'!V41,RightSleeve[Display],RightSleeve[Pct])*$E31,2))),"")</f>
        <v/>
      </c>
      <c r="Q31" s="27" t="str">
        <f>IF('Bulk Order Details'!M41="","",SUM(F31:P31))</f>
        <v/>
      </c>
      <c r="R31" s="24" t="str">
        <f t="shared" si="1"/>
        <v/>
      </c>
      <c r="S31" s="23" t="str">
        <f>IFERROR(MIN(IF(Summary!$D$11="Yes",-J31,0),IF(H31&gt;0,-J31,0)),"")</f>
        <v/>
      </c>
      <c r="T31" s="16" t="str">
        <f>IFERROR(IF(Summary!$D$10="Yes",-K31,""),"")</f>
        <v/>
      </c>
      <c r="U31" s="18" t="str">
        <f>IFERROR(IF(Summary!$D$12="Yes",-L31,""),"")</f>
        <v/>
      </c>
      <c r="V31" s="25" t="str">
        <f>IF('Bulk Order Details'!M41="","",SUM(R31:U31))</f>
        <v/>
      </c>
      <c r="W31" s="36" t="str">
        <f>IF('Bulk Order Details'!M41="","",D31+Q31)</f>
        <v/>
      </c>
      <c r="X31" s="37" t="str">
        <f>IF('Bulk Order Details'!M41="","",D31+Q31+V31)</f>
        <v/>
      </c>
      <c r="Y31" s="168" t="str">
        <f t="shared" si="0"/>
        <v/>
      </c>
      <c r="Z31" s="173" t="str">
        <f>IF('Bulk Order Details'!M41="","",MAX(1,'Bulk Order Details'!G41))</f>
        <v/>
      </c>
      <c r="AA31" s="196" t="str">
        <f>IF(Pricing_Details[[#This Row],[Quantity]]="","",Pricing_Details[[#This Row],[Retail Price]]*Pricing_Details[[#This Row],[Quantity]])</f>
        <v/>
      </c>
      <c r="AB31" s="196" t="str">
        <f>IF(Pricing_Details[[#This Row],[Quantity]]="","",Pricing_Details[[#This Row],[Total Discount]]*Pricing_Details[[#This Row],[Quantity]])</f>
        <v/>
      </c>
      <c r="AC31" s="176" t="str">
        <f>IFERROR(ROUND(Pricing_Details[[#This Row],[Actual Price]]*Pricing_Details[[#This Row],[Quantity]],2),"")</f>
        <v/>
      </c>
      <c r="AE31" s="156" t="str">
        <f>IF('Bulk Order Details'!M41="","",VLOOKUP('Bulk Order Details'!K41,Collection[],3)&amp;VLOOKUP('Bulk Order Details'!M41,Collar[],4)&amp;VLOOKUP('Bulk Order Details'!L41,Sleeve[],4))</f>
        <v/>
      </c>
      <c r="AF31" s="156" t="str">
        <f>IF('Bulk Order Details'!M41="","",LOOKUP('Bulk Order Details'!H41,Cut[Display],Cut[Code])&amp;LOOKUP('Bulk Order Details'!I41,#REF!,#REF!)&amp;IF('Bulk Order Details'!J41="","",LOOKUP('Bulk Order Details'!J41,Length[Display],Length[Code])))</f>
        <v/>
      </c>
      <c r="AG31" s="156" t="str">
        <f>IF('Bulk Order Details'!M41="","",IF('Bulk Order Details'!F41="","",'Bulk Order Details'!F41))</f>
        <v/>
      </c>
      <c r="AH31" s="156" t="str">
        <f>IF('Bulk Order Details'!R41="","","-"&amp;LOOKUP('Bulk Order Details'!R41,#REF!,#REF!))</f>
        <v/>
      </c>
      <c r="AI31" s="156" t="str">
        <f>IF('Bulk Order Details'!S41="","","-"&amp;LOOKUP('Bulk Order Details'!S41,#REF!,#REF!))</f>
        <v/>
      </c>
      <c r="AJ31" s="156" t="str">
        <f>IF('Bulk Order Details'!T41="","","-"&amp;LOOKUP('Bulk Order Details'!T41,#REF!,#REF!))</f>
        <v/>
      </c>
      <c r="AK31" s="156" t="str">
        <f>IF('Bulk Order Details'!U41="","","-"&amp;LOOKUP('Bulk Order Details'!U41,#REF!,#REF!))</f>
        <v/>
      </c>
      <c r="AL31" s="156" t="str">
        <f>IF('Bulk Order Details'!V41="","","-"&amp;LOOKUP('Bulk Order Details'!V41,#REF!,#REF!))</f>
        <v/>
      </c>
      <c r="AM31" s="156" t="str">
        <f t="shared" si="2"/>
        <v/>
      </c>
      <c r="AN31" s="156" t="str">
        <f>IF('Bulk Order Details'!N41="","","Na-"&amp;'Bulk Order Details'!N41)</f>
        <v/>
      </c>
      <c r="AO31" s="156" t="str">
        <f>IF('Bulk Order Details'!Q41="","","Fo-"&amp;'Bulk Order Details'!Q41)</f>
        <v/>
      </c>
      <c r="AP31" s="156" t="str">
        <f t="shared" si="3"/>
        <v/>
      </c>
      <c r="AQ31" s="37" t="str">
        <f t="shared" si="4"/>
        <v/>
      </c>
    </row>
    <row r="32" spans="2:43" ht="13.5" customHeight="1" x14ac:dyDescent="0.2">
      <c r="B32" s="34">
        <f>'Bulk Order Details'!B42</f>
        <v>29</v>
      </c>
      <c r="C32" s="34" t="str">
        <f>IF('Bulk Order Details'!C42="","",'Bulk Order Details'!C42&amp;" "&amp;'Bulk Order Details'!D42)</f>
        <v/>
      </c>
      <c r="D32" s="31" t="str">
        <f>IF('Bulk Order Details'!M42="","",VLOOKUP(1,Price[],3))</f>
        <v/>
      </c>
      <c r="E32" s="29" t="str">
        <f>IF('Bulk Order Details'!M42="","",Summary!$D$9)</f>
        <v/>
      </c>
      <c r="F32" s="16" t="str">
        <f>IF('Bulk Order Details'!I42="","",_xlfn.XLOOKUP('Bulk Order Details'!I42,Size[Display],Size[Price]))</f>
        <v/>
      </c>
      <c r="G32" s="16" t="str">
        <f>IF('Bulk Order Details'!J42="","",_xlfn.XLOOKUP('Bulk Order Details'!J42,Length[Display],Length[Price]))</f>
        <v/>
      </c>
      <c r="H32" s="16" t="str">
        <f>IF('Bulk Order Details'!K42="","",_xlfn.XLOOKUP('Bulk Order Details'!K42,Collection[Display],Collection[Price]))</f>
        <v/>
      </c>
      <c r="I32" s="16" t="str">
        <f>IF('Bulk Order Details'!L42="","",_xlfn.XLOOKUP('Bulk Order Details'!L42,Sleeve[Display],Sleeve[Price]))</f>
        <v/>
      </c>
      <c r="J32" s="16" t="str">
        <f>IF('Bulk Order Details'!M42="","",_xlfn.XLOOKUP('Bulk Order Details'!M42,Collar[Display],Collar[Price]))</f>
        <v/>
      </c>
      <c r="K32" s="16" t="str">
        <f>IF('Bulk Order Details'!N42="","",_xlfn.XLOOKUP("Name",Name[Name],Name[Price]))</f>
        <v/>
      </c>
      <c r="L32" s="18" t="str">
        <f>IFERROR(IF('Bulk Order Details'!R42="","",IF(_xlfn.XLOOKUP('Bulk Order Details'!R42,Logos[Display],Logos[Use])="Flat",_xlfn.XLOOKUP('Bulk Order Details'!R42,Logos[Display],Logos[Flat]),ROUND(_xlfn.XLOOKUP('Bulk Order Details'!R42,Logos[Display],Logos[Pct])*$E32,2))),"")</f>
        <v/>
      </c>
      <c r="M32" s="22" t="str">
        <f>IFERROR(IF('Bulk Order Details'!S42="","",IF(_xlfn.XLOOKUP('Bulk Order Details'!S42,Chest[Display],Chest[Use])="Flat",_xlfn.XLOOKUP('Bulk Order Details'!S42,Chest[Display],Chest[Flat]),ROUND(_xlfn.XLOOKUP('Bulk Order Details'!S42,Chest[Display],Chest[Pct])*$E32,2))),"")</f>
        <v/>
      </c>
      <c r="N32" s="22" t="str">
        <f>IFERROR(IF('Bulk Order Details'!T42="","",IF(_xlfn.XLOOKUP('Bulk Order Details'!T42,Chest[Display],Chest[Use])="Flat",_xlfn.XLOOKUP('Bulk Order Details'!T42,Chest[Display],Chest[Flat]),ROUND(_xlfn.XLOOKUP('Bulk Order Details'!T42,Chest[Display],Chest[Pct])*$E32,2))),"")</f>
        <v/>
      </c>
      <c r="O32" s="22" t="str">
        <f>IFERROR(IF('Bulk Order Details'!U42="","",IF(_xlfn.XLOOKUP('Bulk Order Details'!U42,LeftSleeve[Display],LeftSleeve[Use])="Flat",_xlfn.XLOOKUP('Bulk Order Details'!U42,LeftSleeve[Display],LeftSleeve[Flat]),ROUND(_xlfn.XLOOKUP('Bulk Order Details'!U42,LeftSleeve[Display],LeftSleeve[Pct])*$E32,2))),"")</f>
        <v/>
      </c>
      <c r="P32" s="22" t="str">
        <f>IFERROR(IF('Bulk Order Details'!V42="","",IF(_xlfn.XLOOKUP('Bulk Order Details'!V42,RightSleeve[Display],RightSleeve[Use])="Flat",_xlfn.XLOOKUP('Bulk Order Details'!V42,RightSleeve[Display],RightSleeve[Flat]),ROUND(_xlfn.XLOOKUP('Bulk Order Details'!V42,RightSleeve[Display],RightSleeve[Pct])*$E32,2))),"")</f>
        <v/>
      </c>
      <c r="Q32" s="27" t="str">
        <f>IF('Bulk Order Details'!M42="","",SUM(F32:P32))</f>
        <v/>
      </c>
      <c r="R32" s="24" t="str">
        <f t="shared" si="1"/>
        <v/>
      </c>
      <c r="S32" s="23" t="str">
        <f>IFERROR(MIN(IF(Summary!$D$11="Yes",-J32,0),IF(H32&gt;0,-J32,0)),"")</f>
        <v/>
      </c>
      <c r="T32" s="16" t="str">
        <f>IFERROR(IF(Summary!$D$10="Yes",-K32,""),"")</f>
        <v/>
      </c>
      <c r="U32" s="18" t="str">
        <f>IFERROR(IF(Summary!$D$12="Yes",-L32,""),"")</f>
        <v/>
      </c>
      <c r="V32" s="25" t="str">
        <f>IF('Bulk Order Details'!M42="","",SUM(R32:U32))</f>
        <v/>
      </c>
      <c r="W32" s="36" t="str">
        <f>IF('Bulk Order Details'!M42="","",D32+Q32)</f>
        <v/>
      </c>
      <c r="X32" s="37" t="str">
        <f>IF('Bulk Order Details'!M42="","",D32+Q32+V32)</f>
        <v/>
      </c>
      <c r="Y32" s="168" t="str">
        <f t="shared" si="0"/>
        <v/>
      </c>
      <c r="Z32" s="173" t="str">
        <f>IF('Bulk Order Details'!M42="","",MAX(1,'Bulk Order Details'!G42))</f>
        <v/>
      </c>
      <c r="AA32" s="196" t="str">
        <f>IF(Pricing_Details[[#This Row],[Quantity]]="","",Pricing_Details[[#This Row],[Retail Price]]*Pricing_Details[[#This Row],[Quantity]])</f>
        <v/>
      </c>
      <c r="AB32" s="196" t="str">
        <f>IF(Pricing_Details[[#This Row],[Quantity]]="","",Pricing_Details[[#This Row],[Total Discount]]*Pricing_Details[[#This Row],[Quantity]])</f>
        <v/>
      </c>
      <c r="AC32" s="176" t="str">
        <f>IFERROR(ROUND(Pricing_Details[[#This Row],[Actual Price]]*Pricing_Details[[#This Row],[Quantity]],2),"")</f>
        <v/>
      </c>
      <c r="AE32" s="156" t="str">
        <f>IF('Bulk Order Details'!M42="","",VLOOKUP('Bulk Order Details'!K42,Collection[],3)&amp;VLOOKUP('Bulk Order Details'!M42,Collar[],4)&amp;VLOOKUP('Bulk Order Details'!L42,Sleeve[],4))</f>
        <v/>
      </c>
      <c r="AF32" s="156" t="str">
        <f>IF('Bulk Order Details'!M42="","",LOOKUP('Bulk Order Details'!H42,Cut[Display],Cut[Code])&amp;LOOKUP('Bulk Order Details'!I42,#REF!,#REF!)&amp;IF('Bulk Order Details'!J42="","",LOOKUP('Bulk Order Details'!J42,Length[Display],Length[Code])))</f>
        <v/>
      </c>
      <c r="AG32" s="156" t="str">
        <f>IF('Bulk Order Details'!M42="","",IF('Bulk Order Details'!F42="","",'Bulk Order Details'!F42))</f>
        <v/>
      </c>
      <c r="AH32" s="156" t="str">
        <f>IF('Bulk Order Details'!R42="","","-"&amp;LOOKUP('Bulk Order Details'!R42,#REF!,#REF!))</f>
        <v/>
      </c>
      <c r="AI32" s="156" t="str">
        <f>IF('Bulk Order Details'!S42="","","-"&amp;LOOKUP('Bulk Order Details'!S42,#REF!,#REF!))</f>
        <v/>
      </c>
      <c r="AJ32" s="156" t="str">
        <f>IF('Bulk Order Details'!T42="","","-"&amp;LOOKUP('Bulk Order Details'!T42,#REF!,#REF!))</f>
        <v/>
      </c>
      <c r="AK32" s="156" t="str">
        <f>IF('Bulk Order Details'!U42="","","-"&amp;LOOKUP('Bulk Order Details'!U42,#REF!,#REF!))</f>
        <v/>
      </c>
      <c r="AL32" s="156" t="str">
        <f>IF('Bulk Order Details'!V42="","","-"&amp;LOOKUP('Bulk Order Details'!V42,#REF!,#REF!))</f>
        <v/>
      </c>
      <c r="AM32" s="156" t="str">
        <f t="shared" si="2"/>
        <v/>
      </c>
      <c r="AN32" s="156" t="str">
        <f>IF('Bulk Order Details'!N42="","","Na-"&amp;'Bulk Order Details'!N42)</f>
        <v/>
      </c>
      <c r="AO32" s="156" t="str">
        <f>IF('Bulk Order Details'!Q42="","","Fo-"&amp;'Bulk Order Details'!Q42)</f>
        <v/>
      </c>
      <c r="AP32" s="156" t="str">
        <f t="shared" si="3"/>
        <v/>
      </c>
      <c r="AQ32" s="37" t="str">
        <f t="shared" si="4"/>
        <v/>
      </c>
    </row>
    <row r="33" spans="2:43" ht="13.5" customHeight="1" x14ac:dyDescent="0.2">
      <c r="B33" s="34">
        <f>'Bulk Order Details'!B43</f>
        <v>30</v>
      </c>
      <c r="C33" s="34" t="str">
        <f>IF('Bulk Order Details'!C43="","",'Bulk Order Details'!C43&amp;" "&amp;'Bulk Order Details'!D43)</f>
        <v/>
      </c>
      <c r="D33" s="31" t="str">
        <f>IF('Bulk Order Details'!M43="","",VLOOKUP(1,Price[],3))</f>
        <v/>
      </c>
      <c r="E33" s="29" t="str">
        <f>IF('Bulk Order Details'!M43="","",Summary!$D$9)</f>
        <v/>
      </c>
      <c r="F33" s="16" t="str">
        <f>IF('Bulk Order Details'!I43="","",_xlfn.XLOOKUP('Bulk Order Details'!I43,Size[Display],Size[Price]))</f>
        <v/>
      </c>
      <c r="G33" s="16" t="str">
        <f>IF('Bulk Order Details'!J43="","",_xlfn.XLOOKUP('Bulk Order Details'!J43,Length[Display],Length[Price]))</f>
        <v/>
      </c>
      <c r="H33" s="16" t="str">
        <f>IF('Bulk Order Details'!K43="","",_xlfn.XLOOKUP('Bulk Order Details'!K43,Collection[Display],Collection[Price]))</f>
        <v/>
      </c>
      <c r="I33" s="16" t="str">
        <f>IF('Bulk Order Details'!L43="","",_xlfn.XLOOKUP('Bulk Order Details'!L43,Sleeve[Display],Sleeve[Price]))</f>
        <v/>
      </c>
      <c r="J33" s="16" t="str">
        <f>IF('Bulk Order Details'!M43="","",_xlfn.XLOOKUP('Bulk Order Details'!M43,Collar[Display],Collar[Price]))</f>
        <v/>
      </c>
      <c r="K33" s="16" t="str">
        <f>IF('Bulk Order Details'!N43="","",_xlfn.XLOOKUP("Name",Name[Name],Name[Price]))</f>
        <v/>
      </c>
      <c r="L33" s="18" t="str">
        <f>IFERROR(IF('Bulk Order Details'!R43="","",IF(_xlfn.XLOOKUP('Bulk Order Details'!R43,Logos[Display],Logos[Use])="Flat",_xlfn.XLOOKUP('Bulk Order Details'!R43,Logos[Display],Logos[Flat]),ROUND(_xlfn.XLOOKUP('Bulk Order Details'!R43,Logos[Display],Logos[Pct])*$E33,2))),"")</f>
        <v/>
      </c>
      <c r="M33" s="22" t="str">
        <f>IFERROR(IF('Bulk Order Details'!S43="","",IF(_xlfn.XLOOKUP('Bulk Order Details'!S43,Chest[Display],Chest[Use])="Flat",_xlfn.XLOOKUP('Bulk Order Details'!S43,Chest[Display],Chest[Flat]),ROUND(_xlfn.XLOOKUP('Bulk Order Details'!S43,Chest[Display],Chest[Pct])*$E33,2))),"")</f>
        <v/>
      </c>
      <c r="N33" s="22" t="str">
        <f>IFERROR(IF('Bulk Order Details'!T43="","",IF(_xlfn.XLOOKUP('Bulk Order Details'!T43,Chest[Display],Chest[Use])="Flat",_xlfn.XLOOKUP('Bulk Order Details'!T43,Chest[Display],Chest[Flat]),ROUND(_xlfn.XLOOKUP('Bulk Order Details'!T43,Chest[Display],Chest[Pct])*$E33,2))),"")</f>
        <v/>
      </c>
      <c r="O33" s="22" t="str">
        <f>IFERROR(IF('Bulk Order Details'!U43="","",IF(_xlfn.XLOOKUP('Bulk Order Details'!U43,LeftSleeve[Display],LeftSleeve[Use])="Flat",_xlfn.XLOOKUP('Bulk Order Details'!U43,LeftSleeve[Display],LeftSleeve[Flat]),ROUND(_xlfn.XLOOKUP('Bulk Order Details'!U43,LeftSleeve[Display],LeftSleeve[Pct])*$E33,2))),"")</f>
        <v/>
      </c>
      <c r="P33" s="22" t="str">
        <f>IFERROR(IF('Bulk Order Details'!V43="","",IF(_xlfn.XLOOKUP('Bulk Order Details'!V43,RightSleeve[Display],RightSleeve[Use])="Flat",_xlfn.XLOOKUP('Bulk Order Details'!V43,RightSleeve[Display],RightSleeve[Flat]),ROUND(_xlfn.XLOOKUP('Bulk Order Details'!V43,RightSleeve[Display],RightSleeve[Pct])*$E33,2))),"")</f>
        <v/>
      </c>
      <c r="Q33" s="27" t="str">
        <f>IF('Bulk Order Details'!M43="","",SUM(F33:P33))</f>
        <v/>
      </c>
      <c r="R33" s="24" t="str">
        <f t="shared" si="1"/>
        <v/>
      </c>
      <c r="S33" s="23" t="str">
        <f>IFERROR(MIN(IF(Summary!$D$11="Yes",-J33,0),IF(H33&gt;0,-J33,0)),"")</f>
        <v/>
      </c>
      <c r="T33" s="16" t="str">
        <f>IFERROR(IF(Summary!$D$10="Yes",-K33,""),"")</f>
        <v/>
      </c>
      <c r="U33" s="18" t="str">
        <f>IFERROR(IF(Summary!$D$12="Yes",-L33,""),"")</f>
        <v/>
      </c>
      <c r="V33" s="25" t="str">
        <f>IF('Bulk Order Details'!M43="","",SUM(R33:U33))</f>
        <v/>
      </c>
      <c r="W33" s="36" t="str">
        <f>IF('Bulk Order Details'!M43="","",D33+Q33)</f>
        <v/>
      </c>
      <c r="X33" s="37" t="str">
        <f>IF('Bulk Order Details'!M43="","",D33+Q33+V33)</f>
        <v/>
      </c>
      <c r="Y33" s="168" t="str">
        <f t="shared" si="0"/>
        <v/>
      </c>
      <c r="Z33" s="173" t="str">
        <f>IF('Bulk Order Details'!M43="","",MAX(1,'Bulk Order Details'!G43))</f>
        <v/>
      </c>
      <c r="AA33" s="196" t="str">
        <f>IF(Pricing_Details[[#This Row],[Quantity]]="","",Pricing_Details[[#This Row],[Retail Price]]*Pricing_Details[[#This Row],[Quantity]])</f>
        <v/>
      </c>
      <c r="AB33" s="196" t="str">
        <f>IF(Pricing_Details[[#This Row],[Quantity]]="","",Pricing_Details[[#This Row],[Total Discount]]*Pricing_Details[[#This Row],[Quantity]])</f>
        <v/>
      </c>
      <c r="AC33" s="176" t="str">
        <f>IFERROR(ROUND(Pricing_Details[[#This Row],[Actual Price]]*Pricing_Details[[#This Row],[Quantity]],2),"")</f>
        <v/>
      </c>
      <c r="AE33" s="156" t="str">
        <f>IF('Bulk Order Details'!M43="","",VLOOKUP('Bulk Order Details'!K43,Collection[],3)&amp;VLOOKUP('Bulk Order Details'!M43,Collar[],4)&amp;VLOOKUP('Bulk Order Details'!L43,Sleeve[],4))</f>
        <v/>
      </c>
      <c r="AF33" s="156" t="str">
        <f>IF('Bulk Order Details'!M43="","",LOOKUP('Bulk Order Details'!H43,Cut[Display],Cut[Code])&amp;LOOKUP('Bulk Order Details'!I43,#REF!,#REF!)&amp;IF('Bulk Order Details'!J43="","",LOOKUP('Bulk Order Details'!J43,Length[Display],Length[Code])))</f>
        <v/>
      </c>
      <c r="AG33" s="156" t="str">
        <f>IF('Bulk Order Details'!M43="","",IF('Bulk Order Details'!F43="","",'Bulk Order Details'!F43))</f>
        <v/>
      </c>
      <c r="AH33" s="156" t="str">
        <f>IF('Bulk Order Details'!R43="","","-"&amp;LOOKUP('Bulk Order Details'!R43,#REF!,#REF!))</f>
        <v/>
      </c>
      <c r="AI33" s="156" t="str">
        <f>IF('Bulk Order Details'!S43="","","-"&amp;LOOKUP('Bulk Order Details'!S43,#REF!,#REF!))</f>
        <v/>
      </c>
      <c r="AJ33" s="156" t="str">
        <f>IF('Bulk Order Details'!T43="","","-"&amp;LOOKUP('Bulk Order Details'!T43,#REF!,#REF!))</f>
        <v/>
      </c>
      <c r="AK33" s="156" t="str">
        <f>IF('Bulk Order Details'!U43="","","-"&amp;LOOKUP('Bulk Order Details'!U43,#REF!,#REF!))</f>
        <v/>
      </c>
      <c r="AL33" s="156" t="str">
        <f>IF('Bulk Order Details'!V43="","","-"&amp;LOOKUP('Bulk Order Details'!V43,#REF!,#REF!))</f>
        <v/>
      </c>
      <c r="AM33" s="156" t="str">
        <f t="shared" si="2"/>
        <v/>
      </c>
      <c r="AN33" s="156" t="str">
        <f>IF('Bulk Order Details'!N43="","","Na-"&amp;'Bulk Order Details'!N43)</f>
        <v/>
      </c>
      <c r="AO33" s="156" t="str">
        <f>IF('Bulk Order Details'!Q43="","","Fo-"&amp;'Bulk Order Details'!Q43)</f>
        <v/>
      </c>
      <c r="AP33" s="156" t="str">
        <f t="shared" si="3"/>
        <v/>
      </c>
      <c r="AQ33" s="37" t="str">
        <f t="shared" si="4"/>
        <v/>
      </c>
    </row>
    <row r="34" spans="2:43" ht="13.5" customHeight="1" x14ac:dyDescent="0.2">
      <c r="B34" s="34">
        <f>'Bulk Order Details'!B44</f>
        <v>31</v>
      </c>
      <c r="C34" s="34" t="str">
        <f>IF('Bulk Order Details'!C44="","",'Bulk Order Details'!C44&amp;" "&amp;'Bulk Order Details'!D44)</f>
        <v/>
      </c>
      <c r="D34" s="31" t="str">
        <f>IF('Bulk Order Details'!M44="","",VLOOKUP(1,Price[],3))</f>
        <v/>
      </c>
      <c r="E34" s="29" t="str">
        <f>IF('Bulk Order Details'!M44="","",Summary!$D$9)</f>
        <v/>
      </c>
      <c r="F34" s="16" t="str">
        <f>IF('Bulk Order Details'!I44="","",_xlfn.XLOOKUP('Bulk Order Details'!I44,Size[Display],Size[Price]))</f>
        <v/>
      </c>
      <c r="G34" s="16" t="str">
        <f>IF('Bulk Order Details'!J44="","",_xlfn.XLOOKUP('Bulk Order Details'!J44,Length[Display],Length[Price]))</f>
        <v/>
      </c>
      <c r="H34" s="16" t="str">
        <f>IF('Bulk Order Details'!K44="","",_xlfn.XLOOKUP('Bulk Order Details'!K44,Collection[Display],Collection[Price]))</f>
        <v/>
      </c>
      <c r="I34" s="16" t="str">
        <f>IF('Bulk Order Details'!L44="","",_xlfn.XLOOKUP('Bulk Order Details'!L44,Sleeve[Display],Sleeve[Price]))</f>
        <v/>
      </c>
      <c r="J34" s="16" t="str">
        <f>IF('Bulk Order Details'!M44="","",_xlfn.XLOOKUP('Bulk Order Details'!M44,Collar[Display],Collar[Price]))</f>
        <v/>
      </c>
      <c r="K34" s="16" t="str">
        <f>IF('Bulk Order Details'!N44="","",_xlfn.XLOOKUP("Name",Name[Name],Name[Price]))</f>
        <v/>
      </c>
      <c r="L34" s="18" t="str">
        <f>IFERROR(IF('Bulk Order Details'!R44="","",IF(_xlfn.XLOOKUP('Bulk Order Details'!R44,Logos[Display],Logos[Use])="Flat",_xlfn.XLOOKUP('Bulk Order Details'!R44,Logos[Display],Logos[Flat]),ROUND(_xlfn.XLOOKUP('Bulk Order Details'!R44,Logos[Display],Logos[Pct])*$E34,2))),"")</f>
        <v/>
      </c>
      <c r="M34" s="22" t="str">
        <f>IFERROR(IF('Bulk Order Details'!S44="","",IF(_xlfn.XLOOKUP('Bulk Order Details'!S44,Chest[Display],Chest[Use])="Flat",_xlfn.XLOOKUP('Bulk Order Details'!S44,Chest[Display],Chest[Flat]),ROUND(_xlfn.XLOOKUP('Bulk Order Details'!S44,Chest[Display],Chest[Pct])*$E34,2))),"")</f>
        <v/>
      </c>
      <c r="N34" s="22" t="str">
        <f>IFERROR(IF('Bulk Order Details'!T44="","",IF(_xlfn.XLOOKUP('Bulk Order Details'!T44,Chest[Display],Chest[Use])="Flat",_xlfn.XLOOKUP('Bulk Order Details'!T44,Chest[Display],Chest[Flat]),ROUND(_xlfn.XLOOKUP('Bulk Order Details'!T44,Chest[Display],Chest[Pct])*$E34,2))),"")</f>
        <v/>
      </c>
      <c r="O34" s="22" t="str">
        <f>IFERROR(IF('Bulk Order Details'!U44="","",IF(_xlfn.XLOOKUP('Bulk Order Details'!U44,LeftSleeve[Display],LeftSleeve[Use])="Flat",_xlfn.XLOOKUP('Bulk Order Details'!U44,LeftSleeve[Display],LeftSleeve[Flat]),ROUND(_xlfn.XLOOKUP('Bulk Order Details'!U44,LeftSleeve[Display],LeftSleeve[Pct])*$E34,2))),"")</f>
        <v/>
      </c>
      <c r="P34" s="22" t="str">
        <f>IFERROR(IF('Bulk Order Details'!V44="","",IF(_xlfn.XLOOKUP('Bulk Order Details'!V44,RightSleeve[Display],RightSleeve[Use])="Flat",_xlfn.XLOOKUP('Bulk Order Details'!V44,RightSleeve[Display],RightSleeve[Flat]),ROUND(_xlfn.XLOOKUP('Bulk Order Details'!V44,RightSleeve[Display],RightSleeve[Pct])*$E34,2))),"")</f>
        <v/>
      </c>
      <c r="Q34" s="27" t="str">
        <f>IF('Bulk Order Details'!M44="","",SUM(F34:P34))</f>
        <v/>
      </c>
      <c r="R34" s="24" t="str">
        <f t="shared" si="1"/>
        <v/>
      </c>
      <c r="S34" s="23" t="str">
        <f>IFERROR(MIN(IF(Summary!$D$11="Yes",-J34,0),IF(H34&gt;0,-J34,0)),"")</f>
        <v/>
      </c>
      <c r="T34" s="16" t="str">
        <f>IFERROR(IF(Summary!$D$10="Yes",-K34,""),"")</f>
        <v/>
      </c>
      <c r="U34" s="18" t="str">
        <f>IFERROR(IF(Summary!$D$12="Yes",-L34,""),"")</f>
        <v/>
      </c>
      <c r="V34" s="25" t="str">
        <f>IF('Bulk Order Details'!M44="","",SUM(R34:U34))</f>
        <v/>
      </c>
      <c r="W34" s="36" t="str">
        <f>IF('Bulk Order Details'!M44="","",D34+Q34)</f>
        <v/>
      </c>
      <c r="X34" s="37" t="str">
        <f>IF('Bulk Order Details'!M44="","",D34+Q34+V34)</f>
        <v/>
      </c>
      <c r="Y34" s="168" t="str">
        <f t="shared" si="0"/>
        <v/>
      </c>
      <c r="Z34" s="173" t="str">
        <f>IF('Bulk Order Details'!M44="","",MAX(1,'Bulk Order Details'!G44))</f>
        <v/>
      </c>
      <c r="AA34" s="196" t="str">
        <f>IF(Pricing_Details[[#This Row],[Quantity]]="","",Pricing_Details[[#This Row],[Retail Price]]*Pricing_Details[[#This Row],[Quantity]])</f>
        <v/>
      </c>
      <c r="AB34" s="196" t="str">
        <f>IF(Pricing_Details[[#This Row],[Quantity]]="","",Pricing_Details[[#This Row],[Total Discount]]*Pricing_Details[[#This Row],[Quantity]])</f>
        <v/>
      </c>
      <c r="AC34" s="176" t="str">
        <f>IFERROR(ROUND(Pricing_Details[[#This Row],[Actual Price]]*Pricing_Details[[#This Row],[Quantity]],2),"")</f>
        <v/>
      </c>
      <c r="AE34" s="156" t="str">
        <f>IF('Bulk Order Details'!M44="","",VLOOKUP('Bulk Order Details'!K44,Collection[],3)&amp;VLOOKUP('Bulk Order Details'!M44,Collar[],4)&amp;VLOOKUP('Bulk Order Details'!L44,Sleeve[],4))</f>
        <v/>
      </c>
      <c r="AF34" s="156" t="str">
        <f>IF('Bulk Order Details'!M44="","",LOOKUP('Bulk Order Details'!H44,Cut[Display],Cut[Code])&amp;LOOKUP('Bulk Order Details'!I44,#REF!,#REF!)&amp;IF('Bulk Order Details'!J44="","",LOOKUP('Bulk Order Details'!J44,Length[Display],Length[Code])))</f>
        <v/>
      </c>
      <c r="AG34" s="156" t="str">
        <f>IF('Bulk Order Details'!M44="","",IF('Bulk Order Details'!F44="","",'Bulk Order Details'!F44))</f>
        <v/>
      </c>
      <c r="AH34" s="156" t="str">
        <f>IF('Bulk Order Details'!R44="","","-"&amp;LOOKUP('Bulk Order Details'!R44,#REF!,#REF!))</f>
        <v/>
      </c>
      <c r="AI34" s="156" t="str">
        <f>IF('Bulk Order Details'!S44="","","-"&amp;LOOKUP('Bulk Order Details'!S44,#REF!,#REF!))</f>
        <v/>
      </c>
      <c r="AJ34" s="156" t="str">
        <f>IF('Bulk Order Details'!T44="","","-"&amp;LOOKUP('Bulk Order Details'!T44,#REF!,#REF!))</f>
        <v/>
      </c>
      <c r="AK34" s="156" t="str">
        <f>IF('Bulk Order Details'!U44="","","-"&amp;LOOKUP('Bulk Order Details'!U44,#REF!,#REF!))</f>
        <v/>
      </c>
      <c r="AL34" s="156" t="str">
        <f>IF('Bulk Order Details'!V44="","","-"&amp;LOOKUP('Bulk Order Details'!V44,#REF!,#REF!))</f>
        <v/>
      </c>
      <c r="AM34" s="156" t="str">
        <f t="shared" si="2"/>
        <v/>
      </c>
      <c r="AN34" s="156" t="str">
        <f>IF('Bulk Order Details'!N44="","","Na-"&amp;'Bulk Order Details'!N44)</f>
        <v/>
      </c>
      <c r="AO34" s="156" t="str">
        <f>IF('Bulk Order Details'!Q44="","","Fo-"&amp;'Bulk Order Details'!Q44)</f>
        <v/>
      </c>
      <c r="AP34" s="156" t="str">
        <f t="shared" si="3"/>
        <v/>
      </c>
      <c r="AQ34" s="37" t="str">
        <f t="shared" si="4"/>
        <v/>
      </c>
    </row>
    <row r="35" spans="2:43" ht="13.5" customHeight="1" x14ac:dyDescent="0.2">
      <c r="B35" s="34">
        <f>'Bulk Order Details'!B45</f>
        <v>32</v>
      </c>
      <c r="C35" s="34" t="str">
        <f>IF('Bulk Order Details'!C45="","",'Bulk Order Details'!C45&amp;" "&amp;'Bulk Order Details'!D45)</f>
        <v/>
      </c>
      <c r="D35" s="31" t="str">
        <f>IF('Bulk Order Details'!M45="","",VLOOKUP(1,Price[],3))</f>
        <v/>
      </c>
      <c r="E35" s="29" t="str">
        <f>IF('Bulk Order Details'!M45="","",Summary!$D$9)</f>
        <v/>
      </c>
      <c r="F35" s="16" t="str">
        <f>IF('Bulk Order Details'!I45="","",_xlfn.XLOOKUP('Bulk Order Details'!I45,Size[Display],Size[Price]))</f>
        <v/>
      </c>
      <c r="G35" s="16" t="str">
        <f>IF('Bulk Order Details'!J45="","",_xlfn.XLOOKUP('Bulk Order Details'!J45,Length[Display],Length[Price]))</f>
        <v/>
      </c>
      <c r="H35" s="16" t="str">
        <f>IF('Bulk Order Details'!K45="","",_xlfn.XLOOKUP('Bulk Order Details'!K45,Collection[Display],Collection[Price]))</f>
        <v/>
      </c>
      <c r="I35" s="16" t="str">
        <f>IF('Bulk Order Details'!L45="","",_xlfn.XLOOKUP('Bulk Order Details'!L45,Sleeve[Display],Sleeve[Price]))</f>
        <v/>
      </c>
      <c r="J35" s="16" t="str">
        <f>IF('Bulk Order Details'!M45="","",_xlfn.XLOOKUP('Bulk Order Details'!M45,Collar[Display],Collar[Price]))</f>
        <v/>
      </c>
      <c r="K35" s="16" t="str">
        <f>IF('Bulk Order Details'!N45="","",_xlfn.XLOOKUP("Name",Name[Name],Name[Price]))</f>
        <v/>
      </c>
      <c r="L35" s="18" t="str">
        <f>IFERROR(IF('Bulk Order Details'!R45="","",IF(_xlfn.XLOOKUP('Bulk Order Details'!R45,Logos[Display],Logos[Use])="Flat",_xlfn.XLOOKUP('Bulk Order Details'!R45,Logos[Display],Logos[Flat]),ROUND(_xlfn.XLOOKUP('Bulk Order Details'!R45,Logos[Display],Logos[Pct])*$E35,2))),"")</f>
        <v/>
      </c>
      <c r="M35" s="22" t="str">
        <f>IFERROR(IF('Bulk Order Details'!S45="","",IF(_xlfn.XLOOKUP('Bulk Order Details'!S45,Chest[Display],Chest[Use])="Flat",_xlfn.XLOOKUP('Bulk Order Details'!S45,Chest[Display],Chest[Flat]),ROUND(_xlfn.XLOOKUP('Bulk Order Details'!S45,Chest[Display],Chest[Pct])*$E35,2))),"")</f>
        <v/>
      </c>
      <c r="N35" s="22" t="str">
        <f>IFERROR(IF('Bulk Order Details'!T45="","",IF(_xlfn.XLOOKUP('Bulk Order Details'!T45,Chest[Display],Chest[Use])="Flat",_xlfn.XLOOKUP('Bulk Order Details'!T45,Chest[Display],Chest[Flat]),ROUND(_xlfn.XLOOKUP('Bulk Order Details'!T45,Chest[Display],Chest[Pct])*$E35,2))),"")</f>
        <v/>
      </c>
      <c r="O35" s="22" t="str">
        <f>IFERROR(IF('Bulk Order Details'!U45="","",IF(_xlfn.XLOOKUP('Bulk Order Details'!U45,LeftSleeve[Display],LeftSleeve[Use])="Flat",_xlfn.XLOOKUP('Bulk Order Details'!U45,LeftSleeve[Display],LeftSleeve[Flat]),ROUND(_xlfn.XLOOKUP('Bulk Order Details'!U45,LeftSleeve[Display],LeftSleeve[Pct])*$E35,2))),"")</f>
        <v/>
      </c>
      <c r="P35" s="22" t="str">
        <f>IFERROR(IF('Bulk Order Details'!V45="","",IF(_xlfn.XLOOKUP('Bulk Order Details'!V45,RightSleeve[Display],RightSleeve[Use])="Flat",_xlfn.XLOOKUP('Bulk Order Details'!V45,RightSleeve[Display],RightSleeve[Flat]),ROUND(_xlfn.XLOOKUP('Bulk Order Details'!V45,RightSleeve[Display],RightSleeve[Pct])*$E35,2))),"")</f>
        <v/>
      </c>
      <c r="Q35" s="27" t="str">
        <f>IF('Bulk Order Details'!M45="","",SUM(F35:P35))</f>
        <v/>
      </c>
      <c r="R35" s="24" t="str">
        <f t="shared" si="1"/>
        <v/>
      </c>
      <c r="S35" s="23" t="str">
        <f>IFERROR(MIN(IF(Summary!$D$11="Yes",-J35,0),IF(H35&gt;0,-J35,0)),"")</f>
        <v/>
      </c>
      <c r="T35" s="16" t="str">
        <f>IFERROR(IF(Summary!$D$10="Yes",-K35,""),"")</f>
        <v/>
      </c>
      <c r="U35" s="18" t="str">
        <f>IFERROR(IF(Summary!$D$12="Yes",-L35,""),"")</f>
        <v/>
      </c>
      <c r="V35" s="25" t="str">
        <f>IF('Bulk Order Details'!M45="","",SUM(R35:U35))</f>
        <v/>
      </c>
      <c r="W35" s="36" t="str">
        <f>IF('Bulk Order Details'!M45="","",D35+Q35)</f>
        <v/>
      </c>
      <c r="X35" s="37" t="str">
        <f>IF('Bulk Order Details'!M45="","",D35+Q35+V35)</f>
        <v/>
      </c>
      <c r="Y35" s="168" t="str">
        <f t="shared" si="0"/>
        <v/>
      </c>
      <c r="Z35" s="173" t="str">
        <f>IF('Bulk Order Details'!M45="","",MAX(1,'Bulk Order Details'!G45))</f>
        <v/>
      </c>
      <c r="AA35" s="196" t="str">
        <f>IF(Pricing_Details[[#This Row],[Quantity]]="","",Pricing_Details[[#This Row],[Retail Price]]*Pricing_Details[[#This Row],[Quantity]])</f>
        <v/>
      </c>
      <c r="AB35" s="196" t="str">
        <f>IF(Pricing_Details[[#This Row],[Quantity]]="","",Pricing_Details[[#This Row],[Total Discount]]*Pricing_Details[[#This Row],[Quantity]])</f>
        <v/>
      </c>
      <c r="AC35" s="176" t="str">
        <f>IFERROR(ROUND(Pricing_Details[[#This Row],[Actual Price]]*Pricing_Details[[#This Row],[Quantity]],2),"")</f>
        <v/>
      </c>
      <c r="AE35" s="156" t="str">
        <f>IF('Bulk Order Details'!M45="","",VLOOKUP('Bulk Order Details'!K45,Collection[],3)&amp;VLOOKUP('Bulk Order Details'!M45,Collar[],4)&amp;VLOOKUP('Bulk Order Details'!L45,Sleeve[],4))</f>
        <v/>
      </c>
      <c r="AF35" s="156" t="str">
        <f>IF('Bulk Order Details'!M45="","",LOOKUP('Bulk Order Details'!H45,Cut[Display],Cut[Code])&amp;LOOKUP('Bulk Order Details'!I45,#REF!,#REF!)&amp;IF('Bulk Order Details'!J45="","",LOOKUP('Bulk Order Details'!J45,Length[Display],Length[Code])))</f>
        <v/>
      </c>
      <c r="AG35" s="156" t="str">
        <f>IF('Bulk Order Details'!M45="","",IF('Bulk Order Details'!F45="","",'Bulk Order Details'!F45))</f>
        <v/>
      </c>
      <c r="AH35" s="156" t="str">
        <f>IF('Bulk Order Details'!R45="","","-"&amp;LOOKUP('Bulk Order Details'!R45,#REF!,#REF!))</f>
        <v/>
      </c>
      <c r="AI35" s="156" t="str">
        <f>IF('Bulk Order Details'!S45="","","-"&amp;LOOKUP('Bulk Order Details'!S45,#REF!,#REF!))</f>
        <v/>
      </c>
      <c r="AJ35" s="156" t="str">
        <f>IF('Bulk Order Details'!T45="","","-"&amp;LOOKUP('Bulk Order Details'!T45,#REF!,#REF!))</f>
        <v/>
      </c>
      <c r="AK35" s="156" t="str">
        <f>IF('Bulk Order Details'!U45="","","-"&amp;LOOKUP('Bulk Order Details'!U45,#REF!,#REF!))</f>
        <v/>
      </c>
      <c r="AL35" s="156" t="str">
        <f>IF('Bulk Order Details'!V45="","","-"&amp;LOOKUP('Bulk Order Details'!V45,#REF!,#REF!))</f>
        <v/>
      </c>
      <c r="AM35" s="156" t="str">
        <f t="shared" si="2"/>
        <v/>
      </c>
      <c r="AN35" s="156" t="str">
        <f>IF('Bulk Order Details'!N45="","","Na-"&amp;'Bulk Order Details'!N45)</f>
        <v/>
      </c>
      <c r="AO35" s="156" t="str">
        <f>IF('Bulk Order Details'!Q45="","","Fo-"&amp;'Bulk Order Details'!Q45)</f>
        <v/>
      </c>
      <c r="AP35" s="156" t="str">
        <f t="shared" si="3"/>
        <v/>
      </c>
      <c r="AQ35" s="37" t="str">
        <f t="shared" si="4"/>
        <v/>
      </c>
    </row>
    <row r="36" spans="2:43" ht="13.5" customHeight="1" x14ac:dyDescent="0.2">
      <c r="B36" s="34">
        <f>'Bulk Order Details'!B46</f>
        <v>33</v>
      </c>
      <c r="C36" s="34" t="str">
        <f>IF('Bulk Order Details'!C46="","",'Bulk Order Details'!C46&amp;" "&amp;'Bulk Order Details'!D46)</f>
        <v/>
      </c>
      <c r="D36" s="31" t="str">
        <f>IF('Bulk Order Details'!M46="","",VLOOKUP(1,Price[],3))</f>
        <v/>
      </c>
      <c r="E36" s="29" t="str">
        <f>IF('Bulk Order Details'!M46="","",Summary!$D$9)</f>
        <v/>
      </c>
      <c r="F36" s="16" t="str">
        <f>IF('Bulk Order Details'!I46="","",_xlfn.XLOOKUP('Bulk Order Details'!I46,Size[Display],Size[Price]))</f>
        <v/>
      </c>
      <c r="G36" s="16" t="str">
        <f>IF('Bulk Order Details'!J46="","",_xlfn.XLOOKUP('Bulk Order Details'!J46,Length[Display],Length[Price]))</f>
        <v/>
      </c>
      <c r="H36" s="16" t="str">
        <f>IF('Bulk Order Details'!K46="","",_xlfn.XLOOKUP('Bulk Order Details'!K46,Collection[Display],Collection[Price]))</f>
        <v/>
      </c>
      <c r="I36" s="16" t="str">
        <f>IF('Bulk Order Details'!L46="","",_xlfn.XLOOKUP('Bulk Order Details'!L46,Sleeve[Display],Sleeve[Price]))</f>
        <v/>
      </c>
      <c r="J36" s="16" t="str">
        <f>IF('Bulk Order Details'!M46="","",_xlfn.XLOOKUP('Bulk Order Details'!M46,Collar[Display],Collar[Price]))</f>
        <v/>
      </c>
      <c r="K36" s="16" t="str">
        <f>IF('Bulk Order Details'!N46="","",_xlfn.XLOOKUP("Name",Name[Name],Name[Price]))</f>
        <v/>
      </c>
      <c r="L36" s="18" t="str">
        <f>IFERROR(IF('Bulk Order Details'!R46="","",IF(_xlfn.XLOOKUP('Bulk Order Details'!R46,Logos[Display],Logos[Use])="Flat",_xlfn.XLOOKUP('Bulk Order Details'!R46,Logos[Display],Logos[Flat]),ROUND(_xlfn.XLOOKUP('Bulk Order Details'!R46,Logos[Display],Logos[Pct])*$E36,2))),"")</f>
        <v/>
      </c>
      <c r="M36" s="22" t="str">
        <f>IFERROR(IF('Bulk Order Details'!S46="","",IF(_xlfn.XLOOKUP('Bulk Order Details'!S46,Chest[Display],Chest[Use])="Flat",_xlfn.XLOOKUP('Bulk Order Details'!S46,Chest[Display],Chest[Flat]),ROUND(_xlfn.XLOOKUP('Bulk Order Details'!S46,Chest[Display],Chest[Pct])*$E36,2))),"")</f>
        <v/>
      </c>
      <c r="N36" s="22" t="str">
        <f>IFERROR(IF('Bulk Order Details'!T46="","",IF(_xlfn.XLOOKUP('Bulk Order Details'!T46,Chest[Display],Chest[Use])="Flat",_xlfn.XLOOKUP('Bulk Order Details'!T46,Chest[Display],Chest[Flat]),ROUND(_xlfn.XLOOKUP('Bulk Order Details'!T46,Chest[Display],Chest[Pct])*$E36,2))),"")</f>
        <v/>
      </c>
      <c r="O36" s="22" t="str">
        <f>IFERROR(IF('Bulk Order Details'!U46="","",IF(_xlfn.XLOOKUP('Bulk Order Details'!U46,LeftSleeve[Display],LeftSleeve[Use])="Flat",_xlfn.XLOOKUP('Bulk Order Details'!U46,LeftSleeve[Display],LeftSleeve[Flat]),ROUND(_xlfn.XLOOKUP('Bulk Order Details'!U46,LeftSleeve[Display],LeftSleeve[Pct])*$E36,2))),"")</f>
        <v/>
      </c>
      <c r="P36" s="22" t="str">
        <f>IFERROR(IF('Bulk Order Details'!V46="","",IF(_xlfn.XLOOKUP('Bulk Order Details'!V46,RightSleeve[Display],RightSleeve[Use])="Flat",_xlfn.XLOOKUP('Bulk Order Details'!V46,RightSleeve[Display],RightSleeve[Flat]),ROUND(_xlfn.XLOOKUP('Bulk Order Details'!V46,RightSleeve[Display],RightSleeve[Pct])*$E36,2))),"")</f>
        <v/>
      </c>
      <c r="Q36" s="27" t="str">
        <f>IF('Bulk Order Details'!M46="","",SUM(F36:P36))</f>
        <v/>
      </c>
      <c r="R36" s="24" t="str">
        <f t="shared" si="1"/>
        <v/>
      </c>
      <c r="S36" s="23" t="str">
        <f>IFERROR(MIN(IF(Summary!$D$11="Yes",-J36,0),IF(H36&gt;0,-J36,0)),"")</f>
        <v/>
      </c>
      <c r="T36" s="16" t="str">
        <f>IFERROR(IF(Summary!$D$10="Yes",-K36,""),"")</f>
        <v/>
      </c>
      <c r="U36" s="18" t="str">
        <f>IFERROR(IF(Summary!$D$12="Yes",-L36,""),"")</f>
        <v/>
      </c>
      <c r="V36" s="25" t="str">
        <f>IF('Bulk Order Details'!M46="","",SUM(R36:U36))</f>
        <v/>
      </c>
      <c r="W36" s="36" t="str">
        <f>IF('Bulk Order Details'!M46="","",D36+Q36)</f>
        <v/>
      </c>
      <c r="X36" s="37" t="str">
        <f>IF('Bulk Order Details'!M46="","",D36+Q36+V36)</f>
        <v/>
      </c>
      <c r="Y36" s="168" t="str">
        <f t="shared" si="0"/>
        <v/>
      </c>
      <c r="Z36" s="173" t="str">
        <f>IF('Bulk Order Details'!M46="","",MAX(1,'Bulk Order Details'!G46))</f>
        <v/>
      </c>
      <c r="AA36" s="196" t="str">
        <f>IF(Pricing_Details[[#This Row],[Quantity]]="","",Pricing_Details[[#This Row],[Retail Price]]*Pricing_Details[[#This Row],[Quantity]])</f>
        <v/>
      </c>
      <c r="AB36" s="196" t="str">
        <f>IF(Pricing_Details[[#This Row],[Quantity]]="","",Pricing_Details[[#This Row],[Total Discount]]*Pricing_Details[[#This Row],[Quantity]])</f>
        <v/>
      </c>
      <c r="AC36" s="176" t="str">
        <f>IFERROR(ROUND(Pricing_Details[[#This Row],[Actual Price]]*Pricing_Details[[#This Row],[Quantity]],2),"")</f>
        <v/>
      </c>
      <c r="AE36" s="156" t="str">
        <f>IF('Bulk Order Details'!M46="","",VLOOKUP('Bulk Order Details'!K46,Collection[],3)&amp;VLOOKUP('Bulk Order Details'!M46,Collar[],4)&amp;VLOOKUP('Bulk Order Details'!L46,Sleeve[],4))</f>
        <v/>
      </c>
      <c r="AF36" s="156" t="str">
        <f>IF('Bulk Order Details'!M46="","",LOOKUP('Bulk Order Details'!H46,Cut[Display],Cut[Code])&amp;LOOKUP('Bulk Order Details'!I46,#REF!,#REF!)&amp;IF('Bulk Order Details'!J46="","",LOOKUP('Bulk Order Details'!J46,Length[Display],Length[Code])))</f>
        <v/>
      </c>
      <c r="AG36" s="156" t="str">
        <f>IF('Bulk Order Details'!M46="","",IF('Bulk Order Details'!F46="","",'Bulk Order Details'!F46))</f>
        <v/>
      </c>
      <c r="AH36" s="156" t="str">
        <f>IF('Bulk Order Details'!R46="","","-"&amp;LOOKUP('Bulk Order Details'!R46,#REF!,#REF!))</f>
        <v/>
      </c>
      <c r="AI36" s="156" t="str">
        <f>IF('Bulk Order Details'!S46="","","-"&amp;LOOKUP('Bulk Order Details'!S46,#REF!,#REF!))</f>
        <v/>
      </c>
      <c r="AJ36" s="156" t="str">
        <f>IF('Bulk Order Details'!T46="","","-"&amp;LOOKUP('Bulk Order Details'!T46,#REF!,#REF!))</f>
        <v/>
      </c>
      <c r="AK36" s="156" t="str">
        <f>IF('Bulk Order Details'!U46="","","-"&amp;LOOKUP('Bulk Order Details'!U46,#REF!,#REF!))</f>
        <v/>
      </c>
      <c r="AL36" s="156" t="str">
        <f>IF('Bulk Order Details'!V46="","","-"&amp;LOOKUP('Bulk Order Details'!V46,#REF!,#REF!))</f>
        <v/>
      </c>
      <c r="AM36" s="156" t="str">
        <f t="shared" si="2"/>
        <v/>
      </c>
      <c r="AN36" s="156" t="str">
        <f>IF('Bulk Order Details'!N46="","","Na-"&amp;'Bulk Order Details'!N46)</f>
        <v/>
      </c>
      <c r="AO36" s="156" t="str">
        <f>IF('Bulk Order Details'!Q46="","","Fo-"&amp;'Bulk Order Details'!Q46)</f>
        <v/>
      </c>
      <c r="AP36" s="156" t="str">
        <f t="shared" si="3"/>
        <v/>
      </c>
      <c r="AQ36" s="37" t="str">
        <f t="shared" si="4"/>
        <v/>
      </c>
    </row>
    <row r="37" spans="2:43" ht="13.5" customHeight="1" x14ac:dyDescent="0.2">
      <c r="B37" s="34">
        <f>'Bulk Order Details'!B47</f>
        <v>34</v>
      </c>
      <c r="C37" s="34" t="str">
        <f>IF('Bulk Order Details'!C47="","",'Bulk Order Details'!C47&amp;" "&amp;'Bulk Order Details'!D47)</f>
        <v/>
      </c>
      <c r="D37" s="31" t="str">
        <f>IF('Bulk Order Details'!M47="","",VLOOKUP(1,Price[],3))</f>
        <v/>
      </c>
      <c r="E37" s="29" t="str">
        <f>IF('Bulk Order Details'!M47="","",Summary!$D$9)</f>
        <v/>
      </c>
      <c r="F37" s="16" t="str">
        <f>IF('Bulk Order Details'!I47="","",_xlfn.XLOOKUP('Bulk Order Details'!I47,Size[Display],Size[Price]))</f>
        <v/>
      </c>
      <c r="G37" s="16" t="str">
        <f>IF('Bulk Order Details'!J47="","",_xlfn.XLOOKUP('Bulk Order Details'!J47,Length[Display],Length[Price]))</f>
        <v/>
      </c>
      <c r="H37" s="16" t="str">
        <f>IF('Bulk Order Details'!K47="","",_xlfn.XLOOKUP('Bulk Order Details'!K47,Collection[Display],Collection[Price]))</f>
        <v/>
      </c>
      <c r="I37" s="16" t="str">
        <f>IF('Bulk Order Details'!L47="","",_xlfn.XLOOKUP('Bulk Order Details'!L47,Sleeve[Display],Sleeve[Price]))</f>
        <v/>
      </c>
      <c r="J37" s="16" t="str">
        <f>IF('Bulk Order Details'!M47="","",_xlfn.XLOOKUP('Bulk Order Details'!M47,Collar[Display],Collar[Price]))</f>
        <v/>
      </c>
      <c r="K37" s="16" t="str">
        <f>IF('Bulk Order Details'!N47="","",_xlfn.XLOOKUP("Name",Name[Name],Name[Price]))</f>
        <v/>
      </c>
      <c r="L37" s="18" t="str">
        <f>IFERROR(IF('Bulk Order Details'!R47="","",IF(_xlfn.XLOOKUP('Bulk Order Details'!R47,Logos[Display],Logos[Use])="Flat",_xlfn.XLOOKUP('Bulk Order Details'!R47,Logos[Display],Logos[Flat]),ROUND(_xlfn.XLOOKUP('Bulk Order Details'!R47,Logos[Display],Logos[Pct])*$E37,2))),"")</f>
        <v/>
      </c>
      <c r="M37" s="22" t="str">
        <f>IFERROR(IF('Bulk Order Details'!S47="","",IF(_xlfn.XLOOKUP('Bulk Order Details'!S47,Chest[Display],Chest[Use])="Flat",_xlfn.XLOOKUP('Bulk Order Details'!S47,Chest[Display],Chest[Flat]),ROUND(_xlfn.XLOOKUP('Bulk Order Details'!S47,Chest[Display],Chest[Pct])*$E37,2))),"")</f>
        <v/>
      </c>
      <c r="N37" s="22" t="str">
        <f>IFERROR(IF('Bulk Order Details'!T47="","",IF(_xlfn.XLOOKUP('Bulk Order Details'!T47,Chest[Display],Chest[Use])="Flat",_xlfn.XLOOKUP('Bulk Order Details'!T47,Chest[Display],Chest[Flat]),ROUND(_xlfn.XLOOKUP('Bulk Order Details'!T47,Chest[Display],Chest[Pct])*$E37,2))),"")</f>
        <v/>
      </c>
      <c r="O37" s="22" t="str">
        <f>IFERROR(IF('Bulk Order Details'!U47="","",IF(_xlfn.XLOOKUP('Bulk Order Details'!U47,LeftSleeve[Display],LeftSleeve[Use])="Flat",_xlfn.XLOOKUP('Bulk Order Details'!U47,LeftSleeve[Display],LeftSleeve[Flat]),ROUND(_xlfn.XLOOKUP('Bulk Order Details'!U47,LeftSleeve[Display],LeftSleeve[Pct])*$E37,2))),"")</f>
        <v/>
      </c>
      <c r="P37" s="22" t="str">
        <f>IFERROR(IF('Bulk Order Details'!V47="","",IF(_xlfn.XLOOKUP('Bulk Order Details'!V47,RightSleeve[Display],RightSleeve[Use])="Flat",_xlfn.XLOOKUP('Bulk Order Details'!V47,RightSleeve[Display],RightSleeve[Flat]),ROUND(_xlfn.XLOOKUP('Bulk Order Details'!V47,RightSleeve[Display],RightSleeve[Pct])*$E37,2))),"")</f>
        <v/>
      </c>
      <c r="Q37" s="27" t="str">
        <f>IF('Bulk Order Details'!M47="","",SUM(F37:P37))</f>
        <v/>
      </c>
      <c r="R37" s="24" t="str">
        <f t="shared" si="1"/>
        <v/>
      </c>
      <c r="S37" s="23" t="str">
        <f>IFERROR(MIN(IF(Summary!$D$11="Yes",-J37,0),IF(H37&gt;0,-J37,0)),"")</f>
        <v/>
      </c>
      <c r="T37" s="16" t="str">
        <f>IFERROR(IF(Summary!$D$10="Yes",-K37,""),"")</f>
        <v/>
      </c>
      <c r="U37" s="18" t="str">
        <f>IFERROR(IF(Summary!$D$12="Yes",-L37,""),"")</f>
        <v/>
      </c>
      <c r="V37" s="25" t="str">
        <f>IF('Bulk Order Details'!M47="","",SUM(R37:U37))</f>
        <v/>
      </c>
      <c r="W37" s="36" t="str">
        <f>IF('Bulk Order Details'!M47="","",D37+Q37)</f>
        <v/>
      </c>
      <c r="X37" s="37" t="str">
        <f>IF('Bulk Order Details'!M47="","",D37+Q37+V37)</f>
        <v/>
      </c>
      <c r="Y37" s="168" t="str">
        <f t="shared" si="0"/>
        <v/>
      </c>
      <c r="Z37" s="173" t="str">
        <f>IF('Bulk Order Details'!M47="","",MAX(1,'Bulk Order Details'!G47))</f>
        <v/>
      </c>
      <c r="AA37" s="196" t="str">
        <f>IF(Pricing_Details[[#This Row],[Quantity]]="","",Pricing_Details[[#This Row],[Retail Price]]*Pricing_Details[[#This Row],[Quantity]])</f>
        <v/>
      </c>
      <c r="AB37" s="196" t="str">
        <f>IF(Pricing_Details[[#This Row],[Quantity]]="","",Pricing_Details[[#This Row],[Total Discount]]*Pricing_Details[[#This Row],[Quantity]])</f>
        <v/>
      </c>
      <c r="AC37" s="176" t="str">
        <f>IFERROR(ROUND(Pricing_Details[[#This Row],[Actual Price]]*Pricing_Details[[#This Row],[Quantity]],2),"")</f>
        <v/>
      </c>
      <c r="AE37" s="156" t="str">
        <f>IF('Bulk Order Details'!M47="","",VLOOKUP('Bulk Order Details'!K47,Collection[],3)&amp;VLOOKUP('Bulk Order Details'!M47,Collar[],4)&amp;VLOOKUP('Bulk Order Details'!L47,Sleeve[],4))</f>
        <v/>
      </c>
      <c r="AF37" s="156" t="str">
        <f>IF('Bulk Order Details'!M47="","",LOOKUP('Bulk Order Details'!H47,Cut[Display],Cut[Code])&amp;LOOKUP('Bulk Order Details'!I47,#REF!,#REF!)&amp;IF('Bulk Order Details'!J47="","",LOOKUP('Bulk Order Details'!J47,Length[Display],Length[Code])))</f>
        <v/>
      </c>
      <c r="AG37" s="156" t="str">
        <f>IF('Bulk Order Details'!M47="","",IF('Bulk Order Details'!F47="","",'Bulk Order Details'!F47))</f>
        <v/>
      </c>
      <c r="AH37" s="156" t="str">
        <f>IF('Bulk Order Details'!R47="","","-"&amp;LOOKUP('Bulk Order Details'!R47,#REF!,#REF!))</f>
        <v/>
      </c>
      <c r="AI37" s="156" t="str">
        <f>IF('Bulk Order Details'!S47="","","-"&amp;LOOKUP('Bulk Order Details'!S47,#REF!,#REF!))</f>
        <v/>
      </c>
      <c r="AJ37" s="156" t="str">
        <f>IF('Bulk Order Details'!T47="","","-"&amp;LOOKUP('Bulk Order Details'!T47,#REF!,#REF!))</f>
        <v/>
      </c>
      <c r="AK37" s="156" t="str">
        <f>IF('Bulk Order Details'!U47="","","-"&amp;LOOKUP('Bulk Order Details'!U47,#REF!,#REF!))</f>
        <v/>
      </c>
      <c r="AL37" s="156" t="str">
        <f>IF('Bulk Order Details'!V47="","","-"&amp;LOOKUP('Bulk Order Details'!V47,#REF!,#REF!))</f>
        <v/>
      </c>
      <c r="AM37" s="156" t="str">
        <f t="shared" si="2"/>
        <v/>
      </c>
      <c r="AN37" s="156" t="str">
        <f>IF('Bulk Order Details'!N47="","","Na-"&amp;'Bulk Order Details'!N47)</f>
        <v/>
      </c>
      <c r="AO37" s="156" t="str">
        <f>IF('Bulk Order Details'!Q47="","","Fo-"&amp;'Bulk Order Details'!Q47)</f>
        <v/>
      </c>
      <c r="AP37" s="156" t="str">
        <f t="shared" si="3"/>
        <v/>
      </c>
      <c r="AQ37" s="37" t="str">
        <f t="shared" si="4"/>
        <v/>
      </c>
    </row>
    <row r="38" spans="2:43" ht="13.5" customHeight="1" x14ac:dyDescent="0.2">
      <c r="B38" s="34">
        <f>'Bulk Order Details'!B48</f>
        <v>35</v>
      </c>
      <c r="C38" s="34" t="str">
        <f>IF('Bulk Order Details'!C48="","",'Bulk Order Details'!C48&amp;" "&amp;'Bulk Order Details'!D48)</f>
        <v/>
      </c>
      <c r="D38" s="31" t="str">
        <f>IF('Bulk Order Details'!M48="","",VLOOKUP(1,Price[],3))</f>
        <v/>
      </c>
      <c r="E38" s="29" t="str">
        <f>IF('Bulk Order Details'!M48="","",Summary!$D$9)</f>
        <v/>
      </c>
      <c r="F38" s="16" t="str">
        <f>IF('Bulk Order Details'!I48="","",_xlfn.XLOOKUP('Bulk Order Details'!I48,Size[Display],Size[Price]))</f>
        <v/>
      </c>
      <c r="G38" s="16" t="str">
        <f>IF('Bulk Order Details'!J48="","",_xlfn.XLOOKUP('Bulk Order Details'!J48,Length[Display],Length[Price]))</f>
        <v/>
      </c>
      <c r="H38" s="16" t="str">
        <f>IF('Bulk Order Details'!K48="","",_xlfn.XLOOKUP('Bulk Order Details'!K48,Collection[Display],Collection[Price]))</f>
        <v/>
      </c>
      <c r="I38" s="16" t="str">
        <f>IF('Bulk Order Details'!L48="","",_xlfn.XLOOKUP('Bulk Order Details'!L48,Sleeve[Display],Sleeve[Price]))</f>
        <v/>
      </c>
      <c r="J38" s="16" t="str">
        <f>IF('Bulk Order Details'!M48="","",_xlfn.XLOOKUP('Bulk Order Details'!M48,Collar[Display],Collar[Price]))</f>
        <v/>
      </c>
      <c r="K38" s="16" t="str">
        <f>IF('Bulk Order Details'!N48="","",_xlfn.XLOOKUP("Name",Name[Name],Name[Price]))</f>
        <v/>
      </c>
      <c r="L38" s="18" t="str">
        <f>IFERROR(IF('Bulk Order Details'!R48="","",IF(_xlfn.XLOOKUP('Bulk Order Details'!R48,Logos[Display],Logos[Use])="Flat",_xlfn.XLOOKUP('Bulk Order Details'!R48,Logos[Display],Logos[Flat]),ROUND(_xlfn.XLOOKUP('Bulk Order Details'!R48,Logos[Display],Logos[Pct])*$E38,2))),"")</f>
        <v/>
      </c>
      <c r="M38" s="22" t="str">
        <f>IFERROR(IF('Bulk Order Details'!S48="","",IF(_xlfn.XLOOKUP('Bulk Order Details'!S48,Chest[Display],Chest[Use])="Flat",_xlfn.XLOOKUP('Bulk Order Details'!S48,Chest[Display],Chest[Flat]),ROUND(_xlfn.XLOOKUP('Bulk Order Details'!S48,Chest[Display],Chest[Pct])*$E38,2))),"")</f>
        <v/>
      </c>
      <c r="N38" s="22" t="str">
        <f>IFERROR(IF('Bulk Order Details'!T48="","",IF(_xlfn.XLOOKUP('Bulk Order Details'!T48,Chest[Display],Chest[Use])="Flat",_xlfn.XLOOKUP('Bulk Order Details'!T48,Chest[Display],Chest[Flat]),ROUND(_xlfn.XLOOKUP('Bulk Order Details'!T48,Chest[Display],Chest[Pct])*$E38,2))),"")</f>
        <v/>
      </c>
      <c r="O38" s="22" t="str">
        <f>IFERROR(IF('Bulk Order Details'!U48="","",IF(_xlfn.XLOOKUP('Bulk Order Details'!U48,LeftSleeve[Display],LeftSleeve[Use])="Flat",_xlfn.XLOOKUP('Bulk Order Details'!U48,LeftSleeve[Display],LeftSleeve[Flat]),ROUND(_xlfn.XLOOKUP('Bulk Order Details'!U48,LeftSleeve[Display],LeftSleeve[Pct])*$E38,2))),"")</f>
        <v/>
      </c>
      <c r="P38" s="22" t="str">
        <f>IFERROR(IF('Bulk Order Details'!V48="","",IF(_xlfn.XLOOKUP('Bulk Order Details'!V48,RightSleeve[Display],RightSleeve[Use])="Flat",_xlfn.XLOOKUP('Bulk Order Details'!V48,RightSleeve[Display],RightSleeve[Flat]),ROUND(_xlfn.XLOOKUP('Bulk Order Details'!V48,RightSleeve[Display],RightSleeve[Pct])*$E38,2))),"")</f>
        <v/>
      </c>
      <c r="Q38" s="27" t="str">
        <f>IF('Bulk Order Details'!M48="","",SUM(F38:P38))</f>
        <v/>
      </c>
      <c r="R38" s="24" t="str">
        <f t="shared" si="1"/>
        <v/>
      </c>
      <c r="S38" s="23" t="str">
        <f>IFERROR(MIN(IF(Summary!$D$11="Yes",-J38,0),IF(H38&gt;0,-J38,0)),"")</f>
        <v/>
      </c>
      <c r="T38" s="16" t="str">
        <f>IFERROR(IF(Summary!$D$10="Yes",-K38,""),"")</f>
        <v/>
      </c>
      <c r="U38" s="18" t="str">
        <f>IFERROR(IF(Summary!$D$12="Yes",-L38,""),"")</f>
        <v/>
      </c>
      <c r="V38" s="25" t="str">
        <f>IF('Bulk Order Details'!M48="","",SUM(R38:U38))</f>
        <v/>
      </c>
      <c r="W38" s="36" t="str">
        <f>IF('Bulk Order Details'!M48="","",D38+Q38)</f>
        <v/>
      </c>
      <c r="X38" s="37" t="str">
        <f>IF('Bulk Order Details'!M48="","",D38+Q38+V38)</f>
        <v/>
      </c>
      <c r="Y38" s="168" t="str">
        <f t="shared" si="0"/>
        <v/>
      </c>
      <c r="Z38" s="173" t="str">
        <f>IF('Bulk Order Details'!M48="","",MAX(1,'Bulk Order Details'!G48))</f>
        <v/>
      </c>
      <c r="AA38" s="196" t="str">
        <f>IF(Pricing_Details[[#This Row],[Quantity]]="","",Pricing_Details[[#This Row],[Retail Price]]*Pricing_Details[[#This Row],[Quantity]])</f>
        <v/>
      </c>
      <c r="AB38" s="196" t="str">
        <f>IF(Pricing_Details[[#This Row],[Quantity]]="","",Pricing_Details[[#This Row],[Total Discount]]*Pricing_Details[[#This Row],[Quantity]])</f>
        <v/>
      </c>
      <c r="AC38" s="176" t="str">
        <f>IFERROR(ROUND(Pricing_Details[[#This Row],[Actual Price]]*Pricing_Details[[#This Row],[Quantity]],2),"")</f>
        <v/>
      </c>
      <c r="AE38" s="156" t="str">
        <f>IF('Bulk Order Details'!M48="","",VLOOKUP('Bulk Order Details'!K48,Collection[],3)&amp;VLOOKUP('Bulk Order Details'!M48,Collar[],4)&amp;VLOOKUP('Bulk Order Details'!L48,Sleeve[],4))</f>
        <v/>
      </c>
      <c r="AF38" s="156" t="str">
        <f>IF('Bulk Order Details'!M48="","",LOOKUP('Bulk Order Details'!H48,Cut[Display],Cut[Code])&amp;LOOKUP('Bulk Order Details'!I48,#REF!,#REF!)&amp;IF('Bulk Order Details'!J48="","",LOOKUP('Bulk Order Details'!J48,Length[Display],Length[Code])))</f>
        <v/>
      </c>
      <c r="AG38" s="156" t="str">
        <f>IF('Bulk Order Details'!M48="","",IF('Bulk Order Details'!F48="","",'Bulk Order Details'!F48))</f>
        <v/>
      </c>
      <c r="AH38" s="156" t="str">
        <f>IF('Bulk Order Details'!R48="","","-"&amp;LOOKUP('Bulk Order Details'!R48,#REF!,#REF!))</f>
        <v/>
      </c>
      <c r="AI38" s="156" t="str">
        <f>IF('Bulk Order Details'!S48="","","-"&amp;LOOKUP('Bulk Order Details'!S48,#REF!,#REF!))</f>
        <v/>
      </c>
      <c r="AJ38" s="156" t="str">
        <f>IF('Bulk Order Details'!T48="","","-"&amp;LOOKUP('Bulk Order Details'!T48,#REF!,#REF!))</f>
        <v/>
      </c>
      <c r="AK38" s="156" t="str">
        <f>IF('Bulk Order Details'!U48="","","-"&amp;LOOKUP('Bulk Order Details'!U48,#REF!,#REF!))</f>
        <v/>
      </c>
      <c r="AL38" s="156" t="str">
        <f>IF('Bulk Order Details'!V48="","","-"&amp;LOOKUP('Bulk Order Details'!V48,#REF!,#REF!))</f>
        <v/>
      </c>
      <c r="AM38" s="156" t="str">
        <f t="shared" si="2"/>
        <v/>
      </c>
      <c r="AN38" s="156" t="str">
        <f>IF('Bulk Order Details'!N48="","","Na-"&amp;'Bulk Order Details'!N48)</f>
        <v/>
      </c>
      <c r="AO38" s="156" t="str">
        <f>IF('Bulk Order Details'!Q48="","","Fo-"&amp;'Bulk Order Details'!Q48)</f>
        <v/>
      </c>
      <c r="AP38" s="156" t="str">
        <f t="shared" si="3"/>
        <v/>
      </c>
      <c r="AQ38" s="37" t="str">
        <f t="shared" si="4"/>
        <v/>
      </c>
    </row>
    <row r="39" spans="2:43" ht="13.5" customHeight="1" x14ac:dyDescent="0.2">
      <c r="B39" s="34">
        <f>'Bulk Order Details'!B49</f>
        <v>36</v>
      </c>
      <c r="C39" s="34" t="str">
        <f>IF('Bulk Order Details'!C49="","",'Bulk Order Details'!C49&amp;" "&amp;'Bulk Order Details'!D49)</f>
        <v/>
      </c>
      <c r="D39" s="31" t="str">
        <f>IF('Bulk Order Details'!M49="","",VLOOKUP(1,Price[],3))</f>
        <v/>
      </c>
      <c r="E39" s="29" t="str">
        <f>IF('Bulk Order Details'!M49="","",Summary!$D$9)</f>
        <v/>
      </c>
      <c r="F39" s="16" t="str">
        <f>IF('Bulk Order Details'!I49="","",_xlfn.XLOOKUP('Bulk Order Details'!I49,Size[Display],Size[Price]))</f>
        <v/>
      </c>
      <c r="G39" s="16" t="str">
        <f>IF('Bulk Order Details'!J49="","",_xlfn.XLOOKUP('Bulk Order Details'!J49,Length[Display],Length[Price]))</f>
        <v/>
      </c>
      <c r="H39" s="16" t="str">
        <f>IF('Bulk Order Details'!K49="","",_xlfn.XLOOKUP('Bulk Order Details'!K49,Collection[Display],Collection[Price]))</f>
        <v/>
      </c>
      <c r="I39" s="16" t="str">
        <f>IF('Bulk Order Details'!L49="","",_xlfn.XLOOKUP('Bulk Order Details'!L49,Sleeve[Display],Sleeve[Price]))</f>
        <v/>
      </c>
      <c r="J39" s="16" t="str">
        <f>IF('Bulk Order Details'!M49="","",_xlfn.XLOOKUP('Bulk Order Details'!M49,Collar[Display],Collar[Price]))</f>
        <v/>
      </c>
      <c r="K39" s="16" t="str">
        <f>IF('Bulk Order Details'!N49="","",_xlfn.XLOOKUP("Name",Name[Name],Name[Price]))</f>
        <v/>
      </c>
      <c r="L39" s="18" t="str">
        <f>IFERROR(IF('Bulk Order Details'!R49="","",IF(_xlfn.XLOOKUP('Bulk Order Details'!R49,Logos[Display],Logos[Use])="Flat",_xlfn.XLOOKUP('Bulk Order Details'!R49,Logos[Display],Logos[Flat]),ROUND(_xlfn.XLOOKUP('Bulk Order Details'!R49,Logos[Display],Logos[Pct])*$E39,2))),"")</f>
        <v/>
      </c>
      <c r="M39" s="22" t="str">
        <f>IFERROR(IF('Bulk Order Details'!S49="","",IF(_xlfn.XLOOKUP('Bulk Order Details'!S49,Chest[Display],Chest[Use])="Flat",_xlfn.XLOOKUP('Bulk Order Details'!S49,Chest[Display],Chest[Flat]),ROUND(_xlfn.XLOOKUP('Bulk Order Details'!S49,Chest[Display],Chest[Pct])*$E39,2))),"")</f>
        <v/>
      </c>
      <c r="N39" s="22" t="str">
        <f>IFERROR(IF('Bulk Order Details'!T49="","",IF(_xlfn.XLOOKUP('Bulk Order Details'!T49,Chest[Display],Chest[Use])="Flat",_xlfn.XLOOKUP('Bulk Order Details'!T49,Chest[Display],Chest[Flat]),ROUND(_xlfn.XLOOKUP('Bulk Order Details'!T49,Chest[Display],Chest[Pct])*$E39,2))),"")</f>
        <v/>
      </c>
      <c r="O39" s="22" t="str">
        <f>IFERROR(IF('Bulk Order Details'!U49="","",IF(_xlfn.XLOOKUP('Bulk Order Details'!U49,LeftSleeve[Display],LeftSleeve[Use])="Flat",_xlfn.XLOOKUP('Bulk Order Details'!U49,LeftSleeve[Display],LeftSleeve[Flat]),ROUND(_xlfn.XLOOKUP('Bulk Order Details'!U49,LeftSleeve[Display],LeftSleeve[Pct])*$E39,2))),"")</f>
        <v/>
      </c>
      <c r="P39" s="22" t="str">
        <f>IFERROR(IF('Bulk Order Details'!V49="","",IF(_xlfn.XLOOKUP('Bulk Order Details'!V49,RightSleeve[Display],RightSleeve[Use])="Flat",_xlfn.XLOOKUP('Bulk Order Details'!V49,RightSleeve[Display],RightSleeve[Flat]),ROUND(_xlfn.XLOOKUP('Bulk Order Details'!V49,RightSleeve[Display],RightSleeve[Pct])*$E39,2))),"")</f>
        <v/>
      </c>
      <c r="Q39" s="27" t="str">
        <f>IF('Bulk Order Details'!M49="","",SUM(F39:P39))</f>
        <v/>
      </c>
      <c r="R39" s="24" t="str">
        <f t="shared" si="1"/>
        <v/>
      </c>
      <c r="S39" s="23" t="str">
        <f>IFERROR(MIN(IF(Summary!$D$11="Yes",-J39,0),IF(H39&gt;0,-J39,0)),"")</f>
        <v/>
      </c>
      <c r="T39" s="16" t="str">
        <f>IFERROR(IF(Summary!$D$10="Yes",-K39,""),"")</f>
        <v/>
      </c>
      <c r="U39" s="18" t="str">
        <f>IFERROR(IF(Summary!$D$12="Yes",-L39,""),"")</f>
        <v/>
      </c>
      <c r="V39" s="25" t="str">
        <f>IF('Bulk Order Details'!M49="","",SUM(R39:U39))</f>
        <v/>
      </c>
      <c r="W39" s="36" t="str">
        <f>IF('Bulk Order Details'!M49="","",D39+Q39)</f>
        <v/>
      </c>
      <c r="X39" s="37" t="str">
        <f>IF('Bulk Order Details'!M49="","",D39+Q39+V39)</f>
        <v/>
      </c>
      <c r="Y39" s="168" t="str">
        <f t="shared" si="0"/>
        <v/>
      </c>
      <c r="Z39" s="173" t="str">
        <f>IF('Bulk Order Details'!M49="","",MAX(1,'Bulk Order Details'!G49))</f>
        <v/>
      </c>
      <c r="AA39" s="196" t="str">
        <f>IF(Pricing_Details[[#This Row],[Quantity]]="","",Pricing_Details[[#This Row],[Retail Price]]*Pricing_Details[[#This Row],[Quantity]])</f>
        <v/>
      </c>
      <c r="AB39" s="196" t="str">
        <f>IF(Pricing_Details[[#This Row],[Quantity]]="","",Pricing_Details[[#This Row],[Total Discount]]*Pricing_Details[[#This Row],[Quantity]])</f>
        <v/>
      </c>
      <c r="AC39" s="176" t="str">
        <f>IFERROR(ROUND(Pricing_Details[[#This Row],[Actual Price]]*Pricing_Details[[#This Row],[Quantity]],2),"")</f>
        <v/>
      </c>
      <c r="AE39" s="156" t="str">
        <f>IF('Bulk Order Details'!M49="","",VLOOKUP('Bulk Order Details'!K49,Collection[],3)&amp;VLOOKUP('Bulk Order Details'!M49,Collar[],4)&amp;VLOOKUP('Bulk Order Details'!L49,Sleeve[],4))</f>
        <v/>
      </c>
      <c r="AF39" s="156" t="str">
        <f>IF('Bulk Order Details'!M49="","",LOOKUP('Bulk Order Details'!H49,Cut[Display],Cut[Code])&amp;LOOKUP('Bulk Order Details'!I49,#REF!,#REF!)&amp;IF('Bulk Order Details'!J49="","",LOOKUP('Bulk Order Details'!J49,Length[Display],Length[Code])))</f>
        <v/>
      </c>
      <c r="AG39" s="156" t="str">
        <f>IF('Bulk Order Details'!M49="","",IF('Bulk Order Details'!F49="","",'Bulk Order Details'!F49))</f>
        <v/>
      </c>
      <c r="AH39" s="156" t="str">
        <f>IF('Bulk Order Details'!R49="","","-"&amp;LOOKUP('Bulk Order Details'!R49,#REF!,#REF!))</f>
        <v/>
      </c>
      <c r="AI39" s="156" t="str">
        <f>IF('Bulk Order Details'!S49="","","-"&amp;LOOKUP('Bulk Order Details'!S49,#REF!,#REF!))</f>
        <v/>
      </c>
      <c r="AJ39" s="156" t="str">
        <f>IF('Bulk Order Details'!T49="","","-"&amp;LOOKUP('Bulk Order Details'!T49,#REF!,#REF!))</f>
        <v/>
      </c>
      <c r="AK39" s="156" t="str">
        <f>IF('Bulk Order Details'!U49="","","-"&amp;LOOKUP('Bulk Order Details'!U49,#REF!,#REF!))</f>
        <v/>
      </c>
      <c r="AL39" s="156" t="str">
        <f>IF('Bulk Order Details'!V49="","","-"&amp;LOOKUP('Bulk Order Details'!V49,#REF!,#REF!))</f>
        <v/>
      </c>
      <c r="AM39" s="156" t="str">
        <f t="shared" si="2"/>
        <v/>
      </c>
      <c r="AN39" s="156" t="str">
        <f>IF('Bulk Order Details'!N49="","","Na-"&amp;'Bulk Order Details'!N49)</f>
        <v/>
      </c>
      <c r="AO39" s="156" t="str">
        <f>IF('Bulk Order Details'!Q49="","","Fo-"&amp;'Bulk Order Details'!Q49)</f>
        <v/>
      </c>
      <c r="AP39" s="156" t="str">
        <f t="shared" si="3"/>
        <v/>
      </c>
      <c r="AQ39" s="37" t="str">
        <f t="shared" si="4"/>
        <v/>
      </c>
    </row>
    <row r="40" spans="2:43" ht="13.5" customHeight="1" x14ac:dyDescent="0.2">
      <c r="B40" s="34">
        <f>'Bulk Order Details'!B50</f>
        <v>37</v>
      </c>
      <c r="C40" s="34" t="str">
        <f>IF('Bulk Order Details'!C50="","",'Bulk Order Details'!C50&amp;" "&amp;'Bulk Order Details'!D50)</f>
        <v/>
      </c>
      <c r="D40" s="31" t="str">
        <f>IF('Bulk Order Details'!M50="","",VLOOKUP(1,Price[],3))</f>
        <v/>
      </c>
      <c r="E40" s="29" t="str">
        <f>IF('Bulk Order Details'!M50="","",Summary!$D$9)</f>
        <v/>
      </c>
      <c r="F40" s="16" t="str">
        <f>IF('Bulk Order Details'!I50="","",_xlfn.XLOOKUP('Bulk Order Details'!I50,Size[Display],Size[Price]))</f>
        <v/>
      </c>
      <c r="G40" s="16" t="str">
        <f>IF('Bulk Order Details'!J50="","",_xlfn.XLOOKUP('Bulk Order Details'!J50,Length[Display],Length[Price]))</f>
        <v/>
      </c>
      <c r="H40" s="16" t="str">
        <f>IF('Bulk Order Details'!K50="","",_xlfn.XLOOKUP('Bulk Order Details'!K50,Collection[Display],Collection[Price]))</f>
        <v/>
      </c>
      <c r="I40" s="16" t="str">
        <f>IF('Bulk Order Details'!L50="","",_xlfn.XLOOKUP('Bulk Order Details'!L50,Sleeve[Display],Sleeve[Price]))</f>
        <v/>
      </c>
      <c r="J40" s="16" t="str">
        <f>IF('Bulk Order Details'!M50="","",_xlfn.XLOOKUP('Bulk Order Details'!M50,Collar[Display],Collar[Price]))</f>
        <v/>
      </c>
      <c r="K40" s="16" t="str">
        <f>IF('Bulk Order Details'!N50="","",_xlfn.XLOOKUP("Name",Name[Name],Name[Price]))</f>
        <v/>
      </c>
      <c r="L40" s="18" t="str">
        <f>IFERROR(IF('Bulk Order Details'!R50="","",IF(_xlfn.XLOOKUP('Bulk Order Details'!R50,Logos[Display],Logos[Use])="Flat",_xlfn.XLOOKUP('Bulk Order Details'!R50,Logos[Display],Logos[Flat]),ROUND(_xlfn.XLOOKUP('Bulk Order Details'!R50,Logos[Display],Logos[Pct])*$E40,2))),"")</f>
        <v/>
      </c>
      <c r="M40" s="22" t="str">
        <f>IFERROR(IF('Bulk Order Details'!S50="","",IF(_xlfn.XLOOKUP('Bulk Order Details'!S50,Chest[Display],Chest[Use])="Flat",_xlfn.XLOOKUP('Bulk Order Details'!S50,Chest[Display],Chest[Flat]),ROUND(_xlfn.XLOOKUP('Bulk Order Details'!S50,Chest[Display],Chest[Pct])*$E40,2))),"")</f>
        <v/>
      </c>
      <c r="N40" s="22" t="str">
        <f>IFERROR(IF('Bulk Order Details'!T50="","",IF(_xlfn.XLOOKUP('Bulk Order Details'!T50,Chest[Display],Chest[Use])="Flat",_xlfn.XLOOKUP('Bulk Order Details'!T50,Chest[Display],Chest[Flat]),ROUND(_xlfn.XLOOKUP('Bulk Order Details'!T50,Chest[Display],Chest[Pct])*$E40,2))),"")</f>
        <v/>
      </c>
      <c r="O40" s="22" t="str">
        <f>IFERROR(IF('Bulk Order Details'!U50="","",IF(_xlfn.XLOOKUP('Bulk Order Details'!U50,LeftSleeve[Display],LeftSleeve[Use])="Flat",_xlfn.XLOOKUP('Bulk Order Details'!U50,LeftSleeve[Display],LeftSleeve[Flat]),ROUND(_xlfn.XLOOKUP('Bulk Order Details'!U50,LeftSleeve[Display],LeftSleeve[Pct])*$E40,2))),"")</f>
        <v/>
      </c>
      <c r="P40" s="22" t="str">
        <f>IFERROR(IF('Bulk Order Details'!V50="","",IF(_xlfn.XLOOKUP('Bulk Order Details'!V50,RightSleeve[Display],RightSleeve[Use])="Flat",_xlfn.XLOOKUP('Bulk Order Details'!V50,RightSleeve[Display],RightSleeve[Flat]),ROUND(_xlfn.XLOOKUP('Bulk Order Details'!V50,RightSleeve[Display],RightSleeve[Pct])*$E40,2))),"")</f>
        <v/>
      </c>
      <c r="Q40" s="27" t="str">
        <f>IF('Bulk Order Details'!M50="","",SUM(F40:P40))</f>
        <v/>
      </c>
      <c r="R40" s="24" t="str">
        <f t="shared" si="1"/>
        <v/>
      </c>
      <c r="S40" s="23" t="str">
        <f>IFERROR(MIN(IF(Summary!$D$11="Yes",-J40,0),IF(H40&gt;0,-J40,0)),"")</f>
        <v/>
      </c>
      <c r="T40" s="16" t="str">
        <f>IFERROR(IF(Summary!$D$10="Yes",-K40,""),"")</f>
        <v/>
      </c>
      <c r="U40" s="18" t="str">
        <f>IFERROR(IF(Summary!$D$12="Yes",-L40,""),"")</f>
        <v/>
      </c>
      <c r="V40" s="25" t="str">
        <f>IF('Bulk Order Details'!M50="","",SUM(R40:U40))</f>
        <v/>
      </c>
      <c r="W40" s="36" t="str">
        <f>IF('Bulk Order Details'!M50="","",D40+Q40)</f>
        <v/>
      </c>
      <c r="X40" s="37" t="str">
        <f>IF('Bulk Order Details'!M50="","",D40+Q40+V40)</f>
        <v/>
      </c>
      <c r="Y40" s="168" t="str">
        <f t="shared" si="0"/>
        <v/>
      </c>
      <c r="Z40" s="173" t="str">
        <f>IF('Bulk Order Details'!M50="","",MAX(1,'Bulk Order Details'!G50))</f>
        <v/>
      </c>
      <c r="AA40" s="196" t="str">
        <f>IF(Pricing_Details[[#This Row],[Quantity]]="","",Pricing_Details[[#This Row],[Retail Price]]*Pricing_Details[[#This Row],[Quantity]])</f>
        <v/>
      </c>
      <c r="AB40" s="196" t="str">
        <f>IF(Pricing_Details[[#This Row],[Quantity]]="","",Pricing_Details[[#This Row],[Total Discount]]*Pricing_Details[[#This Row],[Quantity]])</f>
        <v/>
      </c>
      <c r="AC40" s="176" t="str">
        <f>IFERROR(ROUND(Pricing_Details[[#This Row],[Actual Price]]*Pricing_Details[[#This Row],[Quantity]],2),"")</f>
        <v/>
      </c>
      <c r="AE40" s="156" t="str">
        <f>IF('Bulk Order Details'!M50="","",VLOOKUP('Bulk Order Details'!K50,Collection[],3)&amp;VLOOKUP('Bulk Order Details'!M50,Collar[],4)&amp;VLOOKUP('Bulk Order Details'!L50,Sleeve[],4))</f>
        <v/>
      </c>
      <c r="AF40" s="156" t="str">
        <f>IF('Bulk Order Details'!M50="","",LOOKUP('Bulk Order Details'!H50,Cut[Display],Cut[Code])&amp;LOOKUP('Bulk Order Details'!I50,#REF!,#REF!)&amp;IF('Bulk Order Details'!J50="","",LOOKUP('Bulk Order Details'!J50,Length[Display],Length[Code])))</f>
        <v/>
      </c>
      <c r="AG40" s="156" t="str">
        <f>IF('Bulk Order Details'!M50="","",IF('Bulk Order Details'!F50="","",'Bulk Order Details'!F50))</f>
        <v/>
      </c>
      <c r="AH40" s="156" t="str">
        <f>IF('Bulk Order Details'!R50="","","-"&amp;LOOKUP('Bulk Order Details'!R50,#REF!,#REF!))</f>
        <v/>
      </c>
      <c r="AI40" s="156" t="str">
        <f>IF('Bulk Order Details'!S50="","","-"&amp;LOOKUP('Bulk Order Details'!S50,#REF!,#REF!))</f>
        <v/>
      </c>
      <c r="AJ40" s="156" t="str">
        <f>IF('Bulk Order Details'!T50="","","-"&amp;LOOKUP('Bulk Order Details'!T50,#REF!,#REF!))</f>
        <v/>
      </c>
      <c r="AK40" s="156" t="str">
        <f>IF('Bulk Order Details'!U50="","","-"&amp;LOOKUP('Bulk Order Details'!U50,#REF!,#REF!))</f>
        <v/>
      </c>
      <c r="AL40" s="156" t="str">
        <f>IF('Bulk Order Details'!V50="","","-"&amp;LOOKUP('Bulk Order Details'!V50,#REF!,#REF!))</f>
        <v/>
      </c>
      <c r="AM40" s="156" t="str">
        <f t="shared" si="2"/>
        <v/>
      </c>
      <c r="AN40" s="156" t="str">
        <f>IF('Bulk Order Details'!N50="","","Na-"&amp;'Bulk Order Details'!N50)</f>
        <v/>
      </c>
      <c r="AO40" s="156" t="str">
        <f>IF('Bulk Order Details'!Q50="","","Fo-"&amp;'Bulk Order Details'!Q50)</f>
        <v/>
      </c>
      <c r="AP40" s="156" t="str">
        <f t="shared" si="3"/>
        <v/>
      </c>
      <c r="AQ40" s="37" t="str">
        <f t="shared" si="4"/>
        <v/>
      </c>
    </row>
    <row r="41" spans="2:43" ht="13.5" customHeight="1" x14ac:dyDescent="0.2">
      <c r="B41" s="34">
        <f>'Bulk Order Details'!B51</f>
        <v>38</v>
      </c>
      <c r="C41" s="34" t="str">
        <f>IF('Bulk Order Details'!C51="","",'Bulk Order Details'!C51&amp;" "&amp;'Bulk Order Details'!D51)</f>
        <v/>
      </c>
      <c r="D41" s="31" t="str">
        <f>IF('Bulk Order Details'!M51="","",VLOOKUP(1,Price[],3))</f>
        <v/>
      </c>
      <c r="E41" s="29" t="str">
        <f>IF('Bulk Order Details'!M51="","",Summary!$D$9)</f>
        <v/>
      </c>
      <c r="F41" s="16" t="str">
        <f>IF('Bulk Order Details'!I51="","",_xlfn.XLOOKUP('Bulk Order Details'!I51,Size[Display],Size[Price]))</f>
        <v/>
      </c>
      <c r="G41" s="16" t="str">
        <f>IF('Bulk Order Details'!J51="","",_xlfn.XLOOKUP('Bulk Order Details'!J51,Length[Display],Length[Price]))</f>
        <v/>
      </c>
      <c r="H41" s="16" t="str">
        <f>IF('Bulk Order Details'!K51="","",_xlfn.XLOOKUP('Bulk Order Details'!K51,Collection[Display],Collection[Price]))</f>
        <v/>
      </c>
      <c r="I41" s="16" t="str">
        <f>IF('Bulk Order Details'!L51="","",_xlfn.XLOOKUP('Bulk Order Details'!L51,Sleeve[Display],Sleeve[Price]))</f>
        <v/>
      </c>
      <c r="J41" s="16" t="str">
        <f>IF('Bulk Order Details'!M51="","",_xlfn.XLOOKUP('Bulk Order Details'!M51,Collar[Display],Collar[Price]))</f>
        <v/>
      </c>
      <c r="K41" s="16" t="str">
        <f>IF('Bulk Order Details'!N51="","",_xlfn.XLOOKUP("Name",Name[Name],Name[Price]))</f>
        <v/>
      </c>
      <c r="L41" s="18" t="str">
        <f>IFERROR(IF('Bulk Order Details'!R51="","",IF(_xlfn.XLOOKUP('Bulk Order Details'!R51,Logos[Display],Logos[Use])="Flat",_xlfn.XLOOKUP('Bulk Order Details'!R51,Logos[Display],Logos[Flat]),ROUND(_xlfn.XLOOKUP('Bulk Order Details'!R51,Logos[Display],Logos[Pct])*$E41,2))),"")</f>
        <v/>
      </c>
      <c r="M41" s="22" t="str">
        <f>IFERROR(IF('Bulk Order Details'!S51="","",IF(_xlfn.XLOOKUP('Bulk Order Details'!S51,Chest[Display],Chest[Use])="Flat",_xlfn.XLOOKUP('Bulk Order Details'!S51,Chest[Display],Chest[Flat]),ROUND(_xlfn.XLOOKUP('Bulk Order Details'!S51,Chest[Display],Chest[Pct])*$E41,2))),"")</f>
        <v/>
      </c>
      <c r="N41" s="22" t="str">
        <f>IFERROR(IF('Bulk Order Details'!T51="","",IF(_xlfn.XLOOKUP('Bulk Order Details'!T51,Chest[Display],Chest[Use])="Flat",_xlfn.XLOOKUP('Bulk Order Details'!T51,Chest[Display],Chest[Flat]),ROUND(_xlfn.XLOOKUP('Bulk Order Details'!T51,Chest[Display],Chest[Pct])*$E41,2))),"")</f>
        <v/>
      </c>
      <c r="O41" s="22" t="str">
        <f>IFERROR(IF('Bulk Order Details'!U51="","",IF(_xlfn.XLOOKUP('Bulk Order Details'!U51,LeftSleeve[Display],LeftSleeve[Use])="Flat",_xlfn.XLOOKUP('Bulk Order Details'!U51,LeftSleeve[Display],LeftSleeve[Flat]),ROUND(_xlfn.XLOOKUP('Bulk Order Details'!U51,LeftSleeve[Display],LeftSleeve[Pct])*$E41,2))),"")</f>
        <v/>
      </c>
      <c r="P41" s="22" t="str">
        <f>IFERROR(IF('Bulk Order Details'!V51="","",IF(_xlfn.XLOOKUP('Bulk Order Details'!V51,RightSleeve[Display],RightSleeve[Use])="Flat",_xlfn.XLOOKUP('Bulk Order Details'!V51,RightSleeve[Display],RightSleeve[Flat]),ROUND(_xlfn.XLOOKUP('Bulk Order Details'!V51,RightSleeve[Display],RightSleeve[Pct])*$E41,2))),"")</f>
        <v/>
      </c>
      <c r="Q41" s="27" t="str">
        <f>IF('Bulk Order Details'!M51="","",SUM(F41:P41))</f>
        <v/>
      </c>
      <c r="R41" s="24" t="str">
        <f t="shared" si="1"/>
        <v/>
      </c>
      <c r="S41" s="23" t="str">
        <f>IFERROR(MIN(IF(Summary!$D$11="Yes",-J41,0),IF(H41&gt;0,-J41,0)),"")</f>
        <v/>
      </c>
      <c r="T41" s="16" t="str">
        <f>IFERROR(IF(Summary!$D$10="Yes",-K41,""),"")</f>
        <v/>
      </c>
      <c r="U41" s="18" t="str">
        <f>IFERROR(IF(Summary!$D$12="Yes",-L41,""),"")</f>
        <v/>
      </c>
      <c r="V41" s="25" t="str">
        <f>IF('Bulk Order Details'!M51="","",SUM(R41:U41))</f>
        <v/>
      </c>
      <c r="W41" s="36" t="str">
        <f>IF('Bulk Order Details'!M51="","",D41+Q41)</f>
        <v/>
      </c>
      <c r="X41" s="37" t="str">
        <f>IF('Bulk Order Details'!M51="","",D41+Q41+V41)</f>
        <v/>
      </c>
      <c r="Y41" s="168" t="str">
        <f t="shared" si="0"/>
        <v/>
      </c>
      <c r="Z41" s="173" t="str">
        <f>IF('Bulk Order Details'!M51="","",MAX(1,'Bulk Order Details'!G51))</f>
        <v/>
      </c>
      <c r="AA41" s="196" t="str">
        <f>IF(Pricing_Details[[#This Row],[Quantity]]="","",Pricing_Details[[#This Row],[Retail Price]]*Pricing_Details[[#This Row],[Quantity]])</f>
        <v/>
      </c>
      <c r="AB41" s="196" t="str">
        <f>IF(Pricing_Details[[#This Row],[Quantity]]="","",Pricing_Details[[#This Row],[Total Discount]]*Pricing_Details[[#This Row],[Quantity]])</f>
        <v/>
      </c>
      <c r="AC41" s="176" t="str">
        <f>IFERROR(ROUND(Pricing_Details[[#This Row],[Actual Price]]*Pricing_Details[[#This Row],[Quantity]],2),"")</f>
        <v/>
      </c>
      <c r="AE41" s="156" t="str">
        <f>IF('Bulk Order Details'!M51="","",VLOOKUP('Bulk Order Details'!K51,Collection[],3)&amp;VLOOKUP('Bulk Order Details'!M51,Collar[],4)&amp;VLOOKUP('Bulk Order Details'!L51,Sleeve[],4))</f>
        <v/>
      </c>
      <c r="AF41" s="156" t="str">
        <f>IF('Bulk Order Details'!M51="","",LOOKUP('Bulk Order Details'!H51,Cut[Display],Cut[Code])&amp;LOOKUP('Bulk Order Details'!I51,#REF!,#REF!)&amp;IF('Bulk Order Details'!J51="","",LOOKUP('Bulk Order Details'!J51,Length[Display],Length[Code])))</f>
        <v/>
      </c>
      <c r="AG41" s="156" t="str">
        <f>IF('Bulk Order Details'!M51="","",IF('Bulk Order Details'!F51="","",'Bulk Order Details'!F51))</f>
        <v/>
      </c>
      <c r="AH41" s="156" t="str">
        <f>IF('Bulk Order Details'!R51="","","-"&amp;LOOKUP('Bulk Order Details'!R51,#REF!,#REF!))</f>
        <v/>
      </c>
      <c r="AI41" s="156" t="str">
        <f>IF('Bulk Order Details'!S51="","","-"&amp;LOOKUP('Bulk Order Details'!S51,#REF!,#REF!))</f>
        <v/>
      </c>
      <c r="AJ41" s="156" t="str">
        <f>IF('Bulk Order Details'!T51="","","-"&amp;LOOKUP('Bulk Order Details'!T51,#REF!,#REF!))</f>
        <v/>
      </c>
      <c r="AK41" s="156" t="str">
        <f>IF('Bulk Order Details'!U51="","","-"&amp;LOOKUP('Bulk Order Details'!U51,#REF!,#REF!))</f>
        <v/>
      </c>
      <c r="AL41" s="156" t="str">
        <f>IF('Bulk Order Details'!V51="","","-"&amp;LOOKUP('Bulk Order Details'!V51,#REF!,#REF!))</f>
        <v/>
      </c>
      <c r="AM41" s="156" t="str">
        <f t="shared" si="2"/>
        <v/>
      </c>
      <c r="AN41" s="156" t="str">
        <f>IF('Bulk Order Details'!N51="","","Na-"&amp;'Bulk Order Details'!N51)</f>
        <v/>
      </c>
      <c r="AO41" s="156" t="str">
        <f>IF('Bulk Order Details'!Q51="","","Fo-"&amp;'Bulk Order Details'!Q51)</f>
        <v/>
      </c>
      <c r="AP41" s="156" t="str">
        <f t="shared" si="3"/>
        <v/>
      </c>
      <c r="AQ41" s="37" t="str">
        <f t="shared" si="4"/>
        <v/>
      </c>
    </row>
    <row r="42" spans="2:43" ht="13.5" customHeight="1" x14ac:dyDescent="0.2">
      <c r="B42" s="34">
        <f>'Bulk Order Details'!B52</f>
        <v>39</v>
      </c>
      <c r="C42" s="34" t="str">
        <f>IF('Bulk Order Details'!C52="","",'Bulk Order Details'!C52&amp;" "&amp;'Bulk Order Details'!D52)</f>
        <v/>
      </c>
      <c r="D42" s="31" t="str">
        <f>IF('Bulk Order Details'!M52="","",VLOOKUP(1,Price[],3))</f>
        <v/>
      </c>
      <c r="E42" s="29" t="str">
        <f>IF('Bulk Order Details'!M52="","",Summary!$D$9)</f>
        <v/>
      </c>
      <c r="F42" s="16" t="str">
        <f>IF('Bulk Order Details'!I52="","",_xlfn.XLOOKUP('Bulk Order Details'!I52,Size[Display],Size[Price]))</f>
        <v/>
      </c>
      <c r="G42" s="16" t="str">
        <f>IF('Bulk Order Details'!J52="","",_xlfn.XLOOKUP('Bulk Order Details'!J52,Length[Display],Length[Price]))</f>
        <v/>
      </c>
      <c r="H42" s="16" t="str">
        <f>IF('Bulk Order Details'!K52="","",_xlfn.XLOOKUP('Bulk Order Details'!K52,Collection[Display],Collection[Price]))</f>
        <v/>
      </c>
      <c r="I42" s="16" t="str">
        <f>IF('Bulk Order Details'!L52="","",_xlfn.XLOOKUP('Bulk Order Details'!L52,Sleeve[Display],Sleeve[Price]))</f>
        <v/>
      </c>
      <c r="J42" s="16" t="str">
        <f>IF('Bulk Order Details'!M52="","",_xlfn.XLOOKUP('Bulk Order Details'!M52,Collar[Display],Collar[Price]))</f>
        <v/>
      </c>
      <c r="K42" s="16" t="str">
        <f>IF('Bulk Order Details'!N52="","",_xlfn.XLOOKUP("Name",Name[Name],Name[Price]))</f>
        <v/>
      </c>
      <c r="L42" s="18" t="str">
        <f>IFERROR(IF('Bulk Order Details'!R52="","",IF(_xlfn.XLOOKUP('Bulk Order Details'!R52,Logos[Display],Logos[Use])="Flat",_xlfn.XLOOKUP('Bulk Order Details'!R52,Logos[Display],Logos[Flat]),ROUND(_xlfn.XLOOKUP('Bulk Order Details'!R52,Logos[Display],Logos[Pct])*$E42,2))),"")</f>
        <v/>
      </c>
      <c r="M42" s="22" t="str">
        <f>IFERROR(IF('Bulk Order Details'!S52="","",IF(_xlfn.XLOOKUP('Bulk Order Details'!S52,Chest[Display],Chest[Use])="Flat",_xlfn.XLOOKUP('Bulk Order Details'!S52,Chest[Display],Chest[Flat]),ROUND(_xlfn.XLOOKUP('Bulk Order Details'!S52,Chest[Display],Chest[Pct])*$E42,2))),"")</f>
        <v/>
      </c>
      <c r="N42" s="22" t="str">
        <f>IFERROR(IF('Bulk Order Details'!T52="","",IF(_xlfn.XLOOKUP('Bulk Order Details'!T52,Chest[Display],Chest[Use])="Flat",_xlfn.XLOOKUP('Bulk Order Details'!T52,Chest[Display],Chest[Flat]),ROUND(_xlfn.XLOOKUP('Bulk Order Details'!T52,Chest[Display],Chest[Pct])*$E42,2))),"")</f>
        <v/>
      </c>
      <c r="O42" s="22" t="str">
        <f>IFERROR(IF('Bulk Order Details'!U52="","",IF(_xlfn.XLOOKUP('Bulk Order Details'!U52,LeftSleeve[Display],LeftSleeve[Use])="Flat",_xlfn.XLOOKUP('Bulk Order Details'!U52,LeftSleeve[Display],LeftSleeve[Flat]),ROUND(_xlfn.XLOOKUP('Bulk Order Details'!U52,LeftSleeve[Display],LeftSleeve[Pct])*$E42,2))),"")</f>
        <v/>
      </c>
      <c r="P42" s="22" t="str">
        <f>IFERROR(IF('Bulk Order Details'!V52="","",IF(_xlfn.XLOOKUP('Bulk Order Details'!V52,RightSleeve[Display],RightSleeve[Use])="Flat",_xlfn.XLOOKUP('Bulk Order Details'!V52,RightSleeve[Display],RightSleeve[Flat]),ROUND(_xlfn.XLOOKUP('Bulk Order Details'!V52,RightSleeve[Display],RightSleeve[Pct])*$E42,2))),"")</f>
        <v/>
      </c>
      <c r="Q42" s="27" t="str">
        <f>IF('Bulk Order Details'!M52="","",SUM(F42:P42))</f>
        <v/>
      </c>
      <c r="R42" s="24" t="str">
        <f t="shared" si="1"/>
        <v/>
      </c>
      <c r="S42" s="23" t="str">
        <f>IFERROR(MIN(IF(Summary!$D$11="Yes",-J42,0),IF(H42&gt;0,-J42,0)),"")</f>
        <v/>
      </c>
      <c r="T42" s="16" t="str">
        <f>IFERROR(IF(Summary!$D$10="Yes",-K42,""),"")</f>
        <v/>
      </c>
      <c r="U42" s="18" t="str">
        <f>IFERROR(IF(Summary!$D$12="Yes",-L42,""),"")</f>
        <v/>
      </c>
      <c r="V42" s="25" t="str">
        <f>IF('Bulk Order Details'!M52="","",SUM(R42:U42))</f>
        <v/>
      </c>
      <c r="W42" s="36" t="str">
        <f>IF('Bulk Order Details'!M52="","",D42+Q42)</f>
        <v/>
      </c>
      <c r="X42" s="37" t="str">
        <f>IF('Bulk Order Details'!M52="","",D42+Q42+V42)</f>
        <v/>
      </c>
      <c r="Y42" s="168" t="str">
        <f t="shared" si="0"/>
        <v/>
      </c>
      <c r="Z42" s="173" t="str">
        <f>IF('Bulk Order Details'!M52="","",MAX(1,'Bulk Order Details'!G52))</f>
        <v/>
      </c>
      <c r="AA42" s="196" t="str">
        <f>IF(Pricing_Details[[#This Row],[Quantity]]="","",Pricing_Details[[#This Row],[Retail Price]]*Pricing_Details[[#This Row],[Quantity]])</f>
        <v/>
      </c>
      <c r="AB42" s="196" t="str">
        <f>IF(Pricing_Details[[#This Row],[Quantity]]="","",Pricing_Details[[#This Row],[Total Discount]]*Pricing_Details[[#This Row],[Quantity]])</f>
        <v/>
      </c>
      <c r="AC42" s="176" t="str">
        <f>IFERROR(ROUND(Pricing_Details[[#This Row],[Actual Price]]*Pricing_Details[[#This Row],[Quantity]],2),"")</f>
        <v/>
      </c>
      <c r="AE42" s="156" t="str">
        <f>IF('Bulk Order Details'!M52="","",VLOOKUP('Bulk Order Details'!K52,Collection[],3)&amp;VLOOKUP('Bulk Order Details'!M52,Collar[],4)&amp;VLOOKUP('Bulk Order Details'!L52,Sleeve[],4))</f>
        <v/>
      </c>
      <c r="AF42" s="156" t="str">
        <f>IF('Bulk Order Details'!M52="","",LOOKUP('Bulk Order Details'!H52,Cut[Display],Cut[Code])&amp;LOOKUP('Bulk Order Details'!I52,#REF!,#REF!)&amp;IF('Bulk Order Details'!J52="","",LOOKUP('Bulk Order Details'!J52,Length[Display],Length[Code])))</f>
        <v/>
      </c>
      <c r="AG42" s="156" t="str">
        <f>IF('Bulk Order Details'!M52="","",IF('Bulk Order Details'!F52="","",'Bulk Order Details'!F52))</f>
        <v/>
      </c>
      <c r="AH42" s="156" t="str">
        <f>IF('Bulk Order Details'!R52="","","-"&amp;LOOKUP('Bulk Order Details'!R52,#REF!,#REF!))</f>
        <v/>
      </c>
      <c r="AI42" s="156" t="str">
        <f>IF('Bulk Order Details'!S52="","","-"&amp;LOOKUP('Bulk Order Details'!S52,#REF!,#REF!))</f>
        <v/>
      </c>
      <c r="AJ42" s="156" t="str">
        <f>IF('Bulk Order Details'!T52="","","-"&amp;LOOKUP('Bulk Order Details'!T52,#REF!,#REF!))</f>
        <v/>
      </c>
      <c r="AK42" s="156" t="str">
        <f>IF('Bulk Order Details'!U52="","","-"&amp;LOOKUP('Bulk Order Details'!U52,#REF!,#REF!))</f>
        <v/>
      </c>
      <c r="AL42" s="156" t="str">
        <f>IF('Bulk Order Details'!V52="","","-"&amp;LOOKUP('Bulk Order Details'!V52,#REF!,#REF!))</f>
        <v/>
      </c>
      <c r="AM42" s="156" t="str">
        <f t="shared" si="2"/>
        <v/>
      </c>
      <c r="AN42" s="156" t="str">
        <f>IF('Bulk Order Details'!N52="","","Na-"&amp;'Bulk Order Details'!N52)</f>
        <v/>
      </c>
      <c r="AO42" s="156" t="str">
        <f>IF('Bulk Order Details'!Q52="","","Fo-"&amp;'Bulk Order Details'!Q52)</f>
        <v/>
      </c>
      <c r="AP42" s="156" t="str">
        <f t="shared" si="3"/>
        <v/>
      </c>
      <c r="AQ42" s="37" t="str">
        <f t="shared" si="4"/>
        <v/>
      </c>
    </row>
    <row r="43" spans="2:43" ht="13.5" customHeight="1" x14ac:dyDescent="0.2">
      <c r="B43" s="34">
        <f>'Bulk Order Details'!B53</f>
        <v>40</v>
      </c>
      <c r="C43" s="34" t="str">
        <f>IF('Bulk Order Details'!C53="","",'Bulk Order Details'!C53&amp;" "&amp;'Bulk Order Details'!D53)</f>
        <v/>
      </c>
      <c r="D43" s="31" t="str">
        <f>IF('Bulk Order Details'!M53="","",VLOOKUP(1,Price[],3))</f>
        <v/>
      </c>
      <c r="E43" s="29" t="str">
        <f>IF('Bulk Order Details'!M53="","",Summary!$D$9)</f>
        <v/>
      </c>
      <c r="F43" s="16" t="str">
        <f>IF('Bulk Order Details'!I53="","",_xlfn.XLOOKUP('Bulk Order Details'!I53,Size[Display],Size[Price]))</f>
        <v/>
      </c>
      <c r="G43" s="16" t="str">
        <f>IF('Bulk Order Details'!J53="","",_xlfn.XLOOKUP('Bulk Order Details'!J53,Length[Display],Length[Price]))</f>
        <v/>
      </c>
      <c r="H43" s="16" t="str">
        <f>IF('Bulk Order Details'!K53="","",_xlfn.XLOOKUP('Bulk Order Details'!K53,Collection[Display],Collection[Price]))</f>
        <v/>
      </c>
      <c r="I43" s="16" t="str">
        <f>IF('Bulk Order Details'!L53="","",_xlfn.XLOOKUP('Bulk Order Details'!L53,Sleeve[Display],Sleeve[Price]))</f>
        <v/>
      </c>
      <c r="J43" s="16" t="str">
        <f>IF('Bulk Order Details'!M53="","",_xlfn.XLOOKUP('Bulk Order Details'!M53,Collar[Display],Collar[Price]))</f>
        <v/>
      </c>
      <c r="K43" s="16" t="str">
        <f>IF('Bulk Order Details'!N53="","",_xlfn.XLOOKUP("Name",Name[Name],Name[Price]))</f>
        <v/>
      </c>
      <c r="L43" s="18" t="str">
        <f>IFERROR(IF('Bulk Order Details'!R53="","",IF(_xlfn.XLOOKUP('Bulk Order Details'!R53,Logos[Display],Logos[Use])="Flat",_xlfn.XLOOKUP('Bulk Order Details'!R53,Logos[Display],Logos[Flat]),ROUND(_xlfn.XLOOKUP('Bulk Order Details'!R53,Logos[Display],Logos[Pct])*$E43,2))),"")</f>
        <v/>
      </c>
      <c r="M43" s="22" t="str">
        <f>IFERROR(IF('Bulk Order Details'!S53="","",IF(_xlfn.XLOOKUP('Bulk Order Details'!S53,Chest[Display],Chest[Use])="Flat",_xlfn.XLOOKUP('Bulk Order Details'!S53,Chest[Display],Chest[Flat]),ROUND(_xlfn.XLOOKUP('Bulk Order Details'!S53,Chest[Display],Chest[Pct])*$E43,2))),"")</f>
        <v/>
      </c>
      <c r="N43" s="22" t="str">
        <f>IFERROR(IF('Bulk Order Details'!T53="","",IF(_xlfn.XLOOKUP('Bulk Order Details'!T53,Chest[Display],Chest[Use])="Flat",_xlfn.XLOOKUP('Bulk Order Details'!T53,Chest[Display],Chest[Flat]),ROUND(_xlfn.XLOOKUP('Bulk Order Details'!T53,Chest[Display],Chest[Pct])*$E43,2))),"")</f>
        <v/>
      </c>
      <c r="O43" s="22" t="str">
        <f>IFERROR(IF('Bulk Order Details'!U53="","",IF(_xlfn.XLOOKUP('Bulk Order Details'!U53,LeftSleeve[Display],LeftSleeve[Use])="Flat",_xlfn.XLOOKUP('Bulk Order Details'!U53,LeftSleeve[Display],LeftSleeve[Flat]),ROUND(_xlfn.XLOOKUP('Bulk Order Details'!U53,LeftSleeve[Display],LeftSleeve[Pct])*$E43,2))),"")</f>
        <v/>
      </c>
      <c r="P43" s="22" t="str">
        <f>IFERROR(IF('Bulk Order Details'!V53="","",IF(_xlfn.XLOOKUP('Bulk Order Details'!V53,RightSleeve[Display],RightSleeve[Use])="Flat",_xlfn.XLOOKUP('Bulk Order Details'!V53,RightSleeve[Display],RightSleeve[Flat]),ROUND(_xlfn.XLOOKUP('Bulk Order Details'!V53,RightSleeve[Display],RightSleeve[Pct])*$E43,2))),"")</f>
        <v/>
      </c>
      <c r="Q43" s="27" t="str">
        <f>IF('Bulk Order Details'!M53="","",SUM(F43:P43))</f>
        <v/>
      </c>
      <c r="R43" s="24" t="str">
        <f t="shared" si="1"/>
        <v/>
      </c>
      <c r="S43" s="23" t="str">
        <f>IFERROR(MIN(IF(Summary!$D$11="Yes",-J43,0),IF(H43&gt;0,-J43,0)),"")</f>
        <v/>
      </c>
      <c r="T43" s="16" t="str">
        <f>IFERROR(IF(Summary!$D$10="Yes",-K43,""),"")</f>
        <v/>
      </c>
      <c r="U43" s="18" t="str">
        <f>IFERROR(IF(Summary!$D$12="Yes",-L43,""),"")</f>
        <v/>
      </c>
      <c r="V43" s="25" t="str">
        <f>IF('Bulk Order Details'!M53="","",SUM(R43:U43))</f>
        <v/>
      </c>
      <c r="W43" s="36" t="str">
        <f>IF('Bulk Order Details'!M53="","",D43+Q43)</f>
        <v/>
      </c>
      <c r="X43" s="37" t="str">
        <f>IF('Bulk Order Details'!M53="","",D43+Q43+V43)</f>
        <v/>
      </c>
      <c r="Y43" s="168" t="str">
        <f t="shared" si="0"/>
        <v/>
      </c>
      <c r="Z43" s="173" t="str">
        <f>IF('Bulk Order Details'!M53="","",MAX(1,'Bulk Order Details'!G53))</f>
        <v/>
      </c>
      <c r="AA43" s="196" t="str">
        <f>IF(Pricing_Details[[#This Row],[Quantity]]="","",Pricing_Details[[#This Row],[Retail Price]]*Pricing_Details[[#This Row],[Quantity]])</f>
        <v/>
      </c>
      <c r="AB43" s="196" t="str">
        <f>IF(Pricing_Details[[#This Row],[Quantity]]="","",Pricing_Details[[#This Row],[Total Discount]]*Pricing_Details[[#This Row],[Quantity]])</f>
        <v/>
      </c>
      <c r="AC43" s="176" t="str">
        <f>IFERROR(ROUND(Pricing_Details[[#This Row],[Actual Price]]*Pricing_Details[[#This Row],[Quantity]],2),"")</f>
        <v/>
      </c>
      <c r="AE43" s="156" t="str">
        <f>IF('Bulk Order Details'!M53="","",VLOOKUP('Bulk Order Details'!K53,Collection[],3)&amp;VLOOKUP('Bulk Order Details'!M53,Collar[],4)&amp;VLOOKUP('Bulk Order Details'!L53,Sleeve[],4))</f>
        <v/>
      </c>
      <c r="AF43" s="156" t="str">
        <f>IF('Bulk Order Details'!M53="","",LOOKUP('Bulk Order Details'!H53,Cut[Display],Cut[Code])&amp;LOOKUP('Bulk Order Details'!I53,#REF!,#REF!)&amp;IF('Bulk Order Details'!J53="","",LOOKUP('Bulk Order Details'!J53,Length[Display],Length[Code])))</f>
        <v/>
      </c>
      <c r="AG43" s="156" t="str">
        <f>IF('Bulk Order Details'!M53="","",IF('Bulk Order Details'!F53="","",'Bulk Order Details'!F53))</f>
        <v/>
      </c>
      <c r="AH43" s="156" t="str">
        <f>IF('Bulk Order Details'!R53="","","-"&amp;LOOKUP('Bulk Order Details'!R53,#REF!,#REF!))</f>
        <v/>
      </c>
      <c r="AI43" s="156" t="str">
        <f>IF('Bulk Order Details'!S53="","","-"&amp;LOOKUP('Bulk Order Details'!S53,#REF!,#REF!))</f>
        <v/>
      </c>
      <c r="AJ43" s="156" t="str">
        <f>IF('Bulk Order Details'!T53="","","-"&amp;LOOKUP('Bulk Order Details'!T53,#REF!,#REF!))</f>
        <v/>
      </c>
      <c r="AK43" s="156" t="str">
        <f>IF('Bulk Order Details'!U53="","","-"&amp;LOOKUP('Bulk Order Details'!U53,#REF!,#REF!))</f>
        <v/>
      </c>
      <c r="AL43" s="156" t="str">
        <f>IF('Bulk Order Details'!V53="","","-"&amp;LOOKUP('Bulk Order Details'!V53,#REF!,#REF!))</f>
        <v/>
      </c>
      <c r="AM43" s="156" t="str">
        <f t="shared" si="2"/>
        <v/>
      </c>
      <c r="AN43" s="156" t="str">
        <f>IF('Bulk Order Details'!N53="","","Na-"&amp;'Bulk Order Details'!N53)</f>
        <v/>
      </c>
      <c r="AO43" s="156" t="str">
        <f>IF('Bulk Order Details'!Q53="","","Fo-"&amp;'Bulk Order Details'!Q53)</f>
        <v/>
      </c>
      <c r="AP43" s="156" t="str">
        <f t="shared" si="3"/>
        <v/>
      </c>
      <c r="AQ43" s="37" t="str">
        <f t="shared" si="4"/>
        <v/>
      </c>
    </row>
    <row r="44" spans="2:43" ht="13.5" customHeight="1" x14ac:dyDescent="0.2">
      <c r="B44" s="34">
        <f>'Bulk Order Details'!B54</f>
        <v>41</v>
      </c>
      <c r="C44" s="34" t="str">
        <f>IF('Bulk Order Details'!C54="","",'Bulk Order Details'!C54&amp;" "&amp;'Bulk Order Details'!D54)</f>
        <v/>
      </c>
      <c r="D44" s="31" t="str">
        <f>IF('Bulk Order Details'!M54="","",VLOOKUP(1,Price[],3))</f>
        <v/>
      </c>
      <c r="E44" s="29" t="str">
        <f>IF('Bulk Order Details'!M54="","",Summary!$D$9)</f>
        <v/>
      </c>
      <c r="F44" s="16" t="str">
        <f>IF('Bulk Order Details'!I54="","",_xlfn.XLOOKUP('Bulk Order Details'!I54,Size[Display],Size[Price]))</f>
        <v/>
      </c>
      <c r="G44" s="16" t="str">
        <f>IF('Bulk Order Details'!J54="","",_xlfn.XLOOKUP('Bulk Order Details'!J54,Length[Display],Length[Price]))</f>
        <v/>
      </c>
      <c r="H44" s="16" t="str">
        <f>IF('Bulk Order Details'!K54="","",_xlfn.XLOOKUP('Bulk Order Details'!K54,Collection[Display],Collection[Price]))</f>
        <v/>
      </c>
      <c r="I44" s="16" t="str">
        <f>IF('Bulk Order Details'!L54="","",_xlfn.XLOOKUP('Bulk Order Details'!L54,Sleeve[Display],Sleeve[Price]))</f>
        <v/>
      </c>
      <c r="J44" s="16" t="str">
        <f>IF('Bulk Order Details'!M54="","",_xlfn.XLOOKUP('Bulk Order Details'!M54,Collar[Display],Collar[Price]))</f>
        <v/>
      </c>
      <c r="K44" s="16" t="str">
        <f>IF('Bulk Order Details'!N54="","",_xlfn.XLOOKUP("Name",Name[Name],Name[Price]))</f>
        <v/>
      </c>
      <c r="L44" s="18" t="str">
        <f>IFERROR(IF('Bulk Order Details'!R54="","",IF(_xlfn.XLOOKUP('Bulk Order Details'!R54,Logos[Display],Logos[Use])="Flat",_xlfn.XLOOKUP('Bulk Order Details'!R54,Logos[Display],Logos[Flat]),ROUND(_xlfn.XLOOKUP('Bulk Order Details'!R54,Logos[Display],Logos[Pct])*$E44,2))),"")</f>
        <v/>
      </c>
      <c r="M44" s="22" t="str">
        <f>IFERROR(IF('Bulk Order Details'!S54="","",IF(_xlfn.XLOOKUP('Bulk Order Details'!S54,Chest[Display],Chest[Use])="Flat",_xlfn.XLOOKUP('Bulk Order Details'!S54,Chest[Display],Chest[Flat]),ROUND(_xlfn.XLOOKUP('Bulk Order Details'!S54,Chest[Display],Chest[Pct])*$E44,2))),"")</f>
        <v/>
      </c>
      <c r="N44" s="22" t="str">
        <f>IFERROR(IF('Bulk Order Details'!T54="","",IF(_xlfn.XLOOKUP('Bulk Order Details'!T54,Chest[Display],Chest[Use])="Flat",_xlfn.XLOOKUP('Bulk Order Details'!T54,Chest[Display],Chest[Flat]),ROUND(_xlfn.XLOOKUP('Bulk Order Details'!T54,Chest[Display],Chest[Pct])*$E44,2))),"")</f>
        <v/>
      </c>
      <c r="O44" s="22" t="str">
        <f>IFERROR(IF('Bulk Order Details'!U54="","",IF(_xlfn.XLOOKUP('Bulk Order Details'!U54,LeftSleeve[Display],LeftSleeve[Use])="Flat",_xlfn.XLOOKUP('Bulk Order Details'!U54,LeftSleeve[Display],LeftSleeve[Flat]),ROUND(_xlfn.XLOOKUP('Bulk Order Details'!U54,LeftSleeve[Display],LeftSleeve[Pct])*$E44,2))),"")</f>
        <v/>
      </c>
      <c r="P44" s="22" t="str">
        <f>IFERROR(IF('Bulk Order Details'!V54="","",IF(_xlfn.XLOOKUP('Bulk Order Details'!V54,RightSleeve[Display],RightSleeve[Use])="Flat",_xlfn.XLOOKUP('Bulk Order Details'!V54,RightSleeve[Display],RightSleeve[Flat]),ROUND(_xlfn.XLOOKUP('Bulk Order Details'!V54,RightSleeve[Display],RightSleeve[Pct])*$E44,2))),"")</f>
        <v/>
      </c>
      <c r="Q44" s="27" t="str">
        <f>IF('Bulk Order Details'!M54="","",SUM(F44:P44))</f>
        <v/>
      </c>
      <c r="R44" s="24" t="str">
        <f t="shared" si="1"/>
        <v/>
      </c>
      <c r="S44" s="23" t="str">
        <f>IFERROR(MIN(IF(Summary!$D$11="Yes",-J44,0),IF(H44&gt;0,-J44,0)),"")</f>
        <v/>
      </c>
      <c r="T44" s="16" t="str">
        <f>IFERROR(IF(Summary!$D$10="Yes",-K44,""),"")</f>
        <v/>
      </c>
      <c r="U44" s="18" t="str">
        <f>IFERROR(IF(Summary!$D$12="Yes",-L44,""),"")</f>
        <v/>
      </c>
      <c r="V44" s="25" t="str">
        <f>IF('Bulk Order Details'!M54="","",SUM(R44:U44))</f>
        <v/>
      </c>
      <c r="W44" s="36" t="str">
        <f>IF('Bulk Order Details'!M54="","",D44+Q44)</f>
        <v/>
      </c>
      <c r="X44" s="37" t="str">
        <f>IF('Bulk Order Details'!M54="","",D44+Q44+V44)</f>
        <v/>
      </c>
      <c r="Y44" s="168" t="str">
        <f t="shared" si="0"/>
        <v/>
      </c>
      <c r="Z44" s="173" t="str">
        <f>IF('Bulk Order Details'!M54="","",MAX(1,'Bulk Order Details'!G54))</f>
        <v/>
      </c>
      <c r="AA44" s="196" t="str">
        <f>IF(Pricing_Details[[#This Row],[Quantity]]="","",Pricing_Details[[#This Row],[Retail Price]]*Pricing_Details[[#This Row],[Quantity]])</f>
        <v/>
      </c>
      <c r="AB44" s="196" t="str">
        <f>IF(Pricing_Details[[#This Row],[Quantity]]="","",Pricing_Details[[#This Row],[Total Discount]]*Pricing_Details[[#This Row],[Quantity]])</f>
        <v/>
      </c>
      <c r="AC44" s="176" t="str">
        <f>IFERROR(ROUND(Pricing_Details[[#This Row],[Actual Price]]*Pricing_Details[[#This Row],[Quantity]],2),"")</f>
        <v/>
      </c>
      <c r="AE44" s="156" t="str">
        <f>IF('Bulk Order Details'!M54="","",VLOOKUP('Bulk Order Details'!K54,Collection[],3)&amp;VLOOKUP('Bulk Order Details'!M54,Collar[],4)&amp;VLOOKUP('Bulk Order Details'!L54,Sleeve[],4))</f>
        <v/>
      </c>
      <c r="AF44" s="156" t="str">
        <f>IF('Bulk Order Details'!M54="","",LOOKUP('Bulk Order Details'!H54,Cut[Display],Cut[Code])&amp;LOOKUP('Bulk Order Details'!I54,#REF!,#REF!)&amp;IF('Bulk Order Details'!J54="","",LOOKUP('Bulk Order Details'!J54,Length[Display],Length[Code])))</f>
        <v/>
      </c>
      <c r="AG44" s="156" t="str">
        <f>IF('Bulk Order Details'!M54="","",IF('Bulk Order Details'!F54="","",'Bulk Order Details'!F54))</f>
        <v/>
      </c>
      <c r="AH44" s="156" t="str">
        <f>IF('Bulk Order Details'!R54="","","-"&amp;LOOKUP('Bulk Order Details'!R54,#REF!,#REF!))</f>
        <v/>
      </c>
      <c r="AI44" s="156" t="str">
        <f>IF('Bulk Order Details'!S54="","","-"&amp;LOOKUP('Bulk Order Details'!S54,#REF!,#REF!))</f>
        <v/>
      </c>
      <c r="AJ44" s="156" t="str">
        <f>IF('Bulk Order Details'!T54="","","-"&amp;LOOKUP('Bulk Order Details'!T54,#REF!,#REF!))</f>
        <v/>
      </c>
      <c r="AK44" s="156" t="str">
        <f>IF('Bulk Order Details'!U54="","","-"&amp;LOOKUP('Bulk Order Details'!U54,#REF!,#REF!))</f>
        <v/>
      </c>
      <c r="AL44" s="156" t="str">
        <f>IF('Bulk Order Details'!V54="","","-"&amp;LOOKUP('Bulk Order Details'!V54,#REF!,#REF!))</f>
        <v/>
      </c>
      <c r="AM44" s="156" t="str">
        <f t="shared" si="2"/>
        <v/>
      </c>
      <c r="AN44" s="156" t="str">
        <f>IF('Bulk Order Details'!N54="","","Na-"&amp;'Bulk Order Details'!N54)</f>
        <v/>
      </c>
      <c r="AO44" s="156" t="str">
        <f>IF('Bulk Order Details'!Q54="","","Fo-"&amp;'Bulk Order Details'!Q54)</f>
        <v/>
      </c>
      <c r="AP44" s="156" t="str">
        <f t="shared" si="3"/>
        <v/>
      </c>
      <c r="AQ44" s="37" t="str">
        <f t="shared" si="4"/>
        <v/>
      </c>
    </row>
    <row r="45" spans="2:43" ht="13.5" customHeight="1" x14ac:dyDescent="0.2">
      <c r="B45" s="34">
        <f>'Bulk Order Details'!B55</f>
        <v>42</v>
      </c>
      <c r="C45" s="34" t="str">
        <f>IF('Bulk Order Details'!C55="","",'Bulk Order Details'!C55&amp;" "&amp;'Bulk Order Details'!D55)</f>
        <v/>
      </c>
      <c r="D45" s="31" t="str">
        <f>IF('Bulk Order Details'!M55="","",VLOOKUP(1,Price[],3))</f>
        <v/>
      </c>
      <c r="E45" s="29" t="str">
        <f>IF('Bulk Order Details'!M55="","",Summary!$D$9)</f>
        <v/>
      </c>
      <c r="F45" s="16" t="str">
        <f>IF('Bulk Order Details'!I55="","",_xlfn.XLOOKUP('Bulk Order Details'!I55,Size[Display],Size[Price]))</f>
        <v/>
      </c>
      <c r="G45" s="16" t="str">
        <f>IF('Bulk Order Details'!J55="","",_xlfn.XLOOKUP('Bulk Order Details'!J55,Length[Display],Length[Price]))</f>
        <v/>
      </c>
      <c r="H45" s="16" t="str">
        <f>IF('Bulk Order Details'!K55="","",_xlfn.XLOOKUP('Bulk Order Details'!K55,Collection[Display],Collection[Price]))</f>
        <v/>
      </c>
      <c r="I45" s="16" t="str">
        <f>IF('Bulk Order Details'!L55="","",_xlfn.XLOOKUP('Bulk Order Details'!L55,Sleeve[Display],Sleeve[Price]))</f>
        <v/>
      </c>
      <c r="J45" s="16" t="str">
        <f>IF('Bulk Order Details'!M55="","",_xlfn.XLOOKUP('Bulk Order Details'!M55,Collar[Display],Collar[Price]))</f>
        <v/>
      </c>
      <c r="K45" s="16" t="str">
        <f>IF('Bulk Order Details'!N55="","",_xlfn.XLOOKUP("Name",Name[Name],Name[Price]))</f>
        <v/>
      </c>
      <c r="L45" s="18" t="str">
        <f>IFERROR(IF('Bulk Order Details'!R55="","",IF(_xlfn.XLOOKUP('Bulk Order Details'!R55,Logos[Display],Logos[Use])="Flat",_xlfn.XLOOKUP('Bulk Order Details'!R55,Logos[Display],Logos[Flat]),ROUND(_xlfn.XLOOKUP('Bulk Order Details'!R55,Logos[Display],Logos[Pct])*$E45,2))),"")</f>
        <v/>
      </c>
      <c r="M45" s="22" t="str">
        <f>IFERROR(IF('Bulk Order Details'!S55="","",IF(_xlfn.XLOOKUP('Bulk Order Details'!S55,Chest[Display],Chest[Use])="Flat",_xlfn.XLOOKUP('Bulk Order Details'!S55,Chest[Display],Chest[Flat]),ROUND(_xlfn.XLOOKUP('Bulk Order Details'!S55,Chest[Display],Chest[Pct])*$E45,2))),"")</f>
        <v/>
      </c>
      <c r="N45" s="22" t="str">
        <f>IFERROR(IF('Bulk Order Details'!T55="","",IF(_xlfn.XLOOKUP('Bulk Order Details'!T55,Chest[Display],Chest[Use])="Flat",_xlfn.XLOOKUP('Bulk Order Details'!T55,Chest[Display],Chest[Flat]),ROUND(_xlfn.XLOOKUP('Bulk Order Details'!T55,Chest[Display],Chest[Pct])*$E45,2))),"")</f>
        <v/>
      </c>
      <c r="O45" s="22" t="str">
        <f>IFERROR(IF('Bulk Order Details'!U55="","",IF(_xlfn.XLOOKUP('Bulk Order Details'!U55,LeftSleeve[Display],LeftSleeve[Use])="Flat",_xlfn.XLOOKUP('Bulk Order Details'!U55,LeftSleeve[Display],LeftSleeve[Flat]),ROUND(_xlfn.XLOOKUP('Bulk Order Details'!U55,LeftSleeve[Display],LeftSleeve[Pct])*$E45,2))),"")</f>
        <v/>
      </c>
      <c r="P45" s="22" t="str">
        <f>IFERROR(IF('Bulk Order Details'!V55="","",IF(_xlfn.XLOOKUP('Bulk Order Details'!V55,RightSleeve[Display],RightSleeve[Use])="Flat",_xlfn.XLOOKUP('Bulk Order Details'!V55,RightSleeve[Display],RightSleeve[Flat]),ROUND(_xlfn.XLOOKUP('Bulk Order Details'!V55,RightSleeve[Display],RightSleeve[Pct])*$E45,2))),"")</f>
        <v/>
      </c>
      <c r="Q45" s="27" t="str">
        <f>IF('Bulk Order Details'!M55="","",SUM(F45:P45))</f>
        <v/>
      </c>
      <c r="R45" s="24" t="str">
        <f t="shared" si="1"/>
        <v/>
      </c>
      <c r="S45" s="23" t="str">
        <f>IFERROR(MIN(IF(Summary!$D$11="Yes",-J45,0),IF(H45&gt;0,-J45,0)),"")</f>
        <v/>
      </c>
      <c r="T45" s="16" t="str">
        <f>IFERROR(IF(Summary!$D$10="Yes",-K45,""),"")</f>
        <v/>
      </c>
      <c r="U45" s="18" t="str">
        <f>IFERROR(IF(Summary!$D$12="Yes",-L45,""),"")</f>
        <v/>
      </c>
      <c r="V45" s="25" t="str">
        <f>IF('Bulk Order Details'!M55="","",SUM(R45:U45))</f>
        <v/>
      </c>
      <c r="W45" s="36" t="str">
        <f>IF('Bulk Order Details'!M55="","",D45+Q45)</f>
        <v/>
      </c>
      <c r="X45" s="37" t="str">
        <f>IF('Bulk Order Details'!M55="","",D45+Q45+V45)</f>
        <v/>
      </c>
      <c r="Y45" s="168" t="str">
        <f t="shared" si="0"/>
        <v/>
      </c>
      <c r="Z45" s="173" t="str">
        <f>IF('Bulk Order Details'!M55="","",MAX(1,'Bulk Order Details'!G55))</f>
        <v/>
      </c>
      <c r="AA45" s="196" t="str">
        <f>IF(Pricing_Details[[#This Row],[Quantity]]="","",Pricing_Details[[#This Row],[Retail Price]]*Pricing_Details[[#This Row],[Quantity]])</f>
        <v/>
      </c>
      <c r="AB45" s="196" t="str">
        <f>IF(Pricing_Details[[#This Row],[Quantity]]="","",Pricing_Details[[#This Row],[Total Discount]]*Pricing_Details[[#This Row],[Quantity]])</f>
        <v/>
      </c>
      <c r="AC45" s="176" t="str">
        <f>IFERROR(ROUND(Pricing_Details[[#This Row],[Actual Price]]*Pricing_Details[[#This Row],[Quantity]],2),"")</f>
        <v/>
      </c>
      <c r="AE45" s="156" t="str">
        <f>IF('Bulk Order Details'!M55="","",VLOOKUP('Bulk Order Details'!K55,Collection[],3)&amp;VLOOKUP('Bulk Order Details'!M55,Collar[],4)&amp;VLOOKUP('Bulk Order Details'!L55,Sleeve[],4))</f>
        <v/>
      </c>
      <c r="AF45" s="156" t="str">
        <f>IF('Bulk Order Details'!M55="","",LOOKUP('Bulk Order Details'!H55,Cut[Display],Cut[Code])&amp;LOOKUP('Bulk Order Details'!I55,#REF!,#REF!)&amp;IF('Bulk Order Details'!J55="","",LOOKUP('Bulk Order Details'!J55,Length[Display],Length[Code])))</f>
        <v/>
      </c>
      <c r="AG45" s="156" t="str">
        <f>IF('Bulk Order Details'!M55="","",IF('Bulk Order Details'!F55="","",'Bulk Order Details'!F55))</f>
        <v/>
      </c>
      <c r="AH45" s="156" t="str">
        <f>IF('Bulk Order Details'!R55="","","-"&amp;LOOKUP('Bulk Order Details'!R55,#REF!,#REF!))</f>
        <v/>
      </c>
      <c r="AI45" s="156" t="str">
        <f>IF('Bulk Order Details'!S55="","","-"&amp;LOOKUP('Bulk Order Details'!S55,#REF!,#REF!))</f>
        <v/>
      </c>
      <c r="AJ45" s="156" t="str">
        <f>IF('Bulk Order Details'!T55="","","-"&amp;LOOKUP('Bulk Order Details'!T55,#REF!,#REF!))</f>
        <v/>
      </c>
      <c r="AK45" s="156" t="str">
        <f>IF('Bulk Order Details'!U55="","","-"&amp;LOOKUP('Bulk Order Details'!U55,#REF!,#REF!))</f>
        <v/>
      </c>
      <c r="AL45" s="156" t="str">
        <f>IF('Bulk Order Details'!V55="","","-"&amp;LOOKUP('Bulk Order Details'!V55,#REF!,#REF!))</f>
        <v/>
      </c>
      <c r="AM45" s="156" t="str">
        <f t="shared" si="2"/>
        <v/>
      </c>
      <c r="AN45" s="156" t="str">
        <f>IF('Bulk Order Details'!N55="","","Na-"&amp;'Bulk Order Details'!N55)</f>
        <v/>
      </c>
      <c r="AO45" s="156" t="str">
        <f>IF('Bulk Order Details'!Q55="","","Fo-"&amp;'Bulk Order Details'!Q55)</f>
        <v/>
      </c>
      <c r="AP45" s="156" t="str">
        <f t="shared" si="3"/>
        <v/>
      </c>
      <c r="AQ45" s="37" t="str">
        <f t="shared" si="4"/>
        <v/>
      </c>
    </row>
    <row r="46" spans="2:43" ht="13.5" customHeight="1" x14ac:dyDescent="0.2">
      <c r="B46" s="34">
        <f>'Bulk Order Details'!B56</f>
        <v>43</v>
      </c>
      <c r="C46" s="34" t="str">
        <f>IF('Bulk Order Details'!C56="","",'Bulk Order Details'!C56&amp;" "&amp;'Bulk Order Details'!D56)</f>
        <v/>
      </c>
      <c r="D46" s="31" t="str">
        <f>IF('Bulk Order Details'!M56="","",VLOOKUP(1,Price[],3))</f>
        <v/>
      </c>
      <c r="E46" s="29" t="str">
        <f>IF('Bulk Order Details'!M56="","",Summary!$D$9)</f>
        <v/>
      </c>
      <c r="F46" s="16" t="str">
        <f>IF('Bulk Order Details'!I56="","",_xlfn.XLOOKUP('Bulk Order Details'!I56,Size[Display],Size[Price]))</f>
        <v/>
      </c>
      <c r="G46" s="16" t="str">
        <f>IF('Bulk Order Details'!J56="","",_xlfn.XLOOKUP('Bulk Order Details'!J56,Length[Display],Length[Price]))</f>
        <v/>
      </c>
      <c r="H46" s="16" t="str">
        <f>IF('Bulk Order Details'!K56="","",_xlfn.XLOOKUP('Bulk Order Details'!K56,Collection[Display],Collection[Price]))</f>
        <v/>
      </c>
      <c r="I46" s="16" t="str">
        <f>IF('Bulk Order Details'!L56="","",_xlfn.XLOOKUP('Bulk Order Details'!L56,Sleeve[Display],Sleeve[Price]))</f>
        <v/>
      </c>
      <c r="J46" s="16" t="str">
        <f>IF('Bulk Order Details'!M56="","",_xlfn.XLOOKUP('Bulk Order Details'!M56,Collar[Display],Collar[Price]))</f>
        <v/>
      </c>
      <c r="K46" s="16" t="str">
        <f>IF('Bulk Order Details'!N56="","",_xlfn.XLOOKUP("Name",Name[Name],Name[Price]))</f>
        <v/>
      </c>
      <c r="L46" s="18" t="str">
        <f>IFERROR(IF('Bulk Order Details'!R56="","",IF(_xlfn.XLOOKUP('Bulk Order Details'!R56,Logos[Display],Logos[Use])="Flat",_xlfn.XLOOKUP('Bulk Order Details'!R56,Logos[Display],Logos[Flat]),ROUND(_xlfn.XLOOKUP('Bulk Order Details'!R56,Logos[Display],Logos[Pct])*$E46,2))),"")</f>
        <v/>
      </c>
      <c r="M46" s="22" t="str">
        <f>IFERROR(IF('Bulk Order Details'!S56="","",IF(_xlfn.XLOOKUP('Bulk Order Details'!S56,Chest[Display],Chest[Use])="Flat",_xlfn.XLOOKUP('Bulk Order Details'!S56,Chest[Display],Chest[Flat]),ROUND(_xlfn.XLOOKUP('Bulk Order Details'!S56,Chest[Display],Chest[Pct])*$E46,2))),"")</f>
        <v/>
      </c>
      <c r="N46" s="22" t="str">
        <f>IFERROR(IF('Bulk Order Details'!T56="","",IF(_xlfn.XLOOKUP('Bulk Order Details'!T56,Chest[Display],Chest[Use])="Flat",_xlfn.XLOOKUP('Bulk Order Details'!T56,Chest[Display],Chest[Flat]),ROUND(_xlfn.XLOOKUP('Bulk Order Details'!T56,Chest[Display],Chest[Pct])*$E46,2))),"")</f>
        <v/>
      </c>
      <c r="O46" s="22" t="str">
        <f>IFERROR(IF('Bulk Order Details'!U56="","",IF(_xlfn.XLOOKUP('Bulk Order Details'!U56,LeftSleeve[Display],LeftSleeve[Use])="Flat",_xlfn.XLOOKUP('Bulk Order Details'!U56,LeftSleeve[Display],LeftSleeve[Flat]),ROUND(_xlfn.XLOOKUP('Bulk Order Details'!U56,LeftSleeve[Display],LeftSleeve[Pct])*$E46,2))),"")</f>
        <v/>
      </c>
      <c r="P46" s="22" t="str">
        <f>IFERROR(IF('Bulk Order Details'!V56="","",IF(_xlfn.XLOOKUP('Bulk Order Details'!V56,RightSleeve[Display],RightSleeve[Use])="Flat",_xlfn.XLOOKUP('Bulk Order Details'!V56,RightSleeve[Display],RightSleeve[Flat]),ROUND(_xlfn.XLOOKUP('Bulk Order Details'!V56,RightSleeve[Display],RightSleeve[Pct])*$E46,2))),"")</f>
        <v/>
      </c>
      <c r="Q46" s="27" t="str">
        <f>IF('Bulk Order Details'!M56="","",SUM(F46:P46))</f>
        <v/>
      </c>
      <c r="R46" s="24" t="str">
        <f t="shared" si="1"/>
        <v/>
      </c>
      <c r="S46" s="23" t="str">
        <f>IFERROR(MIN(IF(Summary!$D$11="Yes",-J46,0),IF(H46&gt;0,-J46,0)),"")</f>
        <v/>
      </c>
      <c r="T46" s="16" t="str">
        <f>IFERROR(IF(Summary!$D$10="Yes",-K46,""),"")</f>
        <v/>
      </c>
      <c r="U46" s="18" t="str">
        <f>IFERROR(IF(Summary!$D$12="Yes",-L46,""),"")</f>
        <v/>
      </c>
      <c r="V46" s="25" t="str">
        <f>IF('Bulk Order Details'!M56="","",SUM(R46:U46))</f>
        <v/>
      </c>
      <c r="W46" s="36" t="str">
        <f>IF('Bulk Order Details'!M56="","",D46+Q46)</f>
        <v/>
      </c>
      <c r="X46" s="37" t="str">
        <f>IF('Bulk Order Details'!M56="","",D46+Q46+V46)</f>
        <v/>
      </c>
      <c r="Y46" s="168" t="str">
        <f t="shared" si="0"/>
        <v/>
      </c>
      <c r="Z46" s="173" t="str">
        <f>IF('Bulk Order Details'!M56="","",MAX(1,'Bulk Order Details'!G56))</f>
        <v/>
      </c>
      <c r="AA46" s="196" t="str">
        <f>IF(Pricing_Details[[#This Row],[Quantity]]="","",Pricing_Details[[#This Row],[Retail Price]]*Pricing_Details[[#This Row],[Quantity]])</f>
        <v/>
      </c>
      <c r="AB46" s="196" t="str">
        <f>IF(Pricing_Details[[#This Row],[Quantity]]="","",Pricing_Details[[#This Row],[Total Discount]]*Pricing_Details[[#This Row],[Quantity]])</f>
        <v/>
      </c>
      <c r="AC46" s="176" t="str">
        <f>IFERROR(ROUND(Pricing_Details[[#This Row],[Actual Price]]*Pricing_Details[[#This Row],[Quantity]],2),"")</f>
        <v/>
      </c>
      <c r="AE46" s="156" t="str">
        <f>IF('Bulk Order Details'!M56="","",VLOOKUP('Bulk Order Details'!K56,Collection[],3)&amp;VLOOKUP('Bulk Order Details'!M56,Collar[],4)&amp;VLOOKUP('Bulk Order Details'!L56,Sleeve[],4))</f>
        <v/>
      </c>
      <c r="AF46" s="156" t="str">
        <f>IF('Bulk Order Details'!M56="","",LOOKUP('Bulk Order Details'!H56,Cut[Display],Cut[Code])&amp;LOOKUP('Bulk Order Details'!I56,#REF!,#REF!)&amp;IF('Bulk Order Details'!J56="","",LOOKUP('Bulk Order Details'!J56,Length[Display],Length[Code])))</f>
        <v/>
      </c>
      <c r="AG46" s="156" t="str">
        <f>IF('Bulk Order Details'!M56="","",IF('Bulk Order Details'!F56="","",'Bulk Order Details'!F56))</f>
        <v/>
      </c>
      <c r="AH46" s="156" t="str">
        <f>IF('Bulk Order Details'!R56="","","-"&amp;LOOKUP('Bulk Order Details'!R56,#REF!,#REF!))</f>
        <v/>
      </c>
      <c r="AI46" s="156" t="str">
        <f>IF('Bulk Order Details'!S56="","","-"&amp;LOOKUP('Bulk Order Details'!S56,#REF!,#REF!))</f>
        <v/>
      </c>
      <c r="AJ46" s="156" t="str">
        <f>IF('Bulk Order Details'!T56="","","-"&amp;LOOKUP('Bulk Order Details'!T56,#REF!,#REF!))</f>
        <v/>
      </c>
      <c r="AK46" s="156" t="str">
        <f>IF('Bulk Order Details'!U56="","","-"&amp;LOOKUP('Bulk Order Details'!U56,#REF!,#REF!))</f>
        <v/>
      </c>
      <c r="AL46" s="156" t="str">
        <f>IF('Bulk Order Details'!V56="","","-"&amp;LOOKUP('Bulk Order Details'!V56,#REF!,#REF!))</f>
        <v/>
      </c>
      <c r="AM46" s="156" t="str">
        <f t="shared" si="2"/>
        <v/>
      </c>
      <c r="AN46" s="156" t="str">
        <f>IF('Bulk Order Details'!N56="","","Na-"&amp;'Bulk Order Details'!N56)</f>
        <v/>
      </c>
      <c r="AO46" s="156" t="str">
        <f>IF('Bulk Order Details'!Q56="","","Fo-"&amp;'Bulk Order Details'!Q56)</f>
        <v/>
      </c>
      <c r="AP46" s="156" t="str">
        <f t="shared" si="3"/>
        <v/>
      </c>
      <c r="AQ46" s="37" t="str">
        <f t="shared" si="4"/>
        <v/>
      </c>
    </row>
    <row r="47" spans="2:43" ht="13.5" customHeight="1" x14ac:dyDescent="0.2">
      <c r="B47" s="34">
        <f>'Bulk Order Details'!B57</f>
        <v>44</v>
      </c>
      <c r="C47" s="34" t="str">
        <f>IF('Bulk Order Details'!C57="","",'Bulk Order Details'!C57&amp;" "&amp;'Bulk Order Details'!D57)</f>
        <v/>
      </c>
      <c r="D47" s="31" t="str">
        <f>IF('Bulk Order Details'!M57="","",VLOOKUP(1,Price[],3))</f>
        <v/>
      </c>
      <c r="E47" s="29" t="str">
        <f>IF('Bulk Order Details'!M57="","",Summary!$D$9)</f>
        <v/>
      </c>
      <c r="F47" s="16" t="str">
        <f>IF('Bulk Order Details'!I57="","",_xlfn.XLOOKUP('Bulk Order Details'!I57,Size[Display],Size[Price]))</f>
        <v/>
      </c>
      <c r="G47" s="16" t="str">
        <f>IF('Bulk Order Details'!J57="","",_xlfn.XLOOKUP('Bulk Order Details'!J57,Length[Display],Length[Price]))</f>
        <v/>
      </c>
      <c r="H47" s="16" t="str">
        <f>IF('Bulk Order Details'!K57="","",_xlfn.XLOOKUP('Bulk Order Details'!K57,Collection[Display],Collection[Price]))</f>
        <v/>
      </c>
      <c r="I47" s="16" t="str">
        <f>IF('Bulk Order Details'!L57="","",_xlfn.XLOOKUP('Bulk Order Details'!L57,Sleeve[Display],Sleeve[Price]))</f>
        <v/>
      </c>
      <c r="J47" s="16" t="str">
        <f>IF('Bulk Order Details'!M57="","",_xlfn.XLOOKUP('Bulk Order Details'!M57,Collar[Display],Collar[Price]))</f>
        <v/>
      </c>
      <c r="K47" s="16" t="str">
        <f>IF('Bulk Order Details'!N57="","",_xlfn.XLOOKUP("Name",Name[Name],Name[Price]))</f>
        <v/>
      </c>
      <c r="L47" s="18" t="str">
        <f>IFERROR(IF('Bulk Order Details'!R57="","",IF(_xlfn.XLOOKUP('Bulk Order Details'!R57,Logos[Display],Logos[Use])="Flat",_xlfn.XLOOKUP('Bulk Order Details'!R57,Logos[Display],Logos[Flat]),ROUND(_xlfn.XLOOKUP('Bulk Order Details'!R57,Logos[Display],Logos[Pct])*$E47,2))),"")</f>
        <v/>
      </c>
      <c r="M47" s="22" t="str">
        <f>IFERROR(IF('Bulk Order Details'!S57="","",IF(_xlfn.XLOOKUP('Bulk Order Details'!S57,Chest[Display],Chest[Use])="Flat",_xlfn.XLOOKUP('Bulk Order Details'!S57,Chest[Display],Chest[Flat]),ROUND(_xlfn.XLOOKUP('Bulk Order Details'!S57,Chest[Display],Chest[Pct])*$E47,2))),"")</f>
        <v/>
      </c>
      <c r="N47" s="22" t="str">
        <f>IFERROR(IF('Bulk Order Details'!T57="","",IF(_xlfn.XLOOKUP('Bulk Order Details'!T57,Chest[Display],Chest[Use])="Flat",_xlfn.XLOOKUP('Bulk Order Details'!T57,Chest[Display],Chest[Flat]),ROUND(_xlfn.XLOOKUP('Bulk Order Details'!T57,Chest[Display],Chest[Pct])*$E47,2))),"")</f>
        <v/>
      </c>
      <c r="O47" s="22" t="str">
        <f>IFERROR(IF('Bulk Order Details'!U57="","",IF(_xlfn.XLOOKUP('Bulk Order Details'!U57,LeftSleeve[Display],LeftSleeve[Use])="Flat",_xlfn.XLOOKUP('Bulk Order Details'!U57,LeftSleeve[Display],LeftSleeve[Flat]),ROUND(_xlfn.XLOOKUP('Bulk Order Details'!U57,LeftSleeve[Display],LeftSleeve[Pct])*$E47,2))),"")</f>
        <v/>
      </c>
      <c r="P47" s="22" t="str">
        <f>IFERROR(IF('Bulk Order Details'!V57="","",IF(_xlfn.XLOOKUP('Bulk Order Details'!V57,RightSleeve[Display],RightSleeve[Use])="Flat",_xlfn.XLOOKUP('Bulk Order Details'!V57,RightSleeve[Display],RightSleeve[Flat]),ROUND(_xlfn.XLOOKUP('Bulk Order Details'!V57,RightSleeve[Display],RightSleeve[Pct])*$E47,2))),"")</f>
        <v/>
      </c>
      <c r="Q47" s="27" t="str">
        <f>IF('Bulk Order Details'!M57="","",SUM(F47:P47))</f>
        <v/>
      </c>
      <c r="R47" s="24" t="str">
        <f t="shared" si="1"/>
        <v/>
      </c>
      <c r="S47" s="23" t="str">
        <f>IFERROR(MIN(IF(Summary!$D$11="Yes",-J47,0),IF(H47&gt;0,-J47,0)),"")</f>
        <v/>
      </c>
      <c r="T47" s="16" t="str">
        <f>IFERROR(IF(Summary!$D$10="Yes",-K47,""),"")</f>
        <v/>
      </c>
      <c r="U47" s="18" t="str">
        <f>IFERROR(IF(Summary!$D$12="Yes",-L47,""),"")</f>
        <v/>
      </c>
      <c r="V47" s="25" t="str">
        <f>IF('Bulk Order Details'!M57="","",SUM(R47:U47))</f>
        <v/>
      </c>
      <c r="W47" s="36" t="str">
        <f>IF('Bulk Order Details'!M57="","",D47+Q47)</f>
        <v/>
      </c>
      <c r="X47" s="37" t="str">
        <f>IF('Bulk Order Details'!M57="","",D47+Q47+V47)</f>
        <v/>
      </c>
      <c r="Y47" s="168" t="str">
        <f t="shared" si="0"/>
        <v/>
      </c>
      <c r="Z47" s="173" t="str">
        <f>IF('Bulk Order Details'!M57="","",MAX(1,'Bulk Order Details'!G57))</f>
        <v/>
      </c>
      <c r="AA47" s="196" t="str">
        <f>IF(Pricing_Details[[#This Row],[Quantity]]="","",Pricing_Details[[#This Row],[Retail Price]]*Pricing_Details[[#This Row],[Quantity]])</f>
        <v/>
      </c>
      <c r="AB47" s="196" t="str">
        <f>IF(Pricing_Details[[#This Row],[Quantity]]="","",Pricing_Details[[#This Row],[Total Discount]]*Pricing_Details[[#This Row],[Quantity]])</f>
        <v/>
      </c>
      <c r="AC47" s="176" t="str">
        <f>IFERROR(ROUND(Pricing_Details[[#This Row],[Actual Price]]*Pricing_Details[[#This Row],[Quantity]],2),"")</f>
        <v/>
      </c>
      <c r="AE47" s="156" t="str">
        <f>IF('Bulk Order Details'!M57="","",VLOOKUP('Bulk Order Details'!K57,Collection[],3)&amp;VLOOKUP('Bulk Order Details'!M57,Collar[],4)&amp;VLOOKUP('Bulk Order Details'!L57,Sleeve[],4))</f>
        <v/>
      </c>
      <c r="AF47" s="156" t="str">
        <f>IF('Bulk Order Details'!M57="","",LOOKUP('Bulk Order Details'!H57,Cut[Display],Cut[Code])&amp;LOOKUP('Bulk Order Details'!I57,#REF!,#REF!)&amp;IF('Bulk Order Details'!J57="","",LOOKUP('Bulk Order Details'!J57,Length[Display],Length[Code])))</f>
        <v/>
      </c>
      <c r="AG47" s="156" t="str">
        <f>IF('Bulk Order Details'!M57="","",IF('Bulk Order Details'!F57="","",'Bulk Order Details'!F57))</f>
        <v/>
      </c>
      <c r="AH47" s="156" t="str">
        <f>IF('Bulk Order Details'!R57="","","-"&amp;LOOKUP('Bulk Order Details'!R57,#REF!,#REF!))</f>
        <v/>
      </c>
      <c r="AI47" s="156" t="str">
        <f>IF('Bulk Order Details'!S57="","","-"&amp;LOOKUP('Bulk Order Details'!S57,#REF!,#REF!))</f>
        <v/>
      </c>
      <c r="AJ47" s="156" t="str">
        <f>IF('Bulk Order Details'!T57="","","-"&amp;LOOKUP('Bulk Order Details'!T57,#REF!,#REF!))</f>
        <v/>
      </c>
      <c r="AK47" s="156" t="str">
        <f>IF('Bulk Order Details'!U57="","","-"&amp;LOOKUP('Bulk Order Details'!U57,#REF!,#REF!))</f>
        <v/>
      </c>
      <c r="AL47" s="156" t="str">
        <f>IF('Bulk Order Details'!V57="","","-"&amp;LOOKUP('Bulk Order Details'!V57,#REF!,#REF!))</f>
        <v/>
      </c>
      <c r="AM47" s="156" t="str">
        <f t="shared" si="2"/>
        <v/>
      </c>
      <c r="AN47" s="156" t="str">
        <f>IF('Bulk Order Details'!N57="","","Na-"&amp;'Bulk Order Details'!N57)</f>
        <v/>
      </c>
      <c r="AO47" s="156" t="str">
        <f>IF('Bulk Order Details'!Q57="","","Fo-"&amp;'Bulk Order Details'!Q57)</f>
        <v/>
      </c>
      <c r="AP47" s="156" t="str">
        <f t="shared" si="3"/>
        <v/>
      </c>
      <c r="AQ47" s="37" t="str">
        <f t="shared" si="4"/>
        <v/>
      </c>
    </row>
    <row r="48" spans="2:43" ht="13.5" customHeight="1" x14ac:dyDescent="0.2">
      <c r="B48" s="34">
        <f>'Bulk Order Details'!B58</f>
        <v>45</v>
      </c>
      <c r="C48" s="34" t="str">
        <f>IF('Bulk Order Details'!C58="","",'Bulk Order Details'!C58&amp;" "&amp;'Bulk Order Details'!D58)</f>
        <v/>
      </c>
      <c r="D48" s="31" t="str">
        <f>IF('Bulk Order Details'!M58="","",VLOOKUP(1,Price[],3))</f>
        <v/>
      </c>
      <c r="E48" s="29" t="str">
        <f>IF('Bulk Order Details'!M58="","",Summary!$D$9)</f>
        <v/>
      </c>
      <c r="F48" s="16" t="str">
        <f>IF('Bulk Order Details'!I58="","",_xlfn.XLOOKUP('Bulk Order Details'!I58,Size[Display],Size[Price]))</f>
        <v/>
      </c>
      <c r="G48" s="16" t="str">
        <f>IF('Bulk Order Details'!J58="","",_xlfn.XLOOKUP('Bulk Order Details'!J58,Length[Display],Length[Price]))</f>
        <v/>
      </c>
      <c r="H48" s="16" t="str">
        <f>IF('Bulk Order Details'!K58="","",_xlfn.XLOOKUP('Bulk Order Details'!K58,Collection[Display],Collection[Price]))</f>
        <v/>
      </c>
      <c r="I48" s="16" t="str">
        <f>IF('Bulk Order Details'!L58="","",_xlfn.XLOOKUP('Bulk Order Details'!L58,Sleeve[Display],Sleeve[Price]))</f>
        <v/>
      </c>
      <c r="J48" s="16" t="str">
        <f>IF('Bulk Order Details'!M58="","",_xlfn.XLOOKUP('Bulk Order Details'!M58,Collar[Display],Collar[Price]))</f>
        <v/>
      </c>
      <c r="K48" s="16" t="str">
        <f>IF('Bulk Order Details'!N58="","",_xlfn.XLOOKUP("Name",Name[Name],Name[Price]))</f>
        <v/>
      </c>
      <c r="L48" s="18" t="str">
        <f>IFERROR(IF('Bulk Order Details'!R58="","",IF(_xlfn.XLOOKUP('Bulk Order Details'!R58,Logos[Display],Logos[Use])="Flat",_xlfn.XLOOKUP('Bulk Order Details'!R58,Logos[Display],Logos[Flat]),ROUND(_xlfn.XLOOKUP('Bulk Order Details'!R58,Logos[Display],Logos[Pct])*$E48,2))),"")</f>
        <v/>
      </c>
      <c r="M48" s="22" t="str">
        <f>IFERROR(IF('Bulk Order Details'!S58="","",IF(_xlfn.XLOOKUP('Bulk Order Details'!S58,Chest[Display],Chest[Use])="Flat",_xlfn.XLOOKUP('Bulk Order Details'!S58,Chest[Display],Chest[Flat]),ROUND(_xlfn.XLOOKUP('Bulk Order Details'!S58,Chest[Display],Chest[Pct])*$E48,2))),"")</f>
        <v/>
      </c>
      <c r="N48" s="22" t="str">
        <f>IFERROR(IF('Bulk Order Details'!T58="","",IF(_xlfn.XLOOKUP('Bulk Order Details'!T58,Chest[Display],Chest[Use])="Flat",_xlfn.XLOOKUP('Bulk Order Details'!T58,Chest[Display],Chest[Flat]),ROUND(_xlfn.XLOOKUP('Bulk Order Details'!T58,Chest[Display],Chest[Pct])*$E48,2))),"")</f>
        <v/>
      </c>
      <c r="O48" s="22" t="str">
        <f>IFERROR(IF('Bulk Order Details'!U58="","",IF(_xlfn.XLOOKUP('Bulk Order Details'!U58,LeftSleeve[Display],LeftSleeve[Use])="Flat",_xlfn.XLOOKUP('Bulk Order Details'!U58,LeftSleeve[Display],LeftSleeve[Flat]),ROUND(_xlfn.XLOOKUP('Bulk Order Details'!U58,LeftSleeve[Display],LeftSleeve[Pct])*$E48,2))),"")</f>
        <v/>
      </c>
      <c r="P48" s="22" t="str">
        <f>IFERROR(IF('Bulk Order Details'!V58="","",IF(_xlfn.XLOOKUP('Bulk Order Details'!V58,RightSleeve[Display],RightSleeve[Use])="Flat",_xlfn.XLOOKUP('Bulk Order Details'!V58,RightSleeve[Display],RightSleeve[Flat]),ROUND(_xlfn.XLOOKUP('Bulk Order Details'!V58,RightSleeve[Display],RightSleeve[Pct])*$E48,2))),"")</f>
        <v/>
      </c>
      <c r="Q48" s="27" t="str">
        <f>IF('Bulk Order Details'!M58="","",SUM(F48:P48))</f>
        <v/>
      </c>
      <c r="R48" s="24" t="str">
        <f t="shared" si="1"/>
        <v/>
      </c>
      <c r="S48" s="23" t="str">
        <f>IFERROR(MIN(IF(Summary!$D$11="Yes",-J48,0),IF(H48&gt;0,-J48,0)),"")</f>
        <v/>
      </c>
      <c r="T48" s="16" t="str">
        <f>IFERROR(IF(Summary!$D$10="Yes",-K48,""),"")</f>
        <v/>
      </c>
      <c r="U48" s="18" t="str">
        <f>IFERROR(IF(Summary!$D$12="Yes",-L48,""),"")</f>
        <v/>
      </c>
      <c r="V48" s="25" t="str">
        <f>IF('Bulk Order Details'!M58="","",SUM(R48:U48))</f>
        <v/>
      </c>
      <c r="W48" s="36" t="str">
        <f>IF('Bulk Order Details'!M58="","",D48+Q48)</f>
        <v/>
      </c>
      <c r="X48" s="37" t="str">
        <f>IF('Bulk Order Details'!M58="","",D48+Q48+V48)</f>
        <v/>
      </c>
      <c r="Y48" s="168" t="str">
        <f t="shared" si="0"/>
        <v/>
      </c>
      <c r="Z48" s="173" t="str">
        <f>IF('Bulk Order Details'!M58="","",MAX(1,'Bulk Order Details'!G58))</f>
        <v/>
      </c>
      <c r="AA48" s="196" t="str">
        <f>IF(Pricing_Details[[#This Row],[Quantity]]="","",Pricing_Details[[#This Row],[Retail Price]]*Pricing_Details[[#This Row],[Quantity]])</f>
        <v/>
      </c>
      <c r="AB48" s="196" t="str">
        <f>IF(Pricing_Details[[#This Row],[Quantity]]="","",Pricing_Details[[#This Row],[Total Discount]]*Pricing_Details[[#This Row],[Quantity]])</f>
        <v/>
      </c>
      <c r="AC48" s="176" t="str">
        <f>IFERROR(ROUND(Pricing_Details[[#This Row],[Actual Price]]*Pricing_Details[[#This Row],[Quantity]],2),"")</f>
        <v/>
      </c>
      <c r="AE48" s="156" t="str">
        <f>IF('Bulk Order Details'!M58="","",VLOOKUP('Bulk Order Details'!K58,Collection[],3)&amp;VLOOKUP('Bulk Order Details'!M58,Collar[],4)&amp;VLOOKUP('Bulk Order Details'!L58,Sleeve[],4))</f>
        <v/>
      </c>
      <c r="AF48" s="156" t="str">
        <f>IF('Bulk Order Details'!M58="","",LOOKUP('Bulk Order Details'!H58,Cut[Display],Cut[Code])&amp;LOOKUP('Bulk Order Details'!I58,#REF!,#REF!)&amp;IF('Bulk Order Details'!J58="","",LOOKUP('Bulk Order Details'!J58,Length[Display],Length[Code])))</f>
        <v/>
      </c>
      <c r="AG48" s="156" t="str">
        <f>IF('Bulk Order Details'!M58="","",IF('Bulk Order Details'!F58="","",'Bulk Order Details'!F58))</f>
        <v/>
      </c>
      <c r="AH48" s="156" t="str">
        <f>IF('Bulk Order Details'!R58="","","-"&amp;LOOKUP('Bulk Order Details'!R58,#REF!,#REF!))</f>
        <v/>
      </c>
      <c r="AI48" s="156" t="str">
        <f>IF('Bulk Order Details'!S58="","","-"&amp;LOOKUP('Bulk Order Details'!S58,#REF!,#REF!))</f>
        <v/>
      </c>
      <c r="AJ48" s="156" t="str">
        <f>IF('Bulk Order Details'!T58="","","-"&amp;LOOKUP('Bulk Order Details'!T58,#REF!,#REF!))</f>
        <v/>
      </c>
      <c r="AK48" s="156" t="str">
        <f>IF('Bulk Order Details'!U58="","","-"&amp;LOOKUP('Bulk Order Details'!U58,#REF!,#REF!))</f>
        <v/>
      </c>
      <c r="AL48" s="156" t="str">
        <f>IF('Bulk Order Details'!V58="","","-"&amp;LOOKUP('Bulk Order Details'!V58,#REF!,#REF!))</f>
        <v/>
      </c>
      <c r="AM48" s="156" t="str">
        <f t="shared" si="2"/>
        <v/>
      </c>
      <c r="AN48" s="156" t="str">
        <f>IF('Bulk Order Details'!N58="","","Na-"&amp;'Bulk Order Details'!N58)</f>
        <v/>
      </c>
      <c r="AO48" s="156" t="str">
        <f>IF('Bulk Order Details'!Q58="","","Fo-"&amp;'Bulk Order Details'!Q58)</f>
        <v/>
      </c>
      <c r="AP48" s="156" t="str">
        <f t="shared" si="3"/>
        <v/>
      </c>
      <c r="AQ48" s="37" t="str">
        <f t="shared" si="4"/>
        <v/>
      </c>
    </row>
    <row r="49" spans="2:43" ht="13.5" customHeight="1" x14ac:dyDescent="0.2">
      <c r="B49" s="34">
        <f>'Bulk Order Details'!B59</f>
        <v>46</v>
      </c>
      <c r="C49" s="34" t="str">
        <f>IF('Bulk Order Details'!C59="","",'Bulk Order Details'!C59&amp;" "&amp;'Bulk Order Details'!D59)</f>
        <v/>
      </c>
      <c r="D49" s="31" t="str">
        <f>IF('Bulk Order Details'!M59="","",VLOOKUP(1,Price[],3))</f>
        <v/>
      </c>
      <c r="E49" s="29" t="str">
        <f>IF('Bulk Order Details'!M59="","",Summary!$D$9)</f>
        <v/>
      </c>
      <c r="F49" s="16" t="str">
        <f>IF('Bulk Order Details'!I59="","",_xlfn.XLOOKUP('Bulk Order Details'!I59,Size[Display],Size[Price]))</f>
        <v/>
      </c>
      <c r="G49" s="16" t="str">
        <f>IF('Bulk Order Details'!J59="","",_xlfn.XLOOKUP('Bulk Order Details'!J59,Length[Display],Length[Price]))</f>
        <v/>
      </c>
      <c r="H49" s="16" t="str">
        <f>IF('Bulk Order Details'!K59="","",_xlfn.XLOOKUP('Bulk Order Details'!K59,Collection[Display],Collection[Price]))</f>
        <v/>
      </c>
      <c r="I49" s="16" t="str">
        <f>IF('Bulk Order Details'!L59="","",_xlfn.XLOOKUP('Bulk Order Details'!L59,Sleeve[Display],Sleeve[Price]))</f>
        <v/>
      </c>
      <c r="J49" s="16" t="str">
        <f>IF('Bulk Order Details'!M59="","",_xlfn.XLOOKUP('Bulk Order Details'!M59,Collar[Display],Collar[Price]))</f>
        <v/>
      </c>
      <c r="K49" s="16" t="str">
        <f>IF('Bulk Order Details'!N59="","",_xlfn.XLOOKUP("Name",Name[Name],Name[Price]))</f>
        <v/>
      </c>
      <c r="L49" s="18" t="str">
        <f>IFERROR(IF('Bulk Order Details'!R59="","",IF(_xlfn.XLOOKUP('Bulk Order Details'!R59,Logos[Display],Logos[Use])="Flat",_xlfn.XLOOKUP('Bulk Order Details'!R59,Logos[Display],Logos[Flat]),ROUND(_xlfn.XLOOKUP('Bulk Order Details'!R59,Logos[Display],Logos[Pct])*$E49,2))),"")</f>
        <v/>
      </c>
      <c r="M49" s="22" t="str">
        <f>IFERROR(IF('Bulk Order Details'!S59="","",IF(_xlfn.XLOOKUP('Bulk Order Details'!S59,Chest[Display],Chest[Use])="Flat",_xlfn.XLOOKUP('Bulk Order Details'!S59,Chest[Display],Chest[Flat]),ROUND(_xlfn.XLOOKUP('Bulk Order Details'!S59,Chest[Display],Chest[Pct])*$E49,2))),"")</f>
        <v/>
      </c>
      <c r="N49" s="22" t="str">
        <f>IFERROR(IF('Bulk Order Details'!T59="","",IF(_xlfn.XLOOKUP('Bulk Order Details'!T59,Chest[Display],Chest[Use])="Flat",_xlfn.XLOOKUP('Bulk Order Details'!T59,Chest[Display],Chest[Flat]),ROUND(_xlfn.XLOOKUP('Bulk Order Details'!T59,Chest[Display],Chest[Pct])*$E49,2))),"")</f>
        <v/>
      </c>
      <c r="O49" s="22" t="str">
        <f>IFERROR(IF('Bulk Order Details'!U59="","",IF(_xlfn.XLOOKUP('Bulk Order Details'!U59,LeftSleeve[Display],LeftSleeve[Use])="Flat",_xlfn.XLOOKUP('Bulk Order Details'!U59,LeftSleeve[Display],LeftSleeve[Flat]),ROUND(_xlfn.XLOOKUP('Bulk Order Details'!U59,LeftSleeve[Display],LeftSleeve[Pct])*$E49,2))),"")</f>
        <v/>
      </c>
      <c r="P49" s="22" t="str">
        <f>IFERROR(IF('Bulk Order Details'!V59="","",IF(_xlfn.XLOOKUP('Bulk Order Details'!V59,RightSleeve[Display],RightSleeve[Use])="Flat",_xlfn.XLOOKUP('Bulk Order Details'!V59,RightSleeve[Display],RightSleeve[Flat]),ROUND(_xlfn.XLOOKUP('Bulk Order Details'!V59,RightSleeve[Display],RightSleeve[Pct])*$E49,2))),"")</f>
        <v/>
      </c>
      <c r="Q49" s="27" t="str">
        <f>IF('Bulk Order Details'!M59="","",SUM(F49:P49))</f>
        <v/>
      </c>
      <c r="R49" s="24" t="str">
        <f t="shared" si="1"/>
        <v/>
      </c>
      <c r="S49" s="23" t="str">
        <f>IFERROR(MIN(IF(Summary!$D$11="Yes",-J49,0),IF(H49&gt;0,-J49,0)),"")</f>
        <v/>
      </c>
      <c r="T49" s="16" t="str">
        <f>IFERROR(IF(Summary!$D$10="Yes",-K49,""),"")</f>
        <v/>
      </c>
      <c r="U49" s="18" t="str">
        <f>IFERROR(IF(Summary!$D$12="Yes",-L49,""),"")</f>
        <v/>
      </c>
      <c r="V49" s="25" t="str">
        <f>IF('Bulk Order Details'!M59="","",SUM(R49:U49))</f>
        <v/>
      </c>
      <c r="W49" s="36" t="str">
        <f>IF('Bulk Order Details'!M59="","",D49+Q49)</f>
        <v/>
      </c>
      <c r="X49" s="37" t="str">
        <f>IF('Bulk Order Details'!M59="","",D49+Q49+V49)</f>
        <v/>
      </c>
      <c r="Y49" s="168" t="str">
        <f t="shared" si="0"/>
        <v/>
      </c>
      <c r="Z49" s="173" t="str">
        <f>IF('Bulk Order Details'!M59="","",MAX(1,'Bulk Order Details'!G59))</f>
        <v/>
      </c>
      <c r="AA49" s="196" t="str">
        <f>IF(Pricing_Details[[#This Row],[Quantity]]="","",Pricing_Details[[#This Row],[Retail Price]]*Pricing_Details[[#This Row],[Quantity]])</f>
        <v/>
      </c>
      <c r="AB49" s="196" t="str">
        <f>IF(Pricing_Details[[#This Row],[Quantity]]="","",Pricing_Details[[#This Row],[Total Discount]]*Pricing_Details[[#This Row],[Quantity]])</f>
        <v/>
      </c>
      <c r="AC49" s="176" t="str">
        <f>IFERROR(ROUND(Pricing_Details[[#This Row],[Actual Price]]*Pricing_Details[[#This Row],[Quantity]],2),"")</f>
        <v/>
      </c>
      <c r="AE49" s="156" t="str">
        <f>IF('Bulk Order Details'!M59="","",VLOOKUP('Bulk Order Details'!K59,Collection[],3)&amp;VLOOKUP('Bulk Order Details'!M59,Collar[],4)&amp;VLOOKUP('Bulk Order Details'!L59,Sleeve[],4))</f>
        <v/>
      </c>
      <c r="AF49" s="156" t="str">
        <f>IF('Bulk Order Details'!M59="","",LOOKUP('Bulk Order Details'!H59,Cut[Display],Cut[Code])&amp;LOOKUP('Bulk Order Details'!I59,#REF!,#REF!)&amp;IF('Bulk Order Details'!J59="","",LOOKUP('Bulk Order Details'!J59,Length[Display],Length[Code])))</f>
        <v/>
      </c>
      <c r="AG49" s="156" t="str">
        <f>IF('Bulk Order Details'!M59="","",IF('Bulk Order Details'!F59="","",'Bulk Order Details'!F59))</f>
        <v/>
      </c>
      <c r="AH49" s="156" t="str">
        <f>IF('Bulk Order Details'!R59="","","-"&amp;LOOKUP('Bulk Order Details'!R59,#REF!,#REF!))</f>
        <v/>
      </c>
      <c r="AI49" s="156" t="str">
        <f>IF('Bulk Order Details'!S59="","","-"&amp;LOOKUP('Bulk Order Details'!S59,#REF!,#REF!))</f>
        <v/>
      </c>
      <c r="AJ49" s="156" t="str">
        <f>IF('Bulk Order Details'!T59="","","-"&amp;LOOKUP('Bulk Order Details'!T59,#REF!,#REF!))</f>
        <v/>
      </c>
      <c r="AK49" s="156" t="str">
        <f>IF('Bulk Order Details'!U59="","","-"&amp;LOOKUP('Bulk Order Details'!U59,#REF!,#REF!))</f>
        <v/>
      </c>
      <c r="AL49" s="156" t="str">
        <f>IF('Bulk Order Details'!V59="","","-"&amp;LOOKUP('Bulk Order Details'!V59,#REF!,#REF!))</f>
        <v/>
      </c>
      <c r="AM49" s="156" t="str">
        <f t="shared" si="2"/>
        <v/>
      </c>
      <c r="AN49" s="156" t="str">
        <f>IF('Bulk Order Details'!N59="","","Na-"&amp;'Bulk Order Details'!N59)</f>
        <v/>
      </c>
      <c r="AO49" s="156" t="str">
        <f>IF('Bulk Order Details'!Q59="","","Fo-"&amp;'Bulk Order Details'!Q59)</f>
        <v/>
      </c>
      <c r="AP49" s="156" t="str">
        <f t="shared" si="3"/>
        <v/>
      </c>
      <c r="AQ49" s="37" t="str">
        <f t="shared" si="4"/>
        <v/>
      </c>
    </row>
    <row r="50" spans="2:43" ht="13.5" customHeight="1" x14ac:dyDescent="0.2">
      <c r="B50" s="34">
        <f>'Bulk Order Details'!B60</f>
        <v>47</v>
      </c>
      <c r="C50" s="34" t="str">
        <f>IF('Bulk Order Details'!C60="","",'Bulk Order Details'!C60&amp;" "&amp;'Bulk Order Details'!D60)</f>
        <v/>
      </c>
      <c r="D50" s="31" t="str">
        <f>IF('Bulk Order Details'!M60="","",VLOOKUP(1,Price[],3))</f>
        <v/>
      </c>
      <c r="E50" s="29" t="str">
        <f>IF('Bulk Order Details'!M60="","",Summary!$D$9)</f>
        <v/>
      </c>
      <c r="F50" s="16" t="str">
        <f>IF('Bulk Order Details'!I60="","",_xlfn.XLOOKUP('Bulk Order Details'!I60,Size[Display],Size[Price]))</f>
        <v/>
      </c>
      <c r="G50" s="16" t="str">
        <f>IF('Bulk Order Details'!J60="","",_xlfn.XLOOKUP('Bulk Order Details'!J60,Length[Display],Length[Price]))</f>
        <v/>
      </c>
      <c r="H50" s="16" t="str">
        <f>IF('Bulk Order Details'!K60="","",_xlfn.XLOOKUP('Bulk Order Details'!K60,Collection[Display],Collection[Price]))</f>
        <v/>
      </c>
      <c r="I50" s="16" t="str">
        <f>IF('Bulk Order Details'!L60="","",_xlfn.XLOOKUP('Bulk Order Details'!L60,Sleeve[Display],Sleeve[Price]))</f>
        <v/>
      </c>
      <c r="J50" s="16" t="str">
        <f>IF('Bulk Order Details'!M60="","",_xlfn.XLOOKUP('Bulk Order Details'!M60,Collar[Display],Collar[Price]))</f>
        <v/>
      </c>
      <c r="K50" s="16" t="str">
        <f>IF('Bulk Order Details'!N60="","",_xlfn.XLOOKUP("Name",Name[Name],Name[Price]))</f>
        <v/>
      </c>
      <c r="L50" s="18" t="str">
        <f>IFERROR(IF('Bulk Order Details'!R60="","",IF(_xlfn.XLOOKUP('Bulk Order Details'!R60,Logos[Display],Logos[Use])="Flat",_xlfn.XLOOKUP('Bulk Order Details'!R60,Logos[Display],Logos[Flat]),ROUND(_xlfn.XLOOKUP('Bulk Order Details'!R60,Logos[Display],Logos[Pct])*$E50,2))),"")</f>
        <v/>
      </c>
      <c r="M50" s="22" t="str">
        <f>IFERROR(IF('Bulk Order Details'!S60="","",IF(_xlfn.XLOOKUP('Bulk Order Details'!S60,Chest[Display],Chest[Use])="Flat",_xlfn.XLOOKUP('Bulk Order Details'!S60,Chest[Display],Chest[Flat]),ROUND(_xlfn.XLOOKUP('Bulk Order Details'!S60,Chest[Display],Chest[Pct])*$E50,2))),"")</f>
        <v/>
      </c>
      <c r="N50" s="22" t="str">
        <f>IFERROR(IF('Bulk Order Details'!T60="","",IF(_xlfn.XLOOKUP('Bulk Order Details'!T60,Chest[Display],Chest[Use])="Flat",_xlfn.XLOOKUP('Bulk Order Details'!T60,Chest[Display],Chest[Flat]),ROUND(_xlfn.XLOOKUP('Bulk Order Details'!T60,Chest[Display],Chest[Pct])*$E50,2))),"")</f>
        <v/>
      </c>
      <c r="O50" s="22" t="str">
        <f>IFERROR(IF('Bulk Order Details'!U60="","",IF(_xlfn.XLOOKUP('Bulk Order Details'!U60,LeftSleeve[Display],LeftSleeve[Use])="Flat",_xlfn.XLOOKUP('Bulk Order Details'!U60,LeftSleeve[Display],LeftSleeve[Flat]),ROUND(_xlfn.XLOOKUP('Bulk Order Details'!U60,LeftSleeve[Display],LeftSleeve[Pct])*$E50,2))),"")</f>
        <v/>
      </c>
      <c r="P50" s="22" t="str">
        <f>IFERROR(IF('Bulk Order Details'!V60="","",IF(_xlfn.XLOOKUP('Bulk Order Details'!V60,RightSleeve[Display],RightSleeve[Use])="Flat",_xlfn.XLOOKUP('Bulk Order Details'!V60,RightSleeve[Display],RightSleeve[Flat]),ROUND(_xlfn.XLOOKUP('Bulk Order Details'!V60,RightSleeve[Display],RightSleeve[Pct])*$E50,2))),"")</f>
        <v/>
      </c>
      <c r="Q50" s="27" t="str">
        <f>IF('Bulk Order Details'!M60="","",SUM(F50:P50))</f>
        <v/>
      </c>
      <c r="R50" s="24" t="str">
        <f t="shared" si="1"/>
        <v/>
      </c>
      <c r="S50" s="23" t="str">
        <f>IFERROR(MIN(IF(Summary!$D$11="Yes",-J50,0),IF(H50&gt;0,-J50,0)),"")</f>
        <v/>
      </c>
      <c r="T50" s="16" t="str">
        <f>IFERROR(IF(Summary!$D$10="Yes",-K50,""),"")</f>
        <v/>
      </c>
      <c r="U50" s="18" t="str">
        <f>IFERROR(IF(Summary!$D$12="Yes",-L50,""),"")</f>
        <v/>
      </c>
      <c r="V50" s="25" t="str">
        <f>IF('Bulk Order Details'!M60="","",SUM(R50:U50))</f>
        <v/>
      </c>
      <c r="W50" s="36" t="str">
        <f>IF('Bulk Order Details'!M60="","",D50+Q50)</f>
        <v/>
      </c>
      <c r="X50" s="37" t="str">
        <f>IF('Bulk Order Details'!M60="","",D50+Q50+V50)</f>
        <v/>
      </c>
      <c r="Y50" s="168" t="str">
        <f t="shared" si="0"/>
        <v/>
      </c>
      <c r="Z50" s="173" t="str">
        <f>IF('Bulk Order Details'!M60="","",MAX(1,'Bulk Order Details'!G60))</f>
        <v/>
      </c>
      <c r="AA50" s="196" t="str">
        <f>IF(Pricing_Details[[#This Row],[Quantity]]="","",Pricing_Details[[#This Row],[Retail Price]]*Pricing_Details[[#This Row],[Quantity]])</f>
        <v/>
      </c>
      <c r="AB50" s="196" t="str">
        <f>IF(Pricing_Details[[#This Row],[Quantity]]="","",Pricing_Details[[#This Row],[Total Discount]]*Pricing_Details[[#This Row],[Quantity]])</f>
        <v/>
      </c>
      <c r="AC50" s="176" t="str">
        <f>IFERROR(ROUND(Pricing_Details[[#This Row],[Actual Price]]*Pricing_Details[[#This Row],[Quantity]],2),"")</f>
        <v/>
      </c>
      <c r="AE50" s="156" t="str">
        <f>IF('Bulk Order Details'!M60="","",VLOOKUP('Bulk Order Details'!K60,Collection[],3)&amp;VLOOKUP('Bulk Order Details'!M60,Collar[],4)&amp;VLOOKUP('Bulk Order Details'!L60,Sleeve[],4))</f>
        <v/>
      </c>
      <c r="AF50" s="156" t="str">
        <f>IF('Bulk Order Details'!M60="","",LOOKUP('Bulk Order Details'!H60,Cut[Display],Cut[Code])&amp;LOOKUP('Bulk Order Details'!I60,#REF!,#REF!)&amp;IF('Bulk Order Details'!J60="","",LOOKUP('Bulk Order Details'!J60,Length[Display],Length[Code])))</f>
        <v/>
      </c>
      <c r="AG50" s="156" t="str">
        <f>IF('Bulk Order Details'!M60="","",IF('Bulk Order Details'!F60="","",'Bulk Order Details'!F60))</f>
        <v/>
      </c>
      <c r="AH50" s="156" t="str">
        <f>IF('Bulk Order Details'!R60="","","-"&amp;LOOKUP('Bulk Order Details'!R60,#REF!,#REF!))</f>
        <v/>
      </c>
      <c r="AI50" s="156" t="str">
        <f>IF('Bulk Order Details'!S60="","","-"&amp;LOOKUP('Bulk Order Details'!S60,#REF!,#REF!))</f>
        <v/>
      </c>
      <c r="AJ50" s="156" t="str">
        <f>IF('Bulk Order Details'!T60="","","-"&amp;LOOKUP('Bulk Order Details'!T60,#REF!,#REF!))</f>
        <v/>
      </c>
      <c r="AK50" s="156" t="str">
        <f>IF('Bulk Order Details'!U60="","","-"&amp;LOOKUP('Bulk Order Details'!U60,#REF!,#REF!))</f>
        <v/>
      </c>
      <c r="AL50" s="156" t="str">
        <f>IF('Bulk Order Details'!V60="","","-"&amp;LOOKUP('Bulk Order Details'!V60,#REF!,#REF!))</f>
        <v/>
      </c>
      <c r="AM50" s="156" t="str">
        <f t="shared" si="2"/>
        <v/>
      </c>
      <c r="AN50" s="156" t="str">
        <f>IF('Bulk Order Details'!N60="","","Na-"&amp;'Bulk Order Details'!N60)</f>
        <v/>
      </c>
      <c r="AO50" s="156" t="str">
        <f>IF('Bulk Order Details'!Q60="","","Fo-"&amp;'Bulk Order Details'!Q60)</f>
        <v/>
      </c>
      <c r="AP50" s="156" t="str">
        <f t="shared" si="3"/>
        <v/>
      </c>
      <c r="AQ50" s="37" t="str">
        <f t="shared" si="4"/>
        <v/>
      </c>
    </row>
    <row r="51" spans="2:43" ht="15" customHeight="1" x14ac:dyDescent="0.2">
      <c r="B51" s="34">
        <f>'Bulk Order Details'!B61</f>
        <v>48</v>
      </c>
      <c r="C51" s="34" t="str">
        <f>IF('Bulk Order Details'!C61="","",'Bulk Order Details'!C61&amp;" "&amp;'Bulk Order Details'!D61)</f>
        <v/>
      </c>
      <c r="D51" s="31" t="str">
        <f>IF('Bulk Order Details'!M61="","",VLOOKUP(1,Price[],3))</f>
        <v/>
      </c>
      <c r="E51" s="29" t="str">
        <f>IF('Bulk Order Details'!M61="","",Summary!$D$9)</f>
        <v/>
      </c>
      <c r="F51" s="16" t="str">
        <f>IF('Bulk Order Details'!I61="","",_xlfn.XLOOKUP('Bulk Order Details'!I61,Size[Display],Size[Price]))</f>
        <v/>
      </c>
      <c r="G51" s="16" t="str">
        <f>IF('Bulk Order Details'!J61="","",_xlfn.XLOOKUP('Bulk Order Details'!J61,Length[Display],Length[Price]))</f>
        <v/>
      </c>
      <c r="H51" s="16" t="str">
        <f>IF('Bulk Order Details'!K61="","",_xlfn.XLOOKUP('Bulk Order Details'!K61,Collection[Display],Collection[Price]))</f>
        <v/>
      </c>
      <c r="I51" s="16" t="str">
        <f>IF('Bulk Order Details'!L61="","",_xlfn.XLOOKUP('Bulk Order Details'!L61,Sleeve[Display],Sleeve[Price]))</f>
        <v/>
      </c>
      <c r="J51" s="16" t="str">
        <f>IF('Bulk Order Details'!M61="","",_xlfn.XLOOKUP('Bulk Order Details'!M61,Collar[Display],Collar[Price]))</f>
        <v/>
      </c>
      <c r="K51" s="16" t="str">
        <f>IF('Bulk Order Details'!N61="","",_xlfn.XLOOKUP("Name",Name[Name],Name[Price]))</f>
        <v/>
      </c>
      <c r="L51" s="18" t="str">
        <f>IFERROR(IF('Bulk Order Details'!R61="","",IF(_xlfn.XLOOKUP('Bulk Order Details'!R61,Logos[Display],Logos[Use])="Flat",_xlfn.XLOOKUP('Bulk Order Details'!R61,Logos[Display],Logos[Flat]),ROUND(_xlfn.XLOOKUP('Bulk Order Details'!R61,Logos[Display],Logos[Pct])*$E51,2))),"")</f>
        <v/>
      </c>
      <c r="M51" s="22" t="str">
        <f>IFERROR(IF('Bulk Order Details'!S61="","",IF(_xlfn.XLOOKUP('Bulk Order Details'!S61,Chest[Display],Chest[Use])="Flat",_xlfn.XLOOKUP('Bulk Order Details'!S61,Chest[Display],Chest[Flat]),ROUND(_xlfn.XLOOKUP('Bulk Order Details'!S61,Chest[Display],Chest[Pct])*$E51,2))),"")</f>
        <v/>
      </c>
      <c r="N51" s="22" t="str">
        <f>IFERROR(IF('Bulk Order Details'!T61="","",IF(_xlfn.XLOOKUP('Bulk Order Details'!T61,Chest[Display],Chest[Use])="Flat",_xlfn.XLOOKUP('Bulk Order Details'!T61,Chest[Display],Chest[Flat]),ROUND(_xlfn.XLOOKUP('Bulk Order Details'!T61,Chest[Display],Chest[Pct])*$E51,2))),"")</f>
        <v/>
      </c>
      <c r="O51" s="22" t="str">
        <f>IFERROR(IF('Bulk Order Details'!U61="","",IF(_xlfn.XLOOKUP('Bulk Order Details'!U61,LeftSleeve[Display],LeftSleeve[Use])="Flat",_xlfn.XLOOKUP('Bulk Order Details'!U61,LeftSleeve[Display],LeftSleeve[Flat]),ROUND(_xlfn.XLOOKUP('Bulk Order Details'!U61,LeftSleeve[Display],LeftSleeve[Pct])*$E51,2))),"")</f>
        <v/>
      </c>
      <c r="P51" s="22" t="str">
        <f>IFERROR(IF('Bulk Order Details'!V61="","",IF(_xlfn.XLOOKUP('Bulk Order Details'!V61,RightSleeve[Display],RightSleeve[Use])="Flat",_xlfn.XLOOKUP('Bulk Order Details'!V61,RightSleeve[Display],RightSleeve[Flat]),ROUND(_xlfn.XLOOKUP('Bulk Order Details'!V61,RightSleeve[Display],RightSleeve[Pct])*$E51,2))),"")</f>
        <v/>
      </c>
      <c r="Q51" s="27" t="str">
        <f>IF('Bulk Order Details'!M61="","",SUM(F51:P51))</f>
        <v/>
      </c>
      <c r="R51" s="24" t="str">
        <f t="shared" si="1"/>
        <v/>
      </c>
      <c r="S51" s="23" t="str">
        <f>IFERROR(MIN(IF(Summary!$D$11="Yes",-J51,0),IF(H51&gt;0,-J51,0)),"")</f>
        <v/>
      </c>
      <c r="T51" s="16" t="str">
        <f>IFERROR(IF(Summary!$D$10="Yes",-K51,""),"")</f>
        <v/>
      </c>
      <c r="U51" s="18" t="str">
        <f>IFERROR(IF(Summary!$D$12="Yes",-L51,""),"")</f>
        <v/>
      </c>
      <c r="V51" s="25" t="str">
        <f>IF('Bulk Order Details'!M61="","",SUM(R51:U51))</f>
        <v/>
      </c>
      <c r="W51" s="36" t="str">
        <f>IF('Bulk Order Details'!M61="","",D51+Q51)</f>
        <v/>
      </c>
      <c r="X51" s="37" t="str">
        <f>IF('Bulk Order Details'!M61="","",D51+Q51+V51)</f>
        <v/>
      </c>
      <c r="Y51" s="168" t="str">
        <f t="shared" si="0"/>
        <v/>
      </c>
      <c r="Z51" s="173" t="str">
        <f>IF('Bulk Order Details'!M61="","",MAX(1,'Bulk Order Details'!G61))</f>
        <v/>
      </c>
      <c r="AA51" s="196" t="str">
        <f>IF(Pricing_Details[[#This Row],[Quantity]]="","",Pricing_Details[[#This Row],[Retail Price]]*Pricing_Details[[#This Row],[Quantity]])</f>
        <v/>
      </c>
      <c r="AB51" s="196" t="str">
        <f>IF(Pricing_Details[[#This Row],[Quantity]]="","",Pricing_Details[[#This Row],[Total Discount]]*Pricing_Details[[#This Row],[Quantity]])</f>
        <v/>
      </c>
      <c r="AC51" s="176" t="str">
        <f>IFERROR(ROUND(Pricing_Details[[#This Row],[Actual Price]]*Pricing_Details[[#This Row],[Quantity]],2),"")</f>
        <v/>
      </c>
      <c r="AE51" s="156" t="str">
        <f>IF('Bulk Order Details'!M61="","",VLOOKUP('Bulk Order Details'!K61,Collection[],3)&amp;VLOOKUP('Bulk Order Details'!M61,Collar[],4)&amp;VLOOKUP('Bulk Order Details'!L61,Sleeve[],4))</f>
        <v/>
      </c>
      <c r="AF51" s="156" t="str">
        <f>IF('Bulk Order Details'!M61="","",LOOKUP('Bulk Order Details'!H61,Cut[Display],Cut[Code])&amp;LOOKUP('Bulk Order Details'!I61,#REF!,#REF!)&amp;IF('Bulk Order Details'!J61="","",LOOKUP('Bulk Order Details'!J61,Length[Display],Length[Code])))</f>
        <v/>
      </c>
      <c r="AG51" s="156" t="str">
        <f>IF('Bulk Order Details'!M61="","",IF('Bulk Order Details'!F61="","",'Bulk Order Details'!F61))</f>
        <v/>
      </c>
      <c r="AH51" s="156" t="str">
        <f>IF('Bulk Order Details'!R61="","","-"&amp;LOOKUP('Bulk Order Details'!R61,#REF!,#REF!))</f>
        <v/>
      </c>
      <c r="AI51" s="156" t="str">
        <f>IF('Bulk Order Details'!S61="","","-"&amp;LOOKUP('Bulk Order Details'!S61,#REF!,#REF!))</f>
        <v/>
      </c>
      <c r="AJ51" s="156" t="str">
        <f>IF('Bulk Order Details'!T61="","","-"&amp;LOOKUP('Bulk Order Details'!T61,#REF!,#REF!))</f>
        <v/>
      </c>
      <c r="AK51" s="156" t="str">
        <f>IF('Bulk Order Details'!U61="","","-"&amp;LOOKUP('Bulk Order Details'!U61,#REF!,#REF!))</f>
        <v/>
      </c>
      <c r="AL51" s="156" t="str">
        <f>IF('Bulk Order Details'!V61="","","-"&amp;LOOKUP('Bulk Order Details'!V61,#REF!,#REF!))</f>
        <v/>
      </c>
      <c r="AM51" s="156" t="str">
        <f t="shared" si="2"/>
        <v/>
      </c>
      <c r="AN51" s="156" t="str">
        <f>IF('Bulk Order Details'!N61="","","Na-"&amp;'Bulk Order Details'!N61)</f>
        <v/>
      </c>
      <c r="AO51" s="156" t="str">
        <f>IF('Bulk Order Details'!Q61="","","Fo-"&amp;'Bulk Order Details'!Q61)</f>
        <v/>
      </c>
      <c r="AP51" s="156" t="str">
        <f t="shared" si="3"/>
        <v/>
      </c>
      <c r="AQ51" s="37" t="str">
        <f t="shared" si="4"/>
        <v/>
      </c>
    </row>
    <row r="52" spans="2:43" ht="15" customHeight="1" x14ac:dyDescent="0.2">
      <c r="B52" s="34">
        <f>'Bulk Order Details'!B62</f>
        <v>49</v>
      </c>
      <c r="C52" s="34" t="str">
        <f>IF('Bulk Order Details'!C62="","",'Bulk Order Details'!C62&amp;" "&amp;'Bulk Order Details'!D62)</f>
        <v/>
      </c>
      <c r="D52" s="31" t="str">
        <f>IF('Bulk Order Details'!M62="","",VLOOKUP(1,Price[],3))</f>
        <v/>
      </c>
      <c r="E52" s="29" t="str">
        <f>IF('Bulk Order Details'!M62="","",Summary!$D$9)</f>
        <v/>
      </c>
      <c r="F52" s="16" t="str">
        <f>IF('Bulk Order Details'!I62="","",_xlfn.XLOOKUP('Bulk Order Details'!I62,Size[Display],Size[Price]))</f>
        <v/>
      </c>
      <c r="G52" s="16" t="str">
        <f>IF('Bulk Order Details'!J62="","",_xlfn.XLOOKUP('Bulk Order Details'!J62,Length[Display],Length[Price]))</f>
        <v/>
      </c>
      <c r="H52" s="16" t="str">
        <f>IF('Bulk Order Details'!K62="","",_xlfn.XLOOKUP('Bulk Order Details'!K62,Collection[Display],Collection[Price]))</f>
        <v/>
      </c>
      <c r="I52" s="16" t="str">
        <f>IF('Bulk Order Details'!L62="","",_xlfn.XLOOKUP('Bulk Order Details'!L62,Sleeve[Display],Sleeve[Price]))</f>
        <v/>
      </c>
      <c r="J52" s="16" t="str">
        <f>IF('Bulk Order Details'!M62="","",_xlfn.XLOOKUP('Bulk Order Details'!M62,Collar[Display],Collar[Price]))</f>
        <v/>
      </c>
      <c r="K52" s="16" t="str">
        <f>IF('Bulk Order Details'!N62="","",_xlfn.XLOOKUP("Name",Name[Name],Name[Price]))</f>
        <v/>
      </c>
      <c r="L52" s="18" t="str">
        <f>IFERROR(IF('Bulk Order Details'!R62="","",IF(_xlfn.XLOOKUP('Bulk Order Details'!R62,Logos[Display],Logos[Use])="Flat",_xlfn.XLOOKUP('Bulk Order Details'!R62,Logos[Display],Logos[Flat]),ROUND(_xlfn.XLOOKUP('Bulk Order Details'!R62,Logos[Display],Logos[Pct])*$E52,2))),"")</f>
        <v/>
      </c>
      <c r="M52" s="22" t="str">
        <f>IFERROR(IF('Bulk Order Details'!S62="","",IF(_xlfn.XLOOKUP('Bulk Order Details'!S62,Chest[Display],Chest[Use])="Flat",_xlfn.XLOOKUP('Bulk Order Details'!S62,Chest[Display],Chest[Flat]),ROUND(_xlfn.XLOOKUP('Bulk Order Details'!S62,Chest[Display],Chest[Pct])*$E52,2))),"")</f>
        <v/>
      </c>
      <c r="N52" s="22" t="str">
        <f>IFERROR(IF('Bulk Order Details'!T62="","",IF(_xlfn.XLOOKUP('Bulk Order Details'!T62,Chest[Display],Chest[Use])="Flat",_xlfn.XLOOKUP('Bulk Order Details'!T62,Chest[Display],Chest[Flat]),ROUND(_xlfn.XLOOKUP('Bulk Order Details'!T62,Chest[Display],Chest[Pct])*$E52,2))),"")</f>
        <v/>
      </c>
      <c r="O52" s="22" t="str">
        <f>IFERROR(IF('Bulk Order Details'!U62="","",IF(_xlfn.XLOOKUP('Bulk Order Details'!U62,LeftSleeve[Display],LeftSleeve[Use])="Flat",_xlfn.XLOOKUP('Bulk Order Details'!U62,LeftSleeve[Display],LeftSleeve[Flat]),ROUND(_xlfn.XLOOKUP('Bulk Order Details'!U62,LeftSleeve[Display],LeftSleeve[Pct])*$E52,2))),"")</f>
        <v/>
      </c>
      <c r="P52" s="22" t="str">
        <f>IFERROR(IF('Bulk Order Details'!V62="","",IF(_xlfn.XLOOKUP('Bulk Order Details'!V62,RightSleeve[Display],RightSleeve[Use])="Flat",_xlfn.XLOOKUP('Bulk Order Details'!V62,RightSleeve[Display],RightSleeve[Flat]),ROUND(_xlfn.XLOOKUP('Bulk Order Details'!V62,RightSleeve[Display],RightSleeve[Pct])*$E52,2))),"")</f>
        <v/>
      </c>
      <c r="Q52" s="27" t="str">
        <f>IF('Bulk Order Details'!M62="","",SUM(F52:P52))</f>
        <v/>
      </c>
      <c r="R52" s="24" t="str">
        <f t="shared" si="1"/>
        <v/>
      </c>
      <c r="S52" s="23" t="str">
        <f>IFERROR(MIN(IF(Summary!$D$11="Yes",-J52,0),IF(H52&gt;0,-J52,0)),"")</f>
        <v/>
      </c>
      <c r="T52" s="16" t="str">
        <f>IFERROR(IF(Summary!$D$10="Yes",-K52,""),"")</f>
        <v/>
      </c>
      <c r="U52" s="18" t="str">
        <f>IFERROR(IF(Summary!$D$12="Yes",-L52,""),"")</f>
        <v/>
      </c>
      <c r="V52" s="25" t="str">
        <f>IF('Bulk Order Details'!M62="","",SUM(R52:U52))</f>
        <v/>
      </c>
      <c r="W52" s="36" t="str">
        <f>IF('Bulk Order Details'!M62="","",D52+Q52)</f>
        <v/>
      </c>
      <c r="X52" s="37" t="str">
        <f>IF('Bulk Order Details'!M62="","",D52+Q52+V52)</f>
        <v/>
      </c>
      <c r="Y52" s="168" t="str">
        <f t="shared" si="0"/>
        <v/>
      </c>
      <c r="Z52" s="173" t="str">
        <f>IF('Bulk Order Details'!M62="","",MAX(1,'Bulk Order Details'!G62))</f>
        <v/>
      </c>
      <c r="AA52" s="196" t="str">
        <f>IF(Pricing_Details[[#This Row],[Quantity]]="","",Pricing_Details[[#This Row],[Retail Price]]*Pricing_Details[[#This Row],[Quantity]])</f>
        <v/>
      </c>
      <c r="AB52" s="196" t="str">
        <f>IF(Pricing_Details[[#This Row],[Quantity]]="","",Pricing_Details[[#This Row],[Total Discount]]*Pricing_Details[[#This Row],[Quantity]])</f>
        <v/>
      </c>
      <c r="AC52" s="176" t="str">
        <f>IFERROR(ROUND(Pricing_Details[[#This Row],[Actual Price]]*Pricing_Details[[#This Row],[Quantity]],2),"")</f>
        <v/>
      </c>
      <c r="AE52" s="156" t="str">
        <f>IF('Bulk Order Details'!M62="","",VLOOKUP('Bulk Order Details'!K62,Collection[],3)&amp;VLOOKUP('Bulk Order Details'!M62,Collar[],4)&amp;VLOOKUP('Bulk Order Details'!L62,Sleeve[],4))</f>
        <v/>
      </c>
      <c r="AF52" s="156" t="str">
        <f>IF('Bulk Order Details'!M62="","",LOOKUP('Bulk Order Details'!H62,Cut[Display],Cut[Code])&amp;LOOKUP('Bulk Order Details'!I62,#REF!,#REF!)&amp;IF('Bulk Order Details'!J62="","",LOOKUP('Bulk Order Details'!J62,Length[Display],Length[Code])))</f>
        <v/>
      </c>
      <c r="AG52" s="156" t="str">
        <f>IF('Bulk Order Details'!M62="","",IF('Bulk Order Details'!F62="","",'Bulk Order Details'!F62))</f>
        <v/>
      </c>
      <c r="AH52" s="156" t="str">
        <f>IF('Bulk Order Details'!R62="","","-"&amp;LOOKUP('Bulk Order Details'!R62,#REF!,#REF!))</f>
        <v/>
      </c>
      <c r="AI52" s="156" t="str">
        <f>IF('Bulk Order Details'!S62="","","-"&amp;LOOKUP('Bulk Order Details'!S62,#REF!,#REF!))</f>
        <v/>
      </c>
      <c r="AJ52" s="156" t="str">
        <f>IF('Bulk Order Details'!T62="","","-"&amp;LOOKUP('Bulk Order Details'!T62,#REF!,#REF!))</f>
        <v/>
      </c>
      <c r="AK52" s="156" t="str">
        <f>IF('Bulk Order Details'!U62="","","-"&amp;LOOKUP('Bulk Order Details'!U62,#REF!,#REF!))</f>
        <v/>
      </c>
      <c r="AL52" s="156" t="str">
        <f>IF('Bulk Order Details'!V62="","","-"&amp;LOOKUP('Bulk Order Details'!V62,#REF!,#REF!))</f>
        <v/>
      </c>
      <c r="AM52" s="156" t="str">
        <f t="shared" si="2"/>
        <v/>
      </c>
      <c r="AN52" s="156" t="str">
        <f>IF('Bulk Order Details'!N62="","","Na-"&amp;'Bulk Order Details'!N62)</f>
        <v/>
      </c>
      <c r="AO52" s="156" t="str">
        <f>IF('Bulk Order Details'!Q62="","","Fo-"&amp;'Bulk Order Details'!Q62)</f>
        <v/>
      </c>
      <c r="AP52" s="156" t="str">
        <f t="shared" si="3"/>
        <v/>
      </c>
      <c r="AQ52" s="37" t="str">
        <f t="shared" si="4"/>
        <v/>
      </c>
    </row>
    <row r="53" spans="2:43" ht="15" customHeight="1" x14ac:dyDescent="0.2">
      <c r="B53" s="34">
        <f>'Bulk Order Details'!B63</f>
        <v>50</v>
      </c>
      <c r="C53" s="34" t="str">
        <f>IF('Bulk Order Details'!C63="","",'Bulk Order Details'!C63&amp;" "&amp;'Bulk Order Details'!D63)</f>
        <v/>
      </c>
      <c r="D53" s="31" t="str">
        <f>IF('Bulk Order Details'!M63="","",VLOOKUP(1,Price[],3))</f>
        <v/>
      </c>
      <c r="E53" s="29" t="str">
        <f>IF('Bulk Order Details'!M63="","",Summary!$D$9)</f>
        <v/>
      </c>
      <c r="F53" s="16" t="str">
        <f>IF('Bulk Order Details'!I63="","",_xlfn.XLOOKUP('Bulk Order Details'!I63,Size[Display],Size[Price]))</f>
        <v/>
      </c>
      <c r="G53" s="16" t="str">
        <f>IF('Bulk Order Details'!J63="","",_xlfn.XLOOKUP('Bulk Order Details'!J63,Length[Display],Length[Price]))</f>
        <v/>
      </c>
      <c r="H53" s="16" t="str">
        <f>IF('Bulk Order Details'!K63="","",_xlfn.XLOOKUP('Bulk Order Details'!K63,Collection[Display],Collection[Price]))</f>
        <v/>
      </c>
      <c r="I53" s="16" t="str">
        <f>IF('Bulk Order Details'!L63="","",_xlfn.XLOOKUP('Bulk Order Details'!L63,Sleeve[Display],Sleeve[Price]))</f>
        <v/>
      </c>
      <c r="J53" s="16" t="str">
        <f>IF('Bulk Order Details'!M63="","",_xlfn.XLOOKUP('Bulk Order Details'!M63,Collar[Display],Collar[Price]))</f>
        <v/>
      </c>
      <c r="K53" s="16" t="str">
        <f>IF('Bulk Order Details'!N63="","",_xlfn.XLOOKUP("Name",Name[Name],Name[Price]))</f>
        <v/>
      </c>
      <c r="L53" s="18" t="str">
        <f>IFERROR(IF('Bulk Order Details'!R63="","",IF(_xlfn.XLOOKUP('Bulk Order Details'!R63,Logos[Display],Logos[Use])="Flat",_xlfn.XLOOKUP('Bulk Order Details'!R63,Logos[Display],Logos[Flat]),ROUND(_xlfn.XLOOKUP('Bulk Order Details'!R63,Logos[Display],Logos[Pct])*$E53,2))),"")</f>
        <v/>
      </c>
      <c r="M53" s="22" t="str">
        <f>IFERROR(IF('Bulk Order Details'!S63="","",IF(_xlfn.XLOOKUP('Bulk Order Details'!S63,Chest[Display],Chest[Use])="Flat",_xlfn.XLOOKUP('Bulk Order Details'!S63,Chest[Display],Chest[Flat]),ROUND(_xlfn.XLOOKUP('Bulk Order Details'!S63,Chest[Display],Chest[Pct])*$E53,2))),"")</f>
        <v/>
      </c>
      <c r="N53" s="22" t="str">
        <f>IFERROR(IF('Bulk Order Details'!T63="","",IF(_xlfn.XLOOKUP('Bulk Order Details'!T63,Chest[Display],Chest[Use])="Flat",_xlfn.XLOOKUP('Bulk Order Details'!T63,Chest[Display],Chest[Flat]),ROUND(_xlfn.XLOOKUP('Bulk Order Details'!T63,Chest[Display],Chest[Pct])*$E53,2))),"")</f>
        <v/>
      </c>
      <c r="O53" s="22" t="str">
        <f>IFERROR(IF('Bulk Order Details'!U63="","",IF(_xlfn.XLOOKUP('Bulk Order Details'!U63,LeftSleeve[Display],LeftSleeve[Use])="Flat",_xlfn.XLOOKUP('Bulk Order Details'!U63,LeftSleeve[Display],LeftSleeve[Flat]),ROUND(_xlfn.XLOOKUP('Bulk Order Details'!U63,LeftSleeve[Display],LeftSleeve[Pct])*$E53,2))),"")</f>
        <v/>
      </c>
      <c r="P53" s="22" t="str">
        <f>IFERROR(IF('Bulk Order Details'!V63="","",IF(_xlfn.XLOOKUP('Bulk Order Details'!V63,RightSleeve[Display],RightSleeve[Use])="Flat",_xlfn.XLOOKUP('Bulk Order Details'!V63,RightSleeve[Display],RightSleeve[Flat]),ROUND(_xlfn.XLOOKUP('Bulk Order Details'!V63,RightSleeve[Display],RightSleeve[Pct])*$E53,2))),"")</f>
        <v/>
      </c>
      <c r="Q53" s="27" t="str">
        <f>IF('Bulk Order Details'!M63="","",SUM(F53:P53))</f>
        <v/>
      </c>
      <c r="R53" s="24" t="str">
        <f t="shared" si="1"/>
        <v/>
      </c>
      <c r="S53" s="23" t="str">
        <f>IFERROR(MIN(IF(Summary!$D$11="Yes",-J53,0),IF(H53&gt;0,-J53,0)),"")</f>
        <v/>
      </c>
      <c r="T53" s="16" t="str">
        <f>IFERROR(IF(Summary!$D$10="Yes",-K53,""),"")</f>
        <v/>
      </c>
      <c r="U53" s="18" t="str">
        <f>IFERROR(IF(Summary!$D$12="Yes",-L53,""),"")</f>
        <v/>
      </c>
      <c r="V53" s="25" t="str">
        <f>IF('Bulk Order Details'!M63="","",SUM(R53:U53))</f>
        <v/>
      </c>
      <c r="W53" s="36" t="str">
        <f>IF('Bulk Order Details'!M63="","",D53+Q53)</f>
        <v/>
      </c>
      <c r="X53" s="37" t="str">
        <f>IF('Bulk Order Details'!M63="","",D53+Q53+V53)</f>
        <v/>
      </c>
      <c r="Y53" s="168" t="str">
        <f t="shared" si="0"/>
        <v/>
      </c>
      <c r="Z53" s="173" t="str">
        <f>IF('Bulk Order Details'!M63="","",MAX(1,'Bulk Order Details'!G63))</f>
        <v/>
      </c>
      <c r="AA53" s="196" t="str">
        <f>IF(Pricing_Details[[#This Row],[Quantity]]="","",Pricing_Details[[#This Row],[Retail Price]]*Pricing_Details[[#This Row],[Quantity]])</f>
        <v/>
      </c>
      <c r="AB53" s="196" t="str">
        <f>IF(Pricing_Details[[#This Row],[Quantity]]="","",Pricing_Details[[#This Row],[Total Discount]]*Pricing_Details[[#This Row],[Quantity]])</f>
        <v/>
      </c>
      <c r="AC53" s="176" t="str">
        <f>IFERROR(ROUND(Pricing_Details[[#This Row],[Actual Price]]*Pricing_Details[[#This Row],[Quantity]],2),"")</f>
        <v/>
      </c>
      <c r="AE53" s="156" t="str">
        <f>IF('Bulk Order Details'!M63="","",VLOOKUP('Bulk Order Details'!K63,Collection[],3)&amp;VLOOKUP('Bulk Order Details'!M63,Collar[],4)&amp;VLOOKUP('Bulk Order Details'!L63,Sleeve[],4))</f>
        <v/>
      </c>
      <c r="AF53" s="156" t="str">
        <f>IF('Bulk Order Details'!M63="","",LOOKUP('Bulk Order Details'!H63,Cut[Display],Cut[Code])&amp;LOOKUP('Bulk Order Details'!I63,#REF!,#REF!)&amp;IF('Bulk Order Details'!J63="","",LOOKUP('Bulk Order Details'!J63,Length[Display],Length[Code])))</f>
        <v/>
      </c>
      <c r="AG53" s="156" t="str">
        <f>IF('Bulk Order Details'!M63="","",IF('Bulk Order Details'!F63="","",'Bulk Order Details'!F63))</f>
        <v/>
      </c>
      <c r="AH53" s="156" t="str">
        <f>IF('Bulk Order Details'!R63="","","-"&amp;LOOKUP('Bulk Order Details'!R63,#REF!,#REF!))</f>
        <v/>
      </c>
      <c r="AI53" s="156" t="str">
        <f>IF('Bulk Order Details'!S63="","","-"&amp;LOOKUP('Bulk Order Details'!S63,#REF!,#REF!))</f>
        <v/>
      </c>
      <c r="AJ53" s="156" t="str">
        <f>IF('Bulk Order Details'!T63="","","-"&amp;LOOKUP('Bulk Order Details'!T63,#REF!,#REF!))</f>
        <v/>
      </c>
      <c r="AK53" s="156" t="str">
        <f>IF('Bulk Order Details'!U63="","","-"&amp;LOOKUP('Bulk Order Details'!U63,#REF!,#REF!))</f>
        <v/>
      </c>
      <c r="AL53" s="156" t="str">
        <f>IF('Bulk Order Details'!V63="","","-"&amp;LOOKUP('Bulk Order Details'!V63,#REF!,#REF!))</f>
        <v/>
      </c>
      <c r="AM53" s="156" t="str">
        <f t="shared" si="2"/>
        <v/>
      </c>
      <c r="AN53" s="156" t="str">
        <f>IF('Bulk Order Details'!N63="","","Na-"&amp;'Bulk Order Details'!N63)</f>
        <v/>
      </c>
      <c r="AO53" s="156" t="str">
        <f>IF('Bulk Order Details'!Q63="","","Fo-"&amp;'Bulk Order Details'!Q63)</f>
        <v/>
      </c>
      <c r="AP53" s="156" t="str">
        <f t="shared" si="3"/>
        <v/>
      </c>
      <c r="AQ53" s="37" t="str">
        <f t="shared" si="4"/>
        <v/>
      </c>
    </row>
    <row r="54" spans="2:43" ht="15" customHeight="1" x14ac:dyDescent="0.2">
      <c r="B54" s="34">
        <f>'Bulk Order Details'!B64</f>
        <v>51</v>
      </c>
      <c r="C54" s="34" t="str">
        <f>IF('Bulk Order Details'!C64="","",'Bulk Order Details'!C64&amp;" "&amp;'Bulk Order Details'!D64)</f>
        <v/>
      </c>
      <c r="D54" s="31" t="str">
        <f>IF('Bulk Order Details'!M64="","",VLOOKUP(1,Price[],3))</f>
        <v/>
      </c>
      <c r="E54" s="29" t="str">
        <f>IF('Bulk Order Details'!M64="","",Summary!$D$9)</f>
        <v/>
      </c>
      <c r="F54" s="16" t="str">
        <f>IF('Bulk Order Details'!I64="","",_xlfn.XLOOKUP('Bulk Order Details'!I64,Size[Display],Size[Price]))</f>
        <v/>
      </c>
      <c r="G54" s="16" t="str">
        <f>IF('Bulk Order Details'!J64="","",_xlfn.XLOOKUP('Bulk Order Details'!J64,Length[Display],Length[Price]))</f>
        <v/>
      </c>
      <c r="H54" s="16" t="str">
        <f>IF('Bulk Order Details'!K64="","",_xlfn.XLOOKUP('Bulk Order Details'!K64,Collection[Display],Collection[Price]))</f>
        <v/>
      </c>
      <c r="I54" s="16" t="str">
        <f>IF('Bulk Order Details'!L64="","",_xlfn.XLOOKUP('Bulk Order Details'!L64,Sleeve[Display],Sleeve[Price]))</f>
        <v/>
      </c>
      <c r="J54" s="16" t="str">
        <f>IF('Bulk Order Details'!M64="","",_xlfn.XLOOKUP('Bulk Order Details'!M64,Collar[Display],Collar[Price]))</f>
        <v/>
      </c>
      <c r="K54" s="16" t="str">
        <f>IF('Bulk Order Details'!N64="","",_xlfn.XLOOKUP("Name",Name[Name],Name[Price]))</f>
        <v/>
      </c>
      <c r="L54" s="18" t="str">
        <f>IFERROR(IF('Bulk Order Details'!R64="","",IF(_xlfn.XLOOKUP('Bulk Order Details'!R64,Logos[Display],Logos[Use])="Flat",_xlfn.XLOOKUP('Bulk Order Details'!R64,Logos[Display],Logos[Flat]),ROUND(_xlfn.XLOOKUP('Bulk Order Details'!R64,Logos[Display],Logos[Pct])*$E54,2))),"")</f>
        <v/>
      </c>
      <c r="M54" s="22" t="str">
        <f>IFERROR(IF('Bulk Order Details'!S64="","",IF(_xlfn.XLOOKUP('Bulk Order Details'!S64,Chest[Display],Chest[Use])="Flat",_xlfn.XLOOKUP('Bulk Order Details'!S64,Chest[Display],Chest[Flat]),ROUND(_xlfn.XLOOKUP('Bulk Order Details'!S64,Chest[Display],Chest[Pct])*$E54,2))),"")</f>
        <v/>
      </c>
      <c r="N54" s="22" t="str">
        <f>IFERROR(IF('Bulk Order Details'!T64="","",IF(_xlfn.XLOOKUP('Bulk Order Details'!T64,Chest[Display],Chest[Use])="Flat",_xlfn.XLOOKUP('Bulk Order Details'!T64,Chest[Display],Chest[Flat]),ROUND(_xlfn.XLOOKUP('Bulk Order Details'!T64,Chest[Display],Chest[Pct])*$E54,2))),"")</f>
        <v/>
      </c>
      <c r="O54" s="22" t="str">
        <f>IFERROR(IF('Bulk Order Details'!U64="","",IF(_xlfn.XLOOKUP('Bulk Order Details'!U64,LeftSleeve[Display],LeftSleeve[Use])="Flat",_xlfn.XLOOKUP('Bulk Order Details'!U64,LeftSleeve[Display],LeftSleeve[Flat]),ROUND(_xlfn.XLOOKUP('Bulk Order Details'!U64,LeftSleeve[Display],LeftSleeve[Pct])*$E54,2))),"")</f>
        <v/>
      </c>
      <c r="P54" s="22" t="str">
        <f>IFERROR(IF('Bulk Order Details'!V64="","",IF(_xlfn.XLOOKUP('Bulk Order Details'!V64,RightSleeve[Display],RightSleeve[Use])="Flat",_xlfn.XLOOKUP('Bulk Order Details'!V64,RightSleeve[Display],RightSleeve[Flat]),ROUND(_xlfn.XLOOKUP('Bulk Order Details'!V64,RightSleeve[Display],RightSleeve[Pct])*$E54,2))),"")</f>
        <v/>
      </c>
      <c r="Q54" s="27" t="str">
        <f>IF('Bulk Order Details'!M64="","",SUM(F54:P54))</f>
        <v/>
      </c>
      <c r="R54" s="24" t="str">
        <f t="shared" si="1"/>
        <v/>
      </c>
      <c r="S54" s="23" t="str">
        <f>IFERROR(MIN(IF(Summary!$D$11="Yes",-J54,0),IF(H54&gt;0,-J54,0)),"")</f>
        <v/>
      </c>
      <c r="T54" s="16" t="str">
        <f>IFERROR(IF(Summary!$D$10="Yes",-K54,""),"")</f>
        <v/>
      </c>
      <c r="U54" s="18" t="str">
        <f>IFERROR(IF(Summary!$D$12="Yes",-L54,""),"")</f>
        <v/>
      </c>
      <c r="V54" s="25" t="str">
        <f>IF('Bulk Order Details'!M64="","",SUM(R54:U54))</f>
        <v/>
      </c>
      <c r="W54" s="36" t="str">
        <f>IF('Bulk Order Details'!M64="","",D54+Q54)</f>
        <v/>
      </c>
      <c r="X54" s="37" t="str">
        <f>IF('Bulk Order Details'!M64="","",D54+Q54+V54)</f>
        <v/>
      </c>
      <c r="Y54" s="168" t="str">
        <f t="shared" si="0"/>
        <v/>
      </c>
      <c r="Z54" s="173" t="str">
        <f>IF('Bulk Order Details'!M64="","",MAX(1,'Bulk Order Details'!G64))</f>
        <v/>
      </c>
      <c r="AA54" s="196" t="str">
        <f>IF(Pricing_Details[[#This Row],[Quantity]]="","",Pricing_Details[[#This Row],[Retail Price]]*Pricing_Details[[#This Row],[Quantity]])</f>
        <v/>
      </c>
      <c r="AB54" s="196" t="str">
        <f>IF(Pricing_Details[[#This Row],[Quantity]]="","",Pricing_Details[[#This Row],[Total Discount]]*Pricing_Details[[#This Row],[Quantity]])</f>
        <v/>
      </c>
      <c r="AC54" s="176" t="str">
        <f>IFERROR(ROUND(Pricing_Details[[#This Row],[Actual Price]]*Pricing_Details[[#This Row],[Quantity]],2),"")</f>
        <v/>
      </c>
      <c r="AE54" s="156" t="str">
        <f>IF('Bulk Order Details'!M64="","",VLOOKUP('Bulk Order Details'!K64,Collection[],3)&amp;VLOOKUP('Bulk Order Details'!M64,Collar[],4)&amp;VLOOKUP('Bulk Order Details'!L64,Sleeve[],4))</f>
        <v/>
      </c>
      <c r="AF54" s="156" t="str">
        <f>IF('Bulk Order Details'!M64="","",LOOKUP('Bulk Order Details'!H64,Cut[Display],Cut[Code])&amp;LOOKUP('Bulk Order Details'!I64,#REF!,#REF!)&amp;IF('Bulk Order Details'!J64="","",LOOKUP('Bulk Order Details'!J64,Length[Display],Length[Code])))</f>
        <v/>
      </c>
      <c r="AG54" s="156" t="str">
        <f>IF('Bulk Order Details'!M64="","",IF('Bulk Order Details'!F64="","",'Bulk Order Details'!F64))</f>
        <v/>
      </c>
      <c r="AH54" s="156" t="str">
        <f>IF('Bulk Order Details'!R64="","","-"&amp;LOOKUP('Bulk Order Details'!R64,#REF!,#REF!))</f>
        <v/>
      </c>
      <c r="AI54" s="156" t="str">
        <f>IF('Bulk Order Details'!S64="","","-"&amp;LOOKUP('Bulk Order Details'!S64,#REF!,#REF!))</f>
        <v/>
      </c>
      <c r="AJ54" s="156" t="str">
        <f>IF('Bulk Order Details'!T64="","","-"&amp;LOOKUP('Bulk Order Details'!T64,#REF!,#REF!))</f>
        <v/>
      </c>
      <c r="AK54" s="156" t="str">
        <f>IF('Bulk Order Details'!U64="","","-"&amp;LOOKUP('Bulk Order Details'!U64,#REF!,#REF!))</f>
        <v/>
      </c>
      <c r="AL54" s="156" t="str">
        <f>IF('Bulk Order Details'!V64="","","-"&amp;LOOKUP('Bulk Order Details'!V64,#REF!,#REF!))</f>
        <v/>
      </c>
      <c r="AM54" s="156" t="str">
        <f t="shared" si="2"/>
        <v/>
      </c>
      <c r="AN54" s="156" t="str">
        <f>IF('Bulk Order Details'!N64="","","Na-"&amp;'Bulk Order Details'!N64)</f>
        <v/>
      </c>
      <c r="AO54" s="156" t="str">
        <f>IF('Bulk Order Details'!Q64="","","Fo-"&amp;'Bulk Order Details'!Q64)</f>
        <v/>
      </c>
      <c r="AP54" s="156" t="str">
        <f t="shared" si="3"/>
        <v/>
      </c>
      <c r="AQ54" s="37" t="str">
        <f t="shared" si="4"/>
        <v/>
      </c>
    </row>
    <row r="55" spans="2:43" ht="15" customHeight="1" x14ac:dyDescent="0.2">
      <c r="B55" s="34">
        <f>'Bulk Order Details'!B65</f>
        <v>52</v>
      </c>
      <c r="C55" s="34" t="str">
        <f>IF('Bulk Order Details'!C65="","",'Bulk Order Details'!C65&amp;" "&amp;'Bulk Order Details'!D65)</f>
        <v/>
      </c>
      <c r="D55" s="31" t="str">
        <f>IF('Bulk Order Details'!M65="","",VLOOKUP(1,Price[],3))</f>
        <v/>
      </c>
      <c r="E55" s="29" t="str">
        <f>IF('Bulk Order Details'!M65="","",Summary!$D$9)</f>
        <v/>
      </c>
      <c r="F55" s="16" t="str">
        <f>IF('Bulk Order Details'!I65="","",_xlfn.XLOOKUP('Bulk Order Details'!I65,Size[Display],Size[Price]))</f>
        <v/>
      </c>
      <c r="G55" s="16" t="str">
        <f>IF('Bulk Order Details'!J65="","",_xlfn.XLOOKUP('Bulk Order Details'!J65,Length[Display],Length[Price]))</f>
        <v/>
      </c>
      <c r="H55" s="16" t="str">
        <f>IF('Bulk Order Details'!K65="","",_xlfn.XLOOKUP('Bulk Order Details'!K65,Collection[Display],Collection[Price]))</f>
        <v/>
      </c>
      <c r="I55" s="16" t="str">
        <f>IF('Bulk Order Details'!L65="","",_xlfn.XLOOKUP('Bulk Order Details'!L65,Sleeve[Display],Sleeve[Price]))</f>
        <v/>
      </c>
      <c r="J55" s="16" t="str">
        <f>IF('Bulk Order Details'!M65="","",_xlfn.XLOOKUP('Bulk Order Details'!M65,Collar[Display],Collar[Price]))</f>
        <v/>
      </c>
      <c r="K55" s="16" t="str">
        <f>IF('Bulk Order Details'!N65="","",_xlfn.XLOOKUP("Name",Name[Name],Name[Price]))</f>
        <v/>
      </c>
      <c r="L55" s="18" t="str">
        <f>IFERROR(IF('Bulk Order Details'!R65="","",IF(_xlfn.XLOOKUP('Bulk Order Details'!R65,Logos[Display],Logos[Use])="Flat",_xlfn.XLOOKUP('Bulk Order Details'!R65,Logos[Display],Logos[Flat]),ROUND(_xlfn.XLOOKUP('Bulk Order Details'!R65,Logos[Display],Logos[Pct])*$E55,2))),"")</f>
        <v/>
      </c>
      <c r="M55" s="22" t="str">
        <f>IFERROR(IF('Bulk Order Details'!S65="","",IF(_xlfn.XLOOKUP('Bulk Order Details'!S65,Chest[Display],Chest[Use])="Flat",_xlfn.XLOOKUP('Bulk Order Details'!S65,Chest[Display],Chest[Flat]),ROUND(_xlfn.XLOOKUP('Bulk Order Details'!S65,Chest[Display],Chest[Pct])*$E55,2))),"")</f>
        <v/>
      </c>
      <c r="N55" s="22" t="str">
        <f>IFERROR(IF('Bulk Order Details'!T65="","",IF(_xlfn.XLOOKUP('Bulk Order Details'!T65,Chest[Display],Chest[Use])="Flat",_xlfn.XLOOKUP('Bulk Order Details'!T65,Chest[Display],Chest[Flat]),ROUND(_xlfn.XLOOKUP('Bulk Order Details'!T65,Chest[Display],Chest[Pct])*$E55,2))),"")</f>
        <v/>
      </c>
      <c r="O55" s="22" t="str">
        <f>IFERROR(IF('Bulk Order Details'!U65="","",IF(_xlfn.XLOOKUP('Bulk Order Details'!U65,LeftSleeve[Display],LeftSleeve[Use])="Flat",_xlfn.XLOOKUP('Bulk Order Details'!U65,LeftSleeve[Display],LeftSleeve[Flat]),ROUND(_xlfn.XLOOKUP('Bulk Order Details'!U65,LeftSleeve[Display],LeftSleeve[Pct])*$E55,2))),"")</f>
        <v/>
      </c>
      <c r="P55" s="22" t="str">
        <f>IFERROR(IF('Bulk Order Details'!V65="","",IF(_xlfn.XLOOKUP('Bulk Order Details'!V65,RightSleeve[Display],RightSleeve[Use])="Flat",_xlfn.XLOOKUP('Bulk Order Details'!V65,RightSleeve[Display],RightSleeve[Flat]),ROUND(_xlfn.XLOOKUP('Bulk Order Details'!V65,RightSleeve[Display],RightSleeve[Pct])*$E55,2))),"")</f>
        <v/>
      </c>
      <c r="Q55" s="27" t="str">
        <f>IF('Bulk Order Details'!M65="","",SUM(F55:P55))</f>
        <v/>
      </c>
      <c r="R55" s="24" t="str">
        <f t="shared" si="1"/>
        <v/>
      </c>
      <c r="S55" s="23" t="str">
        <f>IFERROR(MIN(IF(Summary!$D$11="Yes",-J55,0),IF(H55&gt;0,-J55,0)),"")</f>
        <v/>
      </c>
      <c r="T55" s="16" t="str">
        <f>IFERROR(IF(Summary!$D$10="Yes",-K55,""),"")</f>
        <v/>
      </c>
      <c r="U55" s="18" t="str">
        <f>IFERROR(IF(Summary!$D$12="Yes",-L55,""),"")</f>
        <v/>
      </c>
      <c r="V55" s="25" t="str">
        <f>IF('Bulk Order Details'!M65="","",SUM(R55:U55))</f>
        <v/>
      </c>
      <c r="W55" s="36" t="str">
        <f>IF('Bulk Order Details'!M65="","",D55+Q55)</f>
        <v/>
      </c>
      <c r="X55" s="37" t="str">
        <f>IF('Bulk Order Details'!M65="","",D55+Q55+V55)</f>
        <v/>
      </c>
      <c r="Y55" s="168" t="str">
        <f t="shared" si="0"/>
        <v/>
      </c>
      <c r="Z55" s="173" t="str">
        <f>IF('Bulk Order Details'!M65="","",MAX(1,'Bulk Order Details'!G65))</f>
        <v/>
      </c>
      <c r="AA55" s="196" t="str">
        <f>IF(Pricing_Details[[#This Row],[Quantity]]="","",Pricing_Details[[#This Row],[Retail Price]]*Pricing_Details[[#This Row],[Quantity]])</f>
        <v/>
      </c>
      <c r="AB55" s="196" t="str">
        <f>IF(Pricing_Details[[#This Row],[Quantity]]="","",Pricing_Details[[#This Row],[Total Discount]]*Pricing_Details[[#This Row],[Quantity]])</f>
        <v/>
      </c>
      <c r="AC55" s="176" t="str">
        <f>IFERROR(ROUND(Pricing_Details[[#This Row],[Actual Price]]*Pricing_Details[[#This Row],[Quantity]],2),"")</f>
        <v/>
      </c>
      <c r="AE55" s="156" t="str">
        <f>IF('Bulk Order Details'!M65="","",VLOOKUP('Bulk Order Details'!K65,Collection[],3)&amp;VLOOKUP('Bulk Order Details'!M65,Collar[],4)&amp;VLOOKUP('Bulk Order Details'!L65,Sleeve[],4))</f>
        <v/>
      </c>
      <c r="AF55" s="156" t="str">
        <f>IF('Bulk Order Details'!M65="","",LOOKUP('Bulk Order Details'!H65,Cut[Display],Cut[Code])&amp;LOOKUP('Bulk Order Details'!I65,#REF!,#REF!)&amp;IF('Bulk Order Details'!J65="","",LOOKUP('Bulk Order Details'!J65,Length[Display],Length[Code])))</f>
        <v/>
      </c>
      <c r="AG55" s="156" t="str">
        <f>IF('Bulk Order Details'!M65="","",IF('Bulk Order Details'!F65="","",'Bulk Order Details'!F65))</f>
        <v/>
      </c>
      <c r="AH55" s="156" t="str">
        <f>IF('Bulk Order Details'!R65="","","-"&amp;LOOKUP('Bulk Order Details'!R65,#REF!,#REF!))</f>
        <v/>
      </c>
      <c r="AI55" s="156" t="str">
        <f>IF('Bulk Order Details'!S65="","","-"&amp;LOOKUP('Bulk Order Details'!S65,#REF!,#REF!))</f>
        <v/>
      </c>
      <c r="AJ55" s="156" t="str">
        <f>IF('Bulk Order Details'!T65="","","-"&amp;LOOKUP('Bulk Order Details'!T65,#REF!,#REF!))</f>
        <v/>
      </c>
      <c r="AK55" s="156" t="str">
        <f>IF('Bulk Order Details'!U65="","","-"&amp;LOOKUP('Bulk Order Details'!U65,#REF!,#REF!))</f>
        <v/>
      </c>
      <c r="AL55" s="156" t="str">
        <f>IF('Bulk Order Details'!V65="","","-"&amp;LOOKUP('Bulk Order Details'!V65,#REF!,#REF!))</f>
        <v/>
      </c>
      <c r="AM55" s="156" t="str">
        <f t="shared" si="2"/>
        <v/>
      </c>
      <c r="AN55" s="156" t="str">
        <f>IF('Bulk Order Details'!N65="","","Na-"&amp;'Bulk Order Details'!N65)</f>
        <v/>
      </c>
      <c r="AO55" s="156" t="str">
        <f>IF('Bulk Order Details'!Q65="","","Fo-"&amp;'Bulk Order Details'!Q65)</f>
        <v/>
      </c>
      <c r="AP55" s="156" t="str">
        <f t="shared" si="3"/>
        <v/>
      </c>
      <c r="AQ55" s="37" t="str">
        <f t="shared" si="4"/>
        <v/>
      </c>
    </row>
    <row r="56" spans="2:43" ht="15" customHeight="1" x14ac:dyDescent="0.2">
      <c r="B56" s="34">
        <f>'Bulk Order Details'!B66</f>
        <v>53</v>
      </c>
      <c r="C56" s="34" t="str">
        <f>IF('Bulk Order Details'!C66="","",'Bulk Order Details'!C66&amp;" "&amp;'Bulk Order Details'!D66)</f>
        <v/>
      </c>
      <c r="D56" s="31" t="str">
        <f>IF('Bulk Order Details'!M66="","",VLOOKUP(1,Price[],3))</f>
        <v/>
      </c>
      <c r="E56" s="29" t="str">
        <f>IF('Bulk Order Details'!M66="","",Summary!$D$9)</f>
        <v/>
      </c>
      <c r="F56" s="16" t="str">
        <f>IF('Bulk Order Details'!I66="","",_xlfn.XLOOKUP('Bulk Order Details'!I66,Size[Display],Size[Price]))</f>
        <v/>
      </c>
      <c r="G56" s="16" t="str">
        <f>IF('Bulk Order Details'!J66="","",_xlfn.XLOOKUP('Bulk Order Details'!J66,Length[Display],Length[Price]))</f>
        <v/>
      </c>
      <c r="H56" s="16" t="str">
        <f>IF('Bulk Order Details'!K66="","",_xlfn.XLOOKUP('Bulk Order Details'!K66,Collection[Display],Collection[Price]))</f>
        <v/>
      </c>
      <c r="I56" s="16" t="str">
        <f>IF('Bulk Order Details'!L66="","",_xlfn.XLOOKUP('Bulk Order Details'!L66,Sleeve[Display],Sleeve[Price]))</f>
        <v/>
      </c>
      <c r="J56" s="16" t="str">
        <f>IF('Bulk Order Details'!M66="","",_xlfn.XLOOKUP('Bulk Order Details'!M66,Collar[Display],Collar[Price]))</f>
        <v/>
      </c>
      <c r="K56" s="16" t="str">
        <f>IF('Bulk Order Details'!N66="","",_xlfn.XLOOKUP("Name",Name[Name],Name[Price]))</f>
        <v/>
      </c>
      <c r="L56" s="18" t="str">
        <f>IFERROR(IF('Bulk Order Details'!R66="","",IF(_xlfn.XLOOKUP('Bulk Order Details'!R66,Logos[Display],Logos[Use])="Flat",_xlfn.XLOOKUP('Bulk Order Details'!R66,Logos[Display],Logos[Flat]),ROUND(_xlfn.XLOOKUP('Bulk Order Details'!R66,Logos[Display],Logos[Pct])*$E56,2))),"")</f>
        <v/>
      </c>
      <c r="M56" s="22" t="str">
        <f>IFERROR(IF('Bulk Order Details'!S66="","",IF(_xlfn.XLOOKUP('Bulk Order Details'!S66,Chest[Display],Chest[Use])="Flat",_xlfn.XLOOKUP('Bulk Order Details'!S66,Chest[Display],Chest[Flat]),ROUND(_xlfn.XLOOKUP('Bulk Order Details'!S66,Chest[Display],Chest[Pct])*$E56,2))),"")</f>
        <v/>
      </c>
      <c r="N56" s="22" t="str">
        <f>IFERROR(IF('Bulk Order Details'!T66="","",IF(_xlfn.XLOOKUP('Bulk Order Details'!T66,Chest[Display],Chest[Use])="Flat",_xlfn.XLOOKUP('Bulk Order Details'!T66,Chest[Display],Chest[Flat]),ROUND(_xlfn.XLOOKUP('Bulk Order Details'!T66,Chest[Display],Chest[Pct])*$E56,2))),"")</f>
        <v/>
      </c>
      <c r="O56" s="22" t="str">
        <f>IFERROR(IF('Bulk Order Details'!U66="","",IF(_xlfn.XLOOKUP('Bulk Order Details'!U66,LeftSleeve[Display],LeftSleeve[Use])="Flat",_xlfn.XLOOKUP('Bulk Order Details'!U66,LeftSleeve[Display],LeftSleeve[Flat]),ROUND(_xlfn.XLOOKUP('Bulk Order Details'!U66,LeftSleeve[Display],LeftSleeve[Pct])*$E56,2))),"")</f>
        <v/>
      </c>
      <c r="P56" s="22" t="str">
        <f>IFERROR(IF('Bulk Order Details'!V66="","",IF(_xlfn.XLOOKUP('Bulk Order Details'!V66,RightSleeve[Display],RightSleeve[Use])="Flat",_xlfn.XLOOKUP('Bulk Order Details'!V66,RightSleeve[Display],RightSleeve[Flat]),ROUND(_xlfn.XLOOKUP('Bulk Order Details'!V66,RightSleeve[Display],RightSleeve[Pct])*$E56,2))),"")</f>
        <v/>
      </c>
      <c r="Q56" s="27" t="str">
        <f>IF('Bulk Order Details'!M66="","",SUM(F56:P56))</f>
        <v/>
      </c>
      <c r="R56" s="24" t="str">
        <f t="shared" si="1"/>
        <v/>
      </c>
      <c r="S56" s="23" t="str">
        <f>IFERROR(MIN(IF(Summary!$D$11="Yes",-J56,0),IF(H56&gt;0,-J56,0)),"")</f>
        <v/>
      </c>
      <c r="T56" s="16" t="str">
        <f>IFERROR(IF(Summary!$D$10="Yes",-K56,""),"")</f>
        <v/>
      </c>
      <c r="U56" s="18" t="str">
        <f>IFERROR(IF(Summary!$D$12="Yes",-L56,""),"")</f>
        <v/>
      </c>
      <c r="V56" s="25" t="str">
        <f>IF('Bulk Order Details'!M66="","",SUM(R56:U56))</f>
        <v/>
      </c>
      <c r="W56" s="36" t="str">
        <f>IF('Bulk Order Details'!M66="","",D56+Q56)</f>
        <v/>
      </c>
      <c r="X56" s="37" t="str">
        <f>IF('Bulk Order Details'!M66="","",D56+Q56+V56)</f>
        <v/>
      </c>
      <c r="Y56" s="168" t="str">
        <f t="shared" si="0"/>
        <v/>
      </c>
      <c r="Z56" s="173" t="str">
        <f>IF('Bulk Order Details'!M66="","",MAX(1,'Bulk Order Details'!G66))</f>
        <v/>
      </c>
      <c r="AA56" s="196" t="str">
        <f>IF(Pricing_Details[[#This Row],[Quantity]]="","",Pricing_Details[[#This Row],[Retail Price]]*Pricing_Details[[#This Row],[Quantity]])</f>
        <v/>
      </c>
      <c r="AB56" s="196" t="str">
        <f>IF(Pricing_Details[[#This Row],[Quantity]]="","",Pricing_Details[[#This Row],[Total Discount]]*Pricing_Details[[#This Row],[Quantity]])</f>
        <v/>
      </c>
      <c r="AC56" s="176" t="str">
        <f>IFERROR(ROUND(Pricing_Details[[#This Row],[Actual Price]]*Pricing_Details[[#This Row],[Quantity]],2),"")</f>
        <v/>
      </c>
      <c r="AE56" s="156" t="str">
        <f>IF('Bulk Order Details'!M66="","",VLOOKUP('Bulk Order Details'!K66,Collection[],3)&amp;VLOOKUP('Bulk Order Details'!M66,Collar[],4)&amp;VLOOKUP('Bulk Order Details'!L66,Sleeve[],4))</f>
        <v/>
      </c>
      <c r="AF56" s="156" t="str">
        <f>IF('Bulk Order Details'!M66="","",LOOKUP('Bulk Order Details'!H66,Cut[Display],Cut[Code])&amp;LOOKUP('Bulk Order Details'!I66,#REF!,#REF!)&amp;IF('Bulk Order Details'!J66="","",LOOKUP('Bulk Order Details'!J66,Length[Display],Length[Code])))</f>
        <v/>
      </c>
      <c r="AG56" s="156" t="str">
        <f>IF('Bulk Order Details'!M66="","",IF('Bulk Order Details'!F66="","",'Bulk Order Details'!F66))</f>
        <v/>
      </c>
      <c r="AH56" s="156" t="str">
        <f>IF('Bulk Order Details'!R66="","","-"&amp;LOOKUP('Bulk Order Details'!R66,#REF!,#REF!))</f>
        <v/>
      </c>
      <c r="AI56" s="156" t="str">
        <f>IF('Bulk Order Details'!S66="","","-"&amp;LOOKUP('Bulk Order Details'!S66,#REF!,#REF!))</f>
        <v/>
      </c>
      <c r="AJ56" s="156" t="str">
        <f>IF('Bulk Order Details'!T66="","","-"&amp;LOOKUP('Bulk Order Details'!T66,#REF!,#REF!))</f>
        <v/>
      </c>
      <c r="AK56" s="156" t="str">
        <f>IF('Bulk Order Details'!U66="","","-"&amp;LOOKUP('Bulk Order Details'!U66,#REF!,#REF!))</f>
        <v/>
      </c>
      <c r="AL56" s="156" t="str">
        <f>IF('Bulk Order Details'!V66="","","-"&amp;LOOKUP('Bulk Order Details'!V66,#REF!,#REF!))</f>
        <v/>
      </c>
      <c r="AM56" s="156" t="str">
        <f t="shared" si="2"/>
        <v/>
      </c>
      <c r="AN56" s="156" t="str">
        <f>IF('Bulk Order Details'!N66="","","Na-"&amp;'Bulk Order Details'!N66)</f>
        <v/>
      </c>
      <c r="AO56" s="156" t="str">
        <f>IF('Bulk Order Details'!Q66="","","Fo-"&amp;'Bulk Order Details'!Q66)</f>
        <v/>
      </c>
      <c r="AP56" s="156" t="str">
        <f t="shared" si="3"/>
        <v/>
      </c>
      <c r="AQ56" s="37" t="str">
        <f t="shared" si="4"/>
        <v/>
      </c>
    </row>
    <row r="57" spans="2:43" ht="15" customHeight="1" x14ac:dyDescent="0.2">
      <c r="B57" s="34">
        <f>'Bulk Order Details'!B67</f>
        <v>54</v>
      </c>
      <c r="C57" s="34" t="str">
        <f>IF('Bulk Order Details'!C67="","",'Bulk Order Details'!C67&amp;" "&amp;'Bulk Order Details'!D67)</f>
        <v/>
      </c>
      <c r="D57" s="31" t="str">
        <f>IF('Bulk Order Details'!M67="","",VLOOKUP(1,Price[],3))</f>
        <v/>
      </c>
      <c r="E57" s="29" t="str">
        <f>IF('Bulk Order Details'!M67="","",Summary!$D$9)</f>
        <v/>
      </c>
      <c r="F57" s="16" t="str">
        <f>IF('Bulk Order Details'!I67="","",_xlfn.XLOOKUP('Bulk Order Details'!I67,Size[Display],Size[Price]))</f>
        <v/>
      </c>
      <c r="G57" s="16" t="str">
        <f>IF('Bulk Order Details'!J67="","",_xlfn.XLOOKUP('Bulk Order Details'!J67,Length[Display],Length[Price]))</f>
        <v/>
      </c>
      <c r="H57" s="16" t="str">
        <f>IF('Bulk Order Details'!K67="","",_xlfn.XLOOKUP('Bulk Order Details'!K67,Collection[Display],Collection[Price]))</f>
        <v/>
      </c>
      <c r="I57" s="16" t="str">
        <f>IF('Bulk Order Details'!L67="","",_xlfn.XLOOKUP('Bulk Order Details'!L67,Sleeve[Display],Sleeve[Price]))</f>
        <v/>
      </c>
      <c r="J57" s="16" t="str">
        <f>IF('Bulk Order Details'!M67="","",_xlfn.XLOOKUP('Bulk Order Details'!M67,Collar[Display],Collar[Price]))</f>
        <v/>
      </c>
      <c r="K57" s="16" t="str">
        <f>IF('Bulk Order Details'!N67="","",_xlfn.XLOOKUP("Name",Name[Name],Name[Price]))</f>
        <v/>
      </c>
      <c r="L57" s="18" t="str">
        <f>IFERROR(IF('Bulk Order Details'!R67="","",IF(_xlfn.XLOOKUP('Bulk Order Details'!R67,Logos[Display],Logos[Use])="Flat",_xlfn.XLOOKUP('Bulk Order Details'!R67,Logos[Display],Logos[Flat]),ROUND(_xlfn.XLOOKUP('Bulk Order Details'!R67,Logos[Display],Logos[Pct])*$E57,2))),"")</f>
        <v/>
      </c>
      <c r="M57" s="22" t="str">
        <f>IFERROR(IF('Bulk Order Details'!S67="","",IF(_xlfn.XLOOKUP('Bulk Order Details'!S67,Chest[Display],Chest[Use])="Flat",_xlfn.XLOOKUP('Bulk Order Details'!S67,Chest[Display],Chest[Flat]),ROUND(_xlfn.XLOOKUP('Bulk Order Details'!S67,Chest[Display],Chest[Pct])*$E57,2))),"")</f>
        <v/>
      </c>
      <c r="N57" s="22" t="str">
        <f>IFERROR(IF('Bulk Order Details'!T67="","",IF(_xlfn.XLOOKUP('Bulk Order Details'!T67,Chest[Display],Chest[Use])="Flat",_xlfn.XLOOKUP('Bulk Order Details'!T67,Chest[Display],Chest[Flat]),ROUND(_xlfn.XLOOKUP('Bulk Order Details'!T67,Chest[Display],Chest[Pct])*$E57,2))),"")</f>
        <v/>
      </c>
      <c r="O57" s="22" t="str">
        <f>IFERROR(IF('Bulk Order Details'!U67="","",IF(_xlfn.XLOOKUP('Bulk Order Details'!U67,LeftSleeve[Display],LeftSleeve[Use])="Flat",_xlfn.XLOOKUP('Bulk Order Details'!U67,LeftSleeve[Display],LeftSleeve[Flat]),ROUND(_xlfn.XLOOKUP('Bulk Order Details'!U67,LeftSleeve[Display],LeftSleeve[Pct])*$E57,2))),"")</f>
        <v/>
      </c>
      <c r="P57" s="22" t="str">
        <f>IFERROR(IF('Bulk Order Details'!V67="","",IF(_xlfn.XLOOKUP('Bulk Order Details'!V67,RightSleeve[Display],RightSleeve[Use])="Flat",_xlfn.XLOOKUP('Bulk Order Details'!V67,RightSleeve[Display],RightSleeve[Flat]),ROUND(_xlfn.XLOOKUP('Bulk Order Details'!V67,RightSleeve[Display],RightSleeve[Pct])*$E57,2))),"")</f>
        <v/>
      </c>
      <c r="Q57" s="27" t="str">
        <f>IF('Bulk Order Details'!M67="","",SUM(F57:P57))</f>
        <v/>
      </c>
      <c r="R57" s="24" t="str">
        <f t="shared" si="1"/>
        <v/>
      </c>
      <c r="S57" s="23" t="str">
        <f>IFERROR(MIN(IF(Summary!$D$11="Yes",-J57,0),IF(H57&gt;0,-J57,0)),"")</f>
        <v/>
      </c>
      <c r="T57" s="16" t="str">
        <f>IFERROR(IF(Summary!$D$10="Yes",-K57,""),"")</f>
        <v/>
      </c>
      <c r="U57" s="18" t="str">
        <f>IFERROR(IF(Summary!$D$12="Yes",-L57,""),"")</f>
        <v/>
      </c>
      <c r="V57" s="25" t="str">
        <f>IF('Bulk Order Details'!M67="","",SUM(R57:U57))</f>
        <v/>
      </c>
      <c r="W57" s="36" t="str">
        <f>IF('Bulk Order Details'!M67="","",D57+Q57)</f>
        <v/>
      </c>
      <c r="X57" s="37" t="str">
        <f>IF('Bulk Order Details'!M67="","",D57+Q57+V57)</f>
        <v/>
      </c>
      <c r="Y57" s="168" t="str">
        <f t="shared" si="0"/>
        <v/>
      </c>
      <c r="Z57" s="173" t="str">
        <f>IF('Bulk Order Details'!M67="","",MAX(1,'Bulk Order Details'!G67))</f>
        <v/>
      </c>
      <c r="AA57" s="196" t="str">
        <f>IF(Pricing_Details[[#This Row],[Quantity]]="","",Pricing_Details[[#This Row],[Retail Price]]*Pricing_Details[[#This Row],[Quantity]])</f>
        <v/>
      </c>
      <c r="AB57" s="196" t="str">
        <f>IF(Pricing_Details[[#This Row],[Quantity]]="","",Pricing_Details[[#This Row],[Total Discount]]*Pricing_Details[[#This Row],[Quantity]])</f>
        <v/>
      </c>
      <c r="AC57" s="176" t="str">
        <f>IFERROR(ROUND(Pricing_Details[[#This Row],[Actual Price]]*Pricing_Details[[#This Row],[Quantity]],2),"")</f>
        <v/>
      </c>
      <c r="AE57" s="156" t="str">
        <f>IF('Bulk Order Details'!M67="","",VLOOKUP('Bulk Order Details'!K67,Collection[],3)&amp;VLOOKUP('Bulk Order Details'!M67,Collar[],4)&amp;VLOOKUP('Bulk Order Details'!L67,Sleeve[],4))</f>
        <v/>
      </c>
      <c r="AF57" s="156" t="str">
        <f>IF('Bulk Order Details'!M67="","",LOOKUP('Bulk Order Details'!H67,Cut[Display],Cut[Code])&amp;LOOKUP('Bulk Order Details'!I67,#REF!,#REF!)&amp;IF('Bulk Order Details'!J67="","",LOOKUP('Bulk Order Details'!J67,Length[Display],Length[Code])))</f>
        <v/>
      </c>
      <c r="AG57" s="156" t="str">
        <f>IF('Bulk Order Details'!M67="","",IF('Bulk Order Details'!F67="","",'Bulk Order Details'!F67))</f>
        <v/>
      </c>
      <c r="AH57" s="156" t="str">
        <f>IF('Bulk Order Details'!R67="","","-"&amp;LOOKUP('Bulk Order Details'!R67,#REF!,#REF!))</f>
        <v/>
      </c>
      <c r="AI57" s="156" t="str">
        <f>IF('Bulk Order Details'!S67="","","-"&amp;LOOKUP('Bulk Order Details'!S67,#REF!,#REF!))</f>
        <v/>
      </c>
      <c r="AJ57" s="156" t="str">
        <f>IF('Bulk Order Details'!T67="","","-"&amp;LOOKUP('Bulk Order Details'!T67,#REF!,#REF!))</f>
        <v/>
      </c>
      <c r="AK57" s="156" t="str">
        <f>IF('Bulk Order Details'!U67="","","-"&amp;LOOKUP('Bulk Order Details'!U67,#REF!,#REF!))</f>
        <v/>
      </c>
      <c r="AL57" s="156" t="str">
        <f>IF('Bulk Order Details'!V67="","","-"&amp;LOOKUP('Bulk Order Details'!V67,#REF!,#REF!))</f>
        <v/>
      </c>
      <c r="AM57" s="156" t="str">
        <f t="shared" si="2"/>
        <v/>
      </c>
      <c r="AN57" s="156" t="str">
        <f>IF('Bulk Order Details'!N67="","","Na-"&amp;'Bulk Order Details'!N67)</f>
        <v/>
      </c>
      <c r="AO57" s="156" t="str">
        <f>IF('Bulk Order Details'!Q67="","","Fo-"&amp;'Bulk Order Details'!Q67)</f>
        <v/>
      </c>
      <c r="AP57" s="156" t="str">
        <f t="shared" si="3"/>
        <v/>
      </c>
      <c r="AQ57" s="37" t="str">
        <f t="shared" si="4"/>
        <v/>
      </c>
    </row>
    <row r="58" spans="2:43" ht="15" customHeight="1" x14ac:dyDescent="0.2">
      <c r="B58" s="34">
        <f>'Bulk Order Details'!B68</f>
        <v>55</v>
      </c>
      <c r="C58" s="34" t="str">
        <f>IF('Bulk Order Details'!C68="","",'Bulk Order Details'!C68&amp;" "&amp;'Bulk Order Details'!D68)</f>
        <v/>
      </c>
      <c r="D58" s="31" t="str">
        <f>IF('Bulk Order Details'!M68="","",VLOOKUP(1,Price[],3))</f>
        <v/>
      </c>
      <c r="E58" s="29" t="str">
        <f>IF('Bulk Order Details'!M68="","",Summary!$D$9)</f>
        <v/>
      </c>
      <c r="F58" s="16" t="str">
        <f>IF('Bulk Order Details'!I68="","",_xlfn.XLOOKUP('Bulk Order Details'!I68,Size[Display],Size[Price]))</f>
        <v/>
      </c>
      <c r="G58" s="16" t="str">
        <f>IF('Bulk Order Details'!J68="","",_xlfn.XLOOKUP('Bulk Order Details'!J68,Length[Display],Length[Price]))</f>
        <v/>
      </c>
      <c r="H58" s="16" t="str">
        <f>IF('Bulk Order Details'!K68="","",_xlfn.XLOOKUP('Bulk Order Details'!K68,Collection[Display],Collection[Price]))</f>
        <v/>
      </c>
      <c r="I58" s="16" t="str">
        <f>IF('Bulk Order Details'!L68="","",_xlfn.XLOOKUP('Bulk Order Details'!L68,Sleeve[Display],Sleeve[Price]))</f>
        <v/>
      </c>
      <c r="J58" s="16" t="str">
        <f>IF('Bulk Order Details'!M68="","",_xlfn.XLOOKUP('Bulk Order Details'!M68,Collar[Display],Collar[Price]))</f>
        <v/>
      </c>
      <c r="K58" s="16" t="str">
        <f>IF('Bulk Order Details'!N68="","",_xlfn.XLOOKUP("Name",Name[Name],Name[Price]))</f>
        <v/>
      </c>
      <c r="L58" s="18" t="str">
        <f>IFERROR(IF('Bulk Order Details'!R68="","",IF(_xlfn.XLOOKUP('Bulk Order Details'!R68,Logos[Display],Logos[Use])="Flat",_xlfn.XLOOKUP('Bulk Order Details'!R68,Logos[Display],Logos[Flat]),ROUND(_xlfn.XLOOKUP('Bulk Order Details'!R68,Logos[Display],Logos[Pct])*$E58,2))),"")</f>
        <v/>
      </c>
      <c r="M58" s="22" t="str">
        <f>IFERROR(IF('Bulk Order Details'!S68="","",IF(_xlfn.XLOOKUP('Bulk Order Details'!S68,Chest[Display],Chest[Use])="Flat",_xlfn.XLOOKUP('Bulk Order Details'!S68,Chest[Display],Chest[Flat]),ROUND(_xlfn.XLOOKUP('Bulk Order Details'!S68,Chest[Display],Chest[Pct])*$E58,2))),"")</f>
        <v/>
      </c>
      <c r="N58" s="22" t="str">
        <f>IFERROR(IF('Bulk Order Details'!T68="","",IF(_xlfn.XLOOKUP('Bulk Order Details'!T68,Chest[Display],Chest[Use])="Flat",_xlfn.XLOOKUP('Bulk Order Details'!T68,Chest[Display],Chest[Flat]),ROUND(_xlfn.XLOOKUP('Bulk Order Details'!T68,Chest[Display],Chest[Pct])*$E58,2))),"")</f>
        <v/>
      </c>
      <c r="O58" s="22" t="str">
        <f>IFERROR(IF('Bulk Order Details'!U68="","",IF(_xlfn.XLOOKUP('Bulk Order Details'!U68,LeftSleeve[Display],LeftSleeve[Use])="Flat",_xlfn.XLOOKUP('Bulk Order Details'!U68,LeftSleeve[Display],LeftSleeve[Flat]),ROUND(_xlfn.XLOOKUP('Bulk Order Details'!U68,LeftSleeve[Display],LeftSleeve[Pct])*$E58,2))),"")</f>
        <v/>
      </c>
      <c r="P58" s="22" t="str">
        <f>IFERROR(IF('Bulk Order Details'!V68="","",IF(_xlfn.XLOOKUP('Bulk Order Details'!V68,RightSleeve[Display],RightSleeve[Use])="Flat",_xlfn.XLOOKUP('Bulk Order Details'!V68,RightSleeve[Display],RightSleeve[Flat]),ROUND(_xlfn.XLOOKUP('Bulk Order Details'!V68,RightSleeve[Display],RightSleeve[Pct])*$E58,2))),"")</f>
        <v/>
      </c>
      <c r="Q58" s="27" t="str">
        <f>IF('Bulk Order Details'!M68="","",SUM(F58:P58))</f>
        <v/>
      </c>
      <c r="R58" s="24" t="str">
        <f t="shared" si="1"/>
        <v/>
      </c>
      <c r="S58" s="23" t="str">
        <f>IFERROR(MIN(IF(Summary!$D$11="Yes",-J58,0),IF(H58&gt;0,-J58,0)),"")</f>
        <v/>
      </c>
      <c r="T58" s="16" t="str">
        <f>IFERROR(IF(Summary!$D$10="Yes",-K58,""),"")</f>
        <v/>
      </c>
      <c r="U58" s="18" t="str">
        <f>IFERROR(IF(Summary!$D$12="Yes",-L58,""),"")</f>
        <v/>
      </c>
      <c r="V58" s="25" t="str">
        <f>IF('Bulk Order Details'!M68="","",SUM(R58:U58))</f>
        <v/>
      </c>
      <c r="W58" s="36" t="str">
        <f>IF('Bulk Order Details'!M68="","",D58+Q58)</f>
        <v/>
      </c>
      <c r="X58" s="37" t="str">
        <f>IF('Bulk Order Details'!M68="","",D58+Q58+V58)</f>
        <v/>
      </c>
      <c r="Y58" s="168" t="str">
        <f t="shared" si="0"/>
        <v/>
      </c>
      <c r="Z58" s="173" t="str">
        <f>IF('Bulk Order Details'!M68="","",MAX(1,'Bulk Order Details'!G68))</f>
        <v/>
      </c>
      <c r="AA58" s="196" t="str">
        <f>IF(Pricing_Details[[#This Row],[Quantity]]="","",Pricing_Details[[#This Row],[Retail Price]]*Pricing_Details[[#This Row],[Quantity]])</f>
        <v/>
      </c>
      <c r="AB58" s="196" t="str">
        <f>IF(Pricing_Details[[#This Row],[Quantity]]="","",Pricing_Details[[#This Row],[Total Discount]]*Pricing_Details[[#This Row],[Quantity]])</f>
        <v/>
      </c>
      <c r="AC58" s="176" t="str">
        <f>IFERROR(ROUND(Pricing_Details[[#This Row],[Actual Price]]*Pricing_Details[[#This Row],[Quantity]],2),"")</f>
        <v/>
      </c>
      <c r="AE58" s="156" t="str">
        <f>IF('Bulk Order Details'!M68="","",VLOOKUP('Bulk Order Details'!K68,Collection[],3)&amp;VLOOKUP('Bulk Order Details'!M68,Collar[],4)&amp;VLOOKUP('Bulk Order Details'!L68,Sleeve[],4))</f>
        <v/>
      </c>
      <c r="AF58" s="156" t="str">
        <f>IF('Bulk Order Details'!M68="","",LOOKUP('Bulk Order Details'!H68,Cut[Display],Cut[Code])&amp;LOOKUP('Bulk Order Details'!I68,#REF!,#REF!)&amp;IF('Bulk Order Details'!J68="","",LOOKUP('Bulk Order Details'!J68,Length[Display],Length[Code])))</f>
        <v/>
      </c>
      <c r="AG58" s="156" t="str">
        <f>IF('Bulk Order Details'!M68="","",IF('Bulk Order Details'!F68="","",'Bulk Order Details'!F68))</f>
        <v/>
      </c>
      <c r="AH58" s="156" t="str">
        <f>IF('Bulk Order Details'!R68="","","-"&amp;LOOKUP('Bulk Order Details'!R68,#REF!,#REF!))</f>
        <v/>
      </c>
      <c r="AI58" s="156" t="str">
        <f>IF('Bulk Order Details'!S68="","","-"&amp;LOOKUP('Bulk Order Details'!S68,#REF!,#REF!))</f>
        <v/>
      </c>
      <c r="AJ58" s="156" t="str">
        <f>IF('Bulk Order Details'!T68="","","-"&amp;LOOKUP('Bulk Order Details'!T68,#REF!,#REF!))</f>
        <v/>
      </c>
      <c r="AK58" s="156" t="str">
        <f>IF('Bulk Order Details'!U68="","","-"&amp;LOOKUP('Bulk Order Details'!U68,#REF!,#REF!))</f>
        <v/>
      </c>
      <c r="AL58" s="156" t="str">
        <f>IF('Bulk Order Details'!V68="","","-"&amp;LOOKUP('Bulk Order Details'!V68,#REF!,#REF!))</f>
        <v/>
      </c>
      <c r="AM58" s="156" t="str">
        <f t="shared" si="2"/>
        <v/>
      </c>
      <c r="AN58" s="156" t="str">
        <f>IF('Bulk Order Details'!N68="","","Na-"&amp;'Bulk Order Details'!N68)</f>
        <v/>
      </c>
      <c r="AO58" s="156" t="str">
        <f>IF('Bulk Order Details'!Q68="","","Fo-"&amp;'Bulk Order Details'!Q68)</f>
        <v/>
      </c>
      <c r="AP58" s="156" t="str">
        <f t="shared" si="3"/>
        <v/>
      </c>
      <c r="AQ58" s="37" t="str">
        <f t="shared" si="4"/>
        <v/>
      </c>
    </row>
    <row r="59" spans="2:43" ht="15" customHeight="1" x14ac:dyDescent="0.2">
      <c r="B59" s="34">
        <f>'Bulk Order Details'!B69</f>
        <v>56</v>
      </c>
      <c r="C59" s="34" t="str">
        <f>IF('Bulk Order Details'!C69="","",'Bulk Order Details'!C69&amp;" "&amp;'Bulk Order Details'!D69)</f>
        <v/>
      </c>
      <c r="D59" s="31" t="str">
        <f>IF('Bulk Order Details'!M69="","",VLOOKUP(1,Price[],3))</f>
        <v/>
      </c>
      <c r="E59" s="29" t="str">
        <f>IF('Bulk Order Details'!M69="","",Summary!$D$9)</f>
        <v/>
      </c>
      <c r="F59" s="16" t="str">
        <f>IF('Bulk Order Details'!I69="","",_xlfn.XLOOKUP('Bulk Order Details'!I69,Size[Display],Size[Price]))</f>
        <v/>
      </c>
      <c r="G59" s="16" t="str">
        <f>IF('Bulk Order Details'!J69="","",_xlfn.XLOOKUP('Bulk Order Details'!J69,Length[Display],Length[Price]))</f>
        <v/>
      </c>
      <c r="H59" s="16" t="str">
        <f>IF('Bulk Order Details'!K69="","",_xlfn.XLOOKUP('Bulk Order Details'!K69,Collection[Display],Collection[Price]))</f>
        <v/>
      </c>
      <c r="I59" s="16" t="str">
        <f>IF('Bulk Order Details'!L69="","",_xlfn.XLOOKUP('Bulk Order Details'!L69,Sleeve[Display],Sleeve[Price]))</f>
        <v/>
      </c>
      <c r="J59" s="16" t="str">
        <f>IF('Bulk Order Details'!M69="","",_xlfn.XLOOKUP('Bulk Order Details'!M69,Collar[Display],Collar[Price]))</f>
        <v/>
      </c>
      <c r="K59" s="16" t="str">
        <f>IF('Bulk Order Details'!N69="","",_xlfn.XLOOKUP("Name",Name[Name],Name[Price]))</f>
        <v/>
      </c>
      <c r="L59" s="18" t="str">
        <f>IFERROR(IF('Bulk Order Details'!R69="","",IF(_xlfn.XLOOKUP('Bulk Order Details'!R69,Logos[Display],Logos[Use])="Flat",_xlfn.XLOOKUP('Bulk Order Details'!R69,Logos[Display],Logos[Flat]),ROUND(_xlfn.XLOOKUP('Bulk Order Details'!R69,Logos[Display],Logos[Pct])*$E59,2))),"")</f>
        <v/>
      </c>
      <c r="M59" s="22" t="str">
        <f>IFERROR(IF('Bulk Order Details'!S69="","",IF(_xlfn.XLOOKUP('Bulk Order Details'!S69,Chest[Display],Chest[Use])="Flat",_xlfn.XLOOKUP('Bulk Order Details'!S69,Chest[Display],Chest[Flat]),ROUND(_xlfn.XLOOKUP('Bulk Order Details'!S69,Chest[Display],Chest[Pct])*$E59,2))),"")</f>
        <v/>
      </c>
      <c r="N59" s="22" t="str">
        <f>IFERROR(IF('Bulk Order Details'!T69="","",IF(_xlfn.XLOOKUP('Bulk Order Details'!T69,Chest[Display],Chest[Use])="Flat",_xlfn.XLOOKUP('Bulk Order Details'!T69,Chest[Display],Chest[Flat]),ROUND(_xlfn.XLOOKUP('Bulk Order Details'!T69,Chest[Display],Chest[Pct])*$E59,2))),"")</f>
        <v/>
      </c>
      <c r="O59" s="22" t="str">
        <f>IFERROR(IF('Bulk Order Details'!U69="","",IF(_xlfn.XLOOKUP('Bulk Order Details'!U69,LeftSleeve[Display],LeftSleeve[Use])="Flat",_xlfn.XLOOKUP('Bulk Order Details'!U69,LeftSleeve[Display],LeftSleeve[Flat]),ROUND(_xlfn.XLOOKUP('Bulk Order Details'!U69,LeftSleeve[Display],LeftSleeve[Pct])*$E59,2))),"")</f>
        <v/>
      </c>
      <c r="P59" s="22" t="str">
        <f>IFERROR(IF('Bulk Order Details'!V69="","",IF(_xlfn.XLOOKUP('Bulk Order Details'!V69,RightSleeve[Display],RightSleeve[Use])="Flat",_xlfn.XLOOKUP('Bulk Order Details'!V69,RightSleeve[Display],RightSleeve[Flat]),ROUND(_xlfn.XLOOKUP('Bulk Order Details'!V69,RightSleeve[Display],RightSleeve[Pct])*$E59,2))),"")</f>
        <v/>
      </c>
      <c r="Q59" s="27" t="str">
        <f>IF('Bulk Order Details'!M69="","",SUM(F59:P59))</f>
        <v/>
      </c>
      <c r="R59" s="24" t="str">
        <f t="shared" si="1"/>
        <v/>
      </c>
      <c r="S59" s="23" t="str">
        <f>IFERROR(MIN(IF(Summary!$D$11="Yes",-J59,0),IF(H59&gt;0,-J59,0)),"")</f>
        <v/>
      </c>
      <c r="T59" s="16" t="str">
        <f>IFERROR(IF(Summary!$D$10="Yes",-K59,""),"")</f>
        <v/>
      </c>
      <c r="U59" s="18" t="str">
        <f>IFERROR(IF(Summary!$D$12="Yes",-L59,""),"")</f>
        <v/>
      </c>
      <c r="V59" s="25" t="str">
        <f>IF('Bulk Order Details'!M69="","",SUM(R59:U59))</f>
        <v/>
      </c>
      <c r="W59" s="36" t="str">
        <f>IF('Bulk Order Details'!M69="","",D59+Q59)</f>
        <v/>
      </c>
      <c r="X59" s="37" t="str">
        <f>IF('Bulk Order Details'!M69="","",D59+Q59+V59)</f>
        <v/>
      </c>
      <c r="Y59" s="168" t="str">
        <f t="shared" si="0"/>
        <v/>
      </c>
      <c r="Z59" s="173" t="str">
        <f>IF('Bulk Order Details'!M69="","",MAX(1,'Bulk Order Details'!G69))</f>
        <v/>
      </c>
      <c r="AA59" s="196" t="str">
        <f>IF(Pricing_Details[[#This Row],[Quantity]]="","",Pricing_Details[[#This Row],[Retail Price]]*Pricing_Details[[#This Row],[Quantity]])</f>
        <v/>
      </c>
      <c r="AB59" s="196" t="str">
        <f>IF(Pricing_Details[[#This Row],[Quantity]]="","",Pricing_Details[[#This Row],[Total Discount]]*Pricing_Details[[#This Row],[Quantity]])</f>
        <v/>
      </c>
      <c r="AC59" s="176" t="str">
        <f>IFERROR(ROUND(Pricing_Details[[#This Row],[Actual Price]]*Pricing_Details[[#This Row],[Quantity]],2),"")</f>
        <v/>
      </c>
      <c r="AE59" s="156" t="str">
        <f>IF('Bulk Order Details'!M69="","",VLOOKUP('Bulk Order Details'!K69,Collection[],3)&amp;VLOOKUP('Bulk Order Details'!M69,Collar[],4)&amp;VLOOKUP('Bulk Order Details'!L69,Sleeve[],4))</f>
        <v/>
      </c>
      <c r="AF59" s="156" t="str">
        <f>IF('Bulk Order Details'!M69="","",LOOKUP('Bulk Order Details'!H69,Cut[Display],Cut[Code])&amp;LOOKUP('Bulk Order Details'!I69,#REF!,#REF!)&amp;IF('Bulk Order Details'!J69="","",LOOKUP('Bulk Order Details'!J69,Length[Display],Length[Code])))</f>
        <v/>
      </c>
      <c r="AG59" s="156" t="str">
        <f>IF('Bulk Order Details'!M69="","",IF('Bulk Order Details'!F69="","",'Bulk Order Details'!F69))</f>
        <v/>
      </c>
      <c r="AH59" s="156" t="str">
        <f>IF('Bulk Order Details'!R69="","","-"&amp;LOOKUP('Bulk Order Details'!R69,#REF!,#REF!))</f>
        <v/>
      </c>
      <c r="AI59" s="156" t="str">
        <f>IF('Bulk Order Details'!S69="","","-"&amp;LOOKUP('Bulk Order Details'!S69,#REF!,#REF!))</f>
        <v/>
      </c>
      <c r="AJ59" s="156" t="str">
        <f>IF('Bulk Order Details'!T69="","","-"&amp;LOOKUP('Bulk Order Details'!T69,#REF!,#REF!))</f>
        <v/>
      </c>
      <c r="AK59" s="156" t="str">
        <f>IF('Bulk Order Details'!U69="","","-"&amp;LOOKUP('Bulk Order Details'!U69,#REF!,#REF!))</f>
        <v/>
      </c>
      <c r="AL59" s="156" t="str">
        <f>IF('Bulk Order Details'!V69="","","-"&amp;LOOKUP('Bulk Order Details'!V69,#REF!,#REF!))</f>
        <v/>
      </c>
      <c r="AM59" s="156" t="str">
        <f t="shared" si="2"/>
        <v/>
      </c>
      <c r="AN59" s="156" t="str">
        <f>IF('Bulk Order Details'!N69="","","Na-"&amp;'Bulk Order Details'!N69)</f>
        <v/>
      </c>
      <c r="AO59" s="156" t="str">
        <f>IF('Bulk Order Details'!Q69="","","Fo-"&amp;'Bulk Order Details'!Q69)</f>
        <v/>
      </c>
      <c r="AP59" s="156" t="str">
        <f t="shared" si="3"/>
        <v/>
      </c>
      <c r="AQ59" s="37" t="str">
        <f t="shared" si="4"/>
        <v/>
      </c>
    </row>
    <row r="60" spans="2:43" ht="15" customHeight="1" x14ac:dyDescent="0.2">
      <c r="B60" s="34">
        <f>'Bulk Order Details'!B70</f>
        <v>57</v>
      </c>
      <c r="C60" s="34" t="str">
        <f>IF('Bulk Order Details'!C70="","",'Bulk Order Details'!C70&amp;" "&amp;'Bulk Order Details'!D70)</f>
        <v/>
      </c>
      <c r="D60" s="31" t="str">
        <f>IF('Bulk Order Details'!M70="","",VLOOKUP(1,Price[],3))</f>
        <v/>
      </c>
      <c r="E60" s="29" t="str">
        <f>IF('Bulk Order Details'!M70="","",Summary!$D$9)</f>
        <v/>
      </c>
      <c r="F60" s="16" t="str">
        <f>IF('Bulk Order Details'!I70="","",_xlfn.XLOOKUP('Bulk Order Details'!I70,Size[Display],Size[Price]))</f>
        <v/>
      </c>
      <c r="G60" s="16" t="str">
        <f>IF('Bulk Order Details'!J70="","",_xlfn.XLOOKUP('Bulk Order Details'!J70,Length[Display],Length[Price]))</f>
        <v/>
      </c>
      <c r="H60" s="16" t="str">
        <f>IF('Bulk Order Details'!K70="","",_xlfn.XLOOKUP('Bulk Order Details'!K70,Collection[Display],Collection[Price]))</f>
        <v/>
      </c>
      <c r="I60" s="16" t="str">
        <f>IF('Bulk Order Details'!L70="","",_xlfn.XLOOKUP('Bulk Order Details'!L70,Sleeve[Display],Sleeve[Price]))</f>
        <v/>
      </c>
      <c r="J60" s="16" t="str">
        <f>IF('Bulk Order Details'!M70="","",_xlfn.XLOOKUP('Bulk Order Details'!M70,Collar[Display],Collar[Price]))</f>
        <v/>
      </c>
      <c r="K60" s="16" t="str">
        <f>IF('Bulk Order Details'!N70="","",_xlfn.XLOOKUP("Name",Name[Name],Name[Price]))</f>
        <v/>
      </c>
      <c r="L60" s="18" t="str">
        <f>IFERROR(IF('Bulk Order Details'!R70="","",IF(_xlfn.XLOOKUP('Bulk Order Details'!R70,Logos[Display],Logos[Use])="Flat",_xlfn.XLOOKUP('Bulk Order Details'!R70,Logos[Display],Logos[Flat]),ROUND(_xlfn.XLOOKUP('Bulk Order Details'!R70,Logos[Display],Logos[Pct])*$E60,2))),"")</f>
        <v/>
      </c>
      <c r="M60" s="22" t="str">
        <f>IFERROR(IF('Bulk Order Details'!S70="","",IF(_xlfn.XLOOKUP('Bulk Order Details'!S70,Chest[Display],Chest[Use])="Flat",_xlfn.XLOOKUP('Bulk Order Details'!S70,Chest[Display],Chest[Flat]),ROUND(_xlfn.XLOOKUP('Bulk Order Details'!S70,Chest[Display],Chest[Pct])*$E60,2))),"")</f>
        <v/>
      </c>
      <c r="N60" s="22" t="str">
        <f>IFERROR(IF('Bulk Order Details'!T70="","",IF(_xlfn.XLOOKUP('Bulk Order Details'!T70,Chest[Display],Chest[Use])="Flat",_xlfn.XLOOKUP('Bulk Order Details'!T70,Chest[Display],Chest[Flat]),ROUND(_xlfn.XLOOKUP('Bulk Order Details'!T70,Chest[Display],Chest[Pct])*$E60,2))),"")</f>
        <v/>
      </c>
      <c r="O60" s="22" t="str">
        <f>IFERROR(IF('Bulk Order Details'!U70="","",IF(_xlfn.XLOOKUP('Bulk Order Details'!U70,LeftSleeve[Display],LeftSleeve[Use])="Flat",_xlfn.XLOOKUP('Bulk Order Details'!U70,LeftSleeve[Display],LeftSleeve[Flat]),ROUND(_xlfn.XLOOKUP('Bulk Order Details'!U70,LeftSleeve[Display],LeftSleeve[Pct])*$E60,2))),"")</f>
        <v/>
      </c>
      <c r="P60" s="22" t="str">
        <f>IFERROR(IF('Bulk Order Details'!V70="","",IF(_xlfn.XLOOKUP('Bulk Order Details'!V70,RightSleeve[Display],RightSleeve[Use])="Flat",_xlfn.XLOOKUP('Bulk Order Details'!V70,RightSleeve[Display],RightSleeve[Flat]),ROUND(_xlfn.XLOOKUP('Bulk Order Details'!V70,RightSleeve[Display],RightSleeve[Pct])*$E60,2))),"")</f>
        <v/>
      </c>
      <c r="Q60" s="27" t="str">
        <f>IF('Bulk Order Details'!M70="","",SUM(F60:P60))</f>
        <v/>
      </c>
      <c r="R60" s="24" t="str">
        <f t="shared" si="1"/>
        <v/>
      </c>
      <c r="S60" s="23" t="str">
        <f>IFERROR(MIN(IF(Summary!$D$11="Yes",-J60,0),IF(H60&gt;0,-J60,0)),"")</f>
        <v/>
      </c>
      <c r="T60" s="16" t="str">
        <f>IFERROR(IF(Summary!$D$10="Yes",-K60,""),"")</f>
        <v/>
      </c>
      <c r="U60" s="18" t="str">
        <f>IFERROR(IF(Summary!$D$12="Yes",-L60,""),"")</f>
        <v/>
      </c>
      <c r="V60" s="25" t="str">
        <f>IF('Bulk Order Details'!M70="","",SUM(R60:U60))</f>
        <v/>
      </c>
      <c r="W60" s="36" t="str">
        <f>IF('Bulk Order Details'!M70="","",D60+Q60)</f>
        <v/>
      </c>
      <c r="X60" s="37" t="str">
        <f>IF('Bulk Order Details'!M70="","",D60+Q60+V60)</f>
        <v/>
      </c>
      <c r="Y60" s="168" t="str">
        <f t="shared" si="0"/>
        <v/>
      </c>
      <c r="Z60" s="173" t="str">
        <f>IF('Bulk Order Details'!M70="","",MAX(1,'Bulk Order Details'!G70))</f>
        <v/>
      </c>
      <c r="AA60" s="196" t="str">
        <f>IF(Pricing_Details[[#This Row],[Quantity]]="","",Pricing_Details[[#This Row],[Retail Price]]*Pricing_Details[[#This Row],[Quantity]])</f>
        <v/>
      </c>
      <c r="AB60" s="196" t="str">
        <f>IF(Pricing_Details[[#This Row],[Quantity]]="","",Pricing_Details[[#This Row],[Total Discount]]*Pricing_Details[[#This Row],[Quantity]])</f>
        <v/>
      </c>
      <c r="AC60" s="176" t="str">
        <f>IFERROR(ROUND(Pricing_Details[[#This Row],[Actual Price]]*Pricing_Details[[#This Row],[Quantity]],2),"")</f>
        <v/>
      </c>
      <c r="AE60" s="156" t="str">
        <f>IF('Bulk Order Details'!M70="","",VLOOKUP('Bulk Order Details'!K70,Collection[],3)&amp;VLOOKUP('Bulk Order Details'!M70,Collar[],4)&amp;VLOOKUP('Bulk Order Details'!L70,Sleeve[],4))</f>
        <v/>
      </c>
      <c r="AF60" s="156" t="str">
        <f>IF('Bulk Order Details'!M70="","",LOOKUP('Bulk Order Details'!H70,Cut[Display],Cut[Code])&amp;LOOKUP('Bulk Order Details'!I70,#REF!,#REF!)&amp;IF('Bulk Order Details'!J70="","",LOOKUP('Bulk Order Details'!J70,Length[Display],Length[Code])))</f>
        <v/>
      </c>
      <c r="AG60" s="156" t="str">
        <f>IF('Bulk Order Details'!M70="","",IF('Bulk Order Details'!F70="","",'Bulk Order Details'!F70))</f>
        <v/>
      </c>
      <c r="AH60" s="156" t="str">
        <f>IF('Bulk Order Details'!R70="","","-"&amp;LOOKUP('Bulk Order Details'!R70,#REF!,#REF!))</f>
        <v/>
      </c>
      <c r="AI60" s="156" t="str">
        <f>IF('Bulk Order Details'!S70="","","-"&amp;LOOKUP('Bulk Order Details'!S70,#REF!,#REF!))</f>
        <v/>
      </c>
      <c r="AJ60" s="156" t="str">
        <f>IF('Bulk Order Details'!T70="","","-"&amp;LOOKUP('Bulk Order Details'!T70,#REF!,#REF!))</f>
        <v/>
      </c>
      <c r="AK60" s="156" t="str">
        <f>IF('Bulk Order Details'!U70="","","-"&amp;LOOKUP('Bulk Order Details'!U70,#REF!,#REF!))</f>
        <v/>
      </c>
      <c r="AL60" s="156" t="str">
        <f>IF('Bulk Order Details'!V70="","","-"&amp;LOOKUP('Bulk Order Details'!V70,#REF!,#REF!))</f>
        <v/>
      </c>
      <c r="AM60" s="156" t="str">
        <f t="shared" si="2"/>
        <v/>
      </c>
      <c r="AN60" s="156" t="str">
        <f>IF('Bulk Order Details'!N70="","","Na-"&amp;'Bulk Order Details'!N70)</f>
        <v/>
      </c>
      <c r="AO60" s="156" t="str">
        <f>IF('Bulk Order Details'!Q70="","","Fo-"&amp;'Bulk Order Details'!Q70)</f>
        <v/>
      </c>
      <c r="AP60" s="156" t="str">
        <f t="shared" si="3"/>
        <v/>
      </c>
      <c r="AQ60" s="37" t="str">
        <f t="shared" si="4"/>
        <v/>
      </c>
    </row>
    <row r="61" spans="2:43" ht="15" customHeight="1" x14ac:dyDescent="0.2">
      <c r="B61" s="34">
        <f>'Bulk Order Details'!B71</f>
        <v>58</v>
      </c>
      <c r="C61" s="34" t="str">
        <f>IF('Bulk Order Details'!C71="","",'Bulk Order Details'!C71&amp;" "&amp;'Bulk Order Details'!D71)</f>
        <v/>
      </c>
      <c r="D61" s="31" t="str">
        <f>IF('Bulk Order Details'!M71="","",VLOOKUP(1,Price[],3))</f>
        <v/>
      </c>
      <c r="E61" s="29" t="str">
        <f>IF('Bulk Order Details'!M71="","",Summary!$D$9)</f>
        <v/>
      </c>
      <c r="F61" s="16" t="str">
        <f>IF('Bulk Order Details'!I71="","",_xlfn.XLOOKUP('Bulk Order Details'!I71,Size[Display],Size[Price]))</f>
        <v/>
      </c>
      <c r="G61" s="16" t="str">
        <f>IF('Bulk Order Details'!J71="","",_xlfn.XLOOKUP('Bulk Order Details'!J71,Length[Display],Length[Price]))</f>
        <v/>
      </c>
      <c r="H61" s="16" t="str">
        <f>IF('Bulk Order Details'!K71="","",_xlfn.XLOOKUP('Bulk Order Details'!K71,Collection[Display],Collection[Price]))</f>
        <v/>
      </c>
      <c r="I61" s="16" t="str">
        <f>IF('Bulk Order Details'!L71="","",_xlfn.XLOOKUP('Bulk Order Details'!L71,Sleeve[Display],Sleeve[Price]))</f>
        <v/>
      </c>
      <c r="J61" s="16" t="str">
        <f>IF('Bulk Order Details'!M71="","",_xlfn.XLOOKUP('Bulk Order Details'!M71,Collar[Display],Collar[Price]))</f>
        <v/>
      </c>
      <c r="K61" s="16" t="str">
        <f>IF('Bulk Order Details'!N71="","",_xlfn.XLOOKUP("Name",Name[Name],Name[Price]))</f>
        <v/>
      </c>
      <c r="L61" s="18" t="str">
        <f>IFERROR(IF('Bulk Order Details'!R71="","",IF(_xlfn.XLOOKUP('Bulk Order Details'!R71,Logos[Display],Logos[Use])="Flat",_xlfn.XLOOKUP('Bulk Order Details'!R71,Logos[Display],Logos[Flat]),ROUND(_xlfn.XLOOKUP('Bulk Order Details'!R71,Logos[Display],Logos[Pct])*$E61,2))),"")</f>
        <v/>
      </c>
      <c r="M61" s="22" t="str">
        <f>IFERROR(IF('Bulk Order Details'!S71="","",IF(_xlfn.XLOOKUP('Bulk Order Details'!S71,Chest[Display],Chest[Use])="Flat",_xlfn.XLOOKUP('Bulk Order Details'!S71,Chest[Display],Chest[Flat]),ROUND(_xlfn.XLOOKUP('Bulk Order Details'!S71,Chest[Display],Chest[Pct])*$E61,2))),"")</f>
        <v/>
      </c>
      <c r="N61" s="22" t="str">
        <f>IFERROR(IF('Bulk Order Details'!T71="","",IF(_xlfn.XLOOKUP('Bulk Order Details'!T71,Chest[Display],Chest[Use])="Flat",_xlfn.XLOOKUP('Bulk Order Details'!T71,Chest[Display],Chest[Flat]),ROUND(_xlfn.XLOOKUP('Bulk Order Details'!T71,Chest[Display],Chest[Pct])*$E61,2))),"")</f>
        <v/>
      </c>
      <c r="O61" s="22" t="str">
        <f>IFERROR(IF('Bulk Order Details'!U71="","",IF(_xlfn.XLOOKUP('Bulk Order Details'!U71,LeftSleeve[Display],LeftSleeve[Use])="Flat",_xlfn.XLOOKUP('Bulk Order Details'!U71,LeftSleeve[Display],LeftSleeve[Flat]),ROUND(_xlfn.XLOOKUP('Bulk Order Details'!U71,LeftSleeve[Display],LeftSleeve[Pct])*$E61,2))),"")</f>
        <v/>
      </c>
      <c r="P61" s="22" t="str">
        <f>IFERROR(IF('Bulk Order Details'!V71="","",IF(_xlfn.XLOOKUP('Bulk Order Details'!V71,RightSleeve[Display],RightSleeve[Use])="Flat",_xlfn.XLOOKUP('Bulk Order Details'!V71,RightSleeve[Display],RightSleeve[Flat]),ROUND(_xlfn.XLOOKUP('Bulk Order Details'!V71,RightSleeve[Display],RightSleeve[Pct])*$E61,2))),"")</f>
        <v/>
      </c>
      <c r="Q61" s="27" t="str">
        <f>IF('Bulk Order Details'!M71="","",SUM(F61:P61))</f>
        <v/>
      </c>
      <c r="R61" s="24" t="str">
        <f t="shared" si="1"/>
        <v/>
      </c>
      <c r="S61" s="23" t="str">
        <f>IFERROR(MIN(IF(Summary!$D$11="Yes",-J61,0),IF(H61&gt;0,-J61,0)),"")</f>
        <v/>
      </c>
      <c r="T61" s="16" t="str">
        <f>IFERROR(IF(Summary!$D$10="Yes",-K61,""),"")</f>
        <v/>
      </c>
      <c r="U61" s="18" t="str">
        <f>IFERROR(IF(Summary!$D$12="Yes",-L61,""),"")</f>
        <v/>
      </c>
      <c r="V61" s="25" t="str">
        <f>IF('Bulk Order Details'!M71="","",SUM(R61:U61))</f>
        <v/>
      </c>
      <c r="W61" s="36" t="str">
        <f>IF('Bulk Order Details'!M71="","",D61+Q61)</f>
        <v/>
      </c>
      <c r="X61" s="37" t="str">
        <f>IF('Bulk Order Details'!M71="","",D61+Q61+V61)</f>
        <v/>
      </c>
      <c r="Y61" s="168" t="str">
        <f t="shared" si="0"/>
        <v/>
      </c>
      <c r="Z61" s="173" t="str">
        <f>IF('Bulk Order Details'!M71="","",MAX(1,'Bulk Order Details'!G71))</f>
        <v/>
      </c>
      <c r="AA61" s="196" t="str">
        <f>IF(Pricing_Details[[#This Row],[Quantity]]="","",Pricing_Details[[#This Row],[Retail Price]]*Pricing_Details[[#This Row],[Quantity]])</f>
        <v/>
      </c>
      <c r="AB61" s="196" t="str">
        <f>IF(Pricing_Details[[#This Row],[Quantity]]="","",Pricing_Details[[#This Row],[Total Discount]]*Pricing_Details[[#This Row],[Quantity]])</f>
        <v/>
      </c>
      <c r="AC61" s="176" t="str">
        <f>IFERROR(ROUND(Pricing_Details[[#This Row],[Actual Price]]*Pricing_Details[[#This Row],[Quantity]],2),"")</f>
        <v/>
      </c>
      <c r="AE61" s="156" t="str">
        <f>IF('Bulk Order Details'!M71="","",VLOOKUP('Bulk Order Details'!K71,Collection[],3)&amp;VLOOKUP('Bulk Order Details'!M71,Collar[],4)&amp;VLOOKUP('Bulk Order Details'!L71,Sleeve[],4))</f>
        <v/>
      </c>
      <c r="AF61" s="156" t="str">
        <f>IF('Bulk Order Details'!M71="","",LOOKUP('Bulk Order Details'!H71,Cut[Display],Cut[Code])&amp;LOOKUP('Bulk Order Details'!I71,#REF!,#REF!)&amp;IF('Bulk Order Details'!J71="","",LOOKUP('Bulk Order Details'!J71,Length[Display],Length[Code])))</f>
        <v/>
      </c>
      <c r="AG61" s="156" t="str">
        <f>IF('Bulk Order Details'!M71="","",IF('Bulk Order Details'!F71="","",'Bulk Order Details'!F71))</f>
        <v/>
      </c>
      <c r="AH61" s="156" t="str">
        <f>IF('Bulk Order Details'!R71="","","-"&amp;LOOKUP('Bulk Order Details'!R71,#REF!,#REF!))</f>
        <v/>
      </c>
      <c r="AI61" s="156" t="str">
        <f>IF('Bulk Order Details'!S71="","","-"&amp;LOOKUP('Bulk Order Details'!S71,#REF!,#REF!))</f>
        <v/>
      </c>
      <c r="AJ61" s="156" t="str">
        <f>IF('Bulk Order Details'!T71="","","-"&amp;LOOKUP('Bulk Order Details'!T71,#REF!,#REF!))</f>
        <v/>
      </c>
      <c r="AK61" s="156" t="str">
        <f>IF('Bulk Order Details'!U71="","","-"&amp;LOOKUP('Bulk Order Details'!U71,#REF!,#REF!))</f>
        <v/>
      </c>
      <c r="AL61" s="156" t="str">
        <f>IF('Bulk Order Details'!V71="","","-"&amp;LOOKUP('Bulk Order Details'!V71,#REF!,#REF!))</f>
        <v/>
      </c>
      <c r="AM61" s="156" t="str">
        <f t="shared" si="2"/>
        <v/>
      </c>
      <c r="AN61" s="156" t="str">
        <f>IF('Bulk Order Details'!N71="","","Na-"&amp;'Bulk Order Details'!N71)</f>
        <v/>
      </c>
      <c r="AO61" s="156" t="str">
        <f>IF('Bulk Order Details'!Q71="","","Fo-"&amp;'Bulk Order Details'!Q71)</f>
        <v/>
      </c>
      <c r="AP61" s="156" t="str">
        <f t="shared" si="3"/>
        <v/>
      </c>
      <c r="AQ61" s="37" t="str">
        <f t="shared" si="4"/>
        <v/>
      </c>
    </row>
    <row r="62" spans="2:43" ht="15" customHeight="1" x14ac:dyDescent="0.2">
      <c r="B62" s="34">
        <f>'Bulk Order Details'!B72</f>
        <v>59</v>
      </c>
      <c r="C62" s="34" t="str">
        <f>IF('Bulk Order Details'!C72="","",'Bulk Order Details'!C72&amp;" "&amp;'Bulk Order Details'!D72)</f>
        <v/>
      </c>
      <c r="D62" s="31" t="str">
        <f>IF('Bulk Order Details'!M72="","",VLOOKUP(1,Price[],3))</f>
        <v/>
      </c>
      <c r="E62" s="29" t="str">
        <f>IF('Bulk Order Details'!M72="","",Summary!$D$9)</f>
        <v/>
      </c>
      <c r="F62" s="16" t="str">
        <f>IF('Bulk Order Details'!I72="","",_xlfn.XLOOKUP('Bulk Order Details'!I72,Size[Display],Size[Price]))</f>
        <v/>
      </c>
      <c r="G62" s="16" t="str">
        <f>IF('Bulk Order Details'!J72="","",_xlfn.XLOOKUP('Bulk Order Details'!J72,Length[Display],Length[Price]))</f>
        <v/>
      </c>
      <c r="H62" s="16" t="str">
        <f>IF('Bulk Order Details'!K72="","",_xlfn.XLOOKUP('Bulk Order Details'!K72,Collection[Display],Collection[Price]))</f>
        <v/>
      </c>
      <c r="I62" s="16" t="str">
        <f>IF('Bulk Order Details'!L72="","",_xlfn.XLOOKUP('Bulk Order Details'!L72,Sleeve[Display],Sleeve[Price]))</f>
        <v/>
      </c>
      <c r="J62" s="16" t="str">
        <f>IF('Bulk Order Details'!M72="","",_xlfn.XLOOKUP('Bulk Order Details'!M72,Collar[Display],Collar[Price]))</f>
        <v/>
      </c>
      <c r="K62" s="16" t="str">
        <f>IF('Bulk Order Details'!N72="","",_xlfn.XLOOKUP("Name",Name[Name],Name[Price]))</f>
        <v/>
      </c>
      <c r="L62" s="18" t="str">
        <f>IFERROR(IF('Bulk Order Details'!R72="","",IF(_xlfn.XLOOKUP('Bulk Order Details'!R72,Logos[Display],Logos[Use])="Flat",_xlfn.XLOOKUP('Bulk Order Details'!R72,Logos[Display],Logos[Flat]),ROUND(_xlfn.XLOOKUP('Bulk Order Details'!R72,Logos[Display],Logos[Pct])*$E62,2))),"")</f>
        <v/>
      </c>
      <c r="M62" s="22" t="str">
        <f>IFERROR(IF('Bulk Order Details'!S72="","",IF(_xlfn.XLOOKUP('Bulk Order Details'!S72,Chest[Display],Chest[Use])="Flat",_xlfn.XLOOKUP('Bulk Order Details'!S72,Chest[Display],Chest[Flat]),ROUND(_xlfn.XLOOKUP('Bulk Order Details'!S72,Chest[Display],Chest[Pct])*$E62,2))),"")</f>
        <v/>
      </c>
      <c r="N62" s="22" t="str">
        <f>IFERROR(IF('Bulk Order Details'!T72="","",IF(_xlfn.XLOOKUP('Bulk Order Details'!T72,Chest[Display],Chest[Use])="Flat",_xlfn.XLOOKUP('Bulk Order Details'!T72,Chest[Display],Chest[Flat]),ROUND(_xlfn.XLOOKUP('Bulk Order Details'!T72,Chest[Display],Chest[Pct])*$E62,2))),"")</f>
        <v/>
      </c>
      <c r="O62" s="22" t="str">
        <f>IFERROR(IF('Bulk Order Details'!U72="","",IF(_xlfn.XLOOKUP('Bulk Order Details'!U72,LeftSleeve[Display],LeftSleeve[Use])="Flat",_xlfn.XLOOKUP('Bulk Order Details'!U72,LeftSleeve[Display],LeftSleeve[Flat]),ROUND(_xlfn.XLOOKUP('Bulk Order Details'!U72,LeftSleeve[Display],LeftSleeve[Pct])*$E62,2))),"")</f>
        <v/>
      </c>
      <c r="P62" s="22" t="str">
        <f>IFERROR(IF('Bulk Order Details'!V72="","",IF(_xlfn.XLOOKUP('Bulk Order Details'!V72,RightSleeve[Display],RightSleeve[Use])="Flat",_xlfn.XLOOKUP('Bulk Order Details'!V72,RightSleeve[Display],RightSleeve[Flat]),ROUND(_xlfn.XLOOKUP('Bulk Order Details'!V72,RightSleeve[Display],RightSleeve[Pct])*$E62,2))),"")</f>
        <v/>
      </c>
      <c r="Q62" s="27" t="str">
        <f>IF('Bulk Order Details'!M72="","",SUM(F62:P62))</f>
        <v/>
      </c>
      <c r="R62" s="24" t="str">
        <f t="shared" si="1"/>
        <v/>
      </c>
      <c r="S62" s="23" t="str">
        <f>IFERROR(MIN(IF(Summary!$D$11="Yes",-J62,0),IF(H62&gt;0,-J62,0)),"")</f>
        <v/>
      </c>
      <c r="T62" s="16" t="str">
        <f>IFERROR(IF(Summary!$D$10="Yes",-K62,""),"")</f>
        <v/>
      </c>
      <c r="U62" s="18" t="str">
        <f>IFERROR(IF(Summary!$D$12="Yes",-L62,""),"")</f>
        <v/>
      </c>
      <c r="V62" s="25" t="str">
        <f>IF('Bulk Order Details'!M72="","",SUM(R62:U62))</f>
        <v/>
      </c>
      <c r="W62" s="36" t="str">
        <f>IF('Bulk Order Details'!M72="","",D62+Q62)</f>
        <v/>
      </c>
      <c r="X62" s="37" t="str">
        <f>IF('Bulk Order Details'!M72="","",D62+Q62+V62)</f>
        <v/>
      </c>
      <c r="Y62" s="168" t="str">
        <f t="shared" si="0"/>
        <v/>
      </c>
      <c r="Z62" s="173" t="str">
        <f>IF('Bulk Order Details'!M72="","",MAX(1,'Bulk Order Details'!G72))</f>
        <v/>
      </c>
      <c r="AA62" s="196" t="str">
        <f>IF(Pricing_Details[[#This Row],[Quantity]]="","",Pricing_Details[[#This Row],[Retail Price]]*Pricing_Details[[#This Row],[Quantity]])</f>
        <v/>
      </c>
      <c r="AB62" s="196" t="str">
        <f>IF(Pricing_Details[[#This Row],[Quantity]]="","",Pricing_Details[[#This Row],[Total Discount]]*Pricing_Details[[#This Row],[Quantity]])</f>
        <v/>
      </c>
      <c r="AC62" s="176" t="str">
        <f>IFERROR(ROUND(Pricing_Details[[#This Row],[Actual Price]]*Pricing_Details[[#This Row],[Quantity]],2),"")</f>
        <v/>
      </c>
      <c r="AE62" s="156" t="str">
        <f>IF('Bulk Order Details'!M72="","",VLOOKUP('Bulk Order Details'!K72,Collection[],3)&amp;VLOOKUP('Bulk Order Details'!M72,Collar[],4)&amp;VLOOKUP('Bulk Order Details'!L72,Sleeve[],4))</f>
        <v/>
      </c>
      <c r="AF62" s="156" t="str">
        <f>IF('Bulk Order Details'!M72="","",LOOKUP('Bulk Order Details'!H72,Cut[Display],Cut[Code])&amp;LOOKUP('Bulk Order Details'!I72,#REF!,#REF!)&amp;IF('Bulk Order Details'!J72="","",LOOKUP('Bulk Order Details'!J72,Length[Display],Length[Code])))</f>
        <v/>
      </c>
      <c r="AG62" s="156" t="str">
        <f>IF('Bulk Order Details'!M72="","",IF('Bulk Order Details'!F72="","",'Bulk Order Details'!F72))</f>
        <v/>
      </c>
      <c r="AH62" s="156" t="str">
        <f>IF('Bulk Order Details'!R72="","","-"&amp;LOOKUP('Bulk Order Details'!R72,#REF!,#REF!))</f>
        <v/>
      </c>
      <c r="AI62" s="156" t="str">
        <f>IF('Bulk Order Details'!S72="","","-"&amp;LOOKUP('Bulk Order Details'!S72,#REF!,#REF!))</f>
        <v/>
      </c>
      <c r="AJ62" s="156" t="str">
        <f>IF('Bulk Order Details'!T72="","","-"&amp;LOOKUP('Bulk Order Details'!T72,#REF!,#REF!))</f>
        <v/>
      </c>
      <c r="AK62" s="156" t="str">
        <f>IF('Bulk Order Details'!U72="","","-"&amp;LOOKUP('Bulk Order Details'!U72,#REF!,#REF!))</f>
        <v/>
      </c>
      <c r="AL62" s="156" t="str">
        <f>IF('Bulk Order Details'!V72="","","-"&amp;LOOKUP('Bulk Order Details'!V72,#REF!,#REF!))</f>
        <v/>
      </c>
      <c r="AM62" s="156" t="str">
        <f t="shared" si="2"/>
        <v/>
      </c>
      <c r="AN62" s="156" t="str">
        <f>IF('Bulk Order Details'!N72="","","Na-"&amp;'Bulk Order Details'!N72)</f>
        <v/>
      </c>
      <c r="AO62" s="156" t="str">
        <f>IF('Bulk Order Details'!Q72="","","Fo-"&amp;'Bulk Order Details'!Q72)</f>
        <v/>
      </c>
      <c r="AP62" s="156" t="str">
        <f t="shared" si="3"/>
        <v/>
      </c>
      <c r="AQ62" s="37" t="str">
        <f t="shared" si="4"/>
        <v/>
      </c>
    </row>
    <row r="63" spans="2:43" ht="15" customHeight="1" x14ac:dyDescent="0.2">
      <c r="B63" s="34">
        <f>'Bulk Order Details'!B73</f>
        <v>60</v>
      </c>
      <c r="C63" s="34" t="str">
        <f>IF('Bulk Order Details'!C73="","",'Bulk Order Details'!C73&amp;" "&amp;'Bulk Order Details'!D73)</f>
        <v/>
      </c>
      <c r="D63" s="31" t="str">
        <f>IF('Bulk Order Details'!M73="","",VLOOKUP(1,Price[],3))</f>
        <v/>
      </c>
      <c r="E63" s="29" t="str">
        <f>IF('Bulk Order Details'!M73="","",Summary!$D$9)</f>
        <v/>
      </c>
      <c r="F63" s="16" t="str">
        <f>IF('Bulk Order Details'!I73="","",_xlfn.XLOOKUP('Bulk Order Details'!I73,Size[Display],Size[Price]))</f>
        <v/>
      </c>
      <c r="G63" s="16" t="str">
        <f>IF('Bulk Order Details'!J73="","",_xlfn.XLOOKUP('Bulk Order Details'!J73,Length[Display],Length[Price]))</f>
        <v/>
      </c>
      <c r="H63" s="16" t="str">
        <f>IF('Bulk Order Details'!K73="","",_xlfn.XLOOKUP('Bulk Order Details'!K73,Collection[Display],Collection[Price]))</f>
        <v/>
      </c>
      <c r="I63" s="16" t="str">
        <f>IF('Bulk Order Details'!L73="","",_xlfn.XLOOKUP('Bulk Order Details'!L73,Sleeve[Display],Sleeve[Price]))</f>
        <v/>
      </c>
      <c r="J63" s="16" t="str">
        <f>IF('Bulk Order Details'!M73="","",_xlfn.XLOOKUP('Bulk Order Details'!M73,Collar[Display],Collar[Price]))</f>
        <v/>
      </c>
      <c r="K63" s="16" t="str">
        <f>IF('Bulk Order Details'!N73="","",_xlfn.XLOOKUP("Name",Name[Name],Name[Price]))</f>
        <v/>
      </c>
      <c r="L63" s="18" t="str">
        <f>IFERROR(IF('Bulk Order Details'!R73="","",IF(_xlfn.XLOOKUP('Bulk Order Details'!R73,Logos[Display],Logos[Use])="Flat",_xlfn.XLOOKUP('Bulk Order Details'!R73,Logos[Display],Logos[Flat]),ROUND(_xlfn.XLOOKUP('Bulk Order Details'!R73,Logos[Display],Logos[Pct])*$E63,2))),"")</f>
        <v/>
      </c>
      <c r="M63" s="22" t="str">
        <f>IFERROR(IF('Bulk Order Details'!S73="","",IF(_xlfn.XLOOKUP('Bulk Order Details'!S73,Chest[Display],Chest[Use])="Flat",_xlfn.XLOOKUP('Bulk Order Details'!S73,Chest[Display],Chest[Flat]),ROUND(_xlfn.XLOOKUP('Bulk Order Details'!S73,Chest[Display],Chest[Pct])*$E63,2))),"")</f>
        <v/>
      </c>
      <c r="N63" s="22" t="str">
        <f>IFERROR(IF('Bulk Order Details'!T73="","",IF(_xlfn.XLOOKUP('Bulk Order Details'!T73,Chest[Display],Chest[Use])="Flat",_xlfn.XLOOKUP('Bulk Order Details'!T73,Chest[Display],Chest[Flat]),ROUND(_xlfn.XLOOKUP('Bulk Order Details'!T73,Chest[Display],Chest[Pct])*$E63,2))),"")</f>
        <v/>
      </c>
      <c r="O63" s="22" t="str">
        <f>IFERROR(IF('Bulk Order Details'!U73="","",IF(_xlfn.XLOOKUP('Bulk Order Details'!U73,LeftSleeve[Display],LeftSleeve[Use])="Flat",_xlfn.XLOOKUP('Bulk Order Details'!U73,LeftSleeve[Display],LeftSleeve[Flat]),ROUND(_xlfn.XLOOKUP('Bulk Order Details'!U73,LeftSleeve[Display],LeftSleeve[Pct])*$E63,2))),"")</f>
        <v/>
      </c>
      <c r="P63" s="22" t="str">
        <f>IFERROR(IF('Bulk Order Details'!V73="","",IF(_xlfn.XLOOKUP('Bulk Order Details'!V73,RightSleeve[Display],RightSleeve[Use])="Flat",_xlfn.XLOOKUP('Bulk Order Details'!V73,RightSleeve[Display],RightSleeve[Flat]),ROUND(_xlfn.XLOOKUP('Bulk Order Details'!V73,RightSleeve[Display],RightSleeve[Pct])*$E63,2))),"")</f>
        <v/>
      </c>
      <c r="Q63" s="27" t="str">
        <f>IF('Bulk Order Details'!M73="","",SUM(F63:P63))</f>
        <v/>
      </c>
      <c r="R63" s="24" t="str">
        <f t="shared" si="1"/>
        <v/>
      </c>
      <c r="S63" s="23" t="str">
        <f>IFERROR(MIN(IF(Summary!$D$11="Yes",-J63,0),IF(H63&gt;0,-J63,0)),"")</f>
        <v/>
      </c>
      <c r="T63" s="16" t="str">
        <f>IFERROR(IF(Summary!$D$10="Yes",-K63,""),"")</f>
        <v/>
      </c>
      <c r="U63" s="18" t="str">
        <f>IFERROR(IF(Summary!$D$12="Yes",-L63,""),"")</f>
        <v/>
      </c>
      <c r="V63" s="25" t="str">
        <f>IF('Bulk Order Details'!M73="","",SUM(R63:U63))</f>
        <v/>
      </c>
      <c r="W63" s="36" t="str">
        <f>IF('Bulk Order Details'!M73="","",D63+Q63)</f>
        <v/>
      </c>
      <c r="X63" s="37" t="str">
        <f>IF('Bulk Order Details'!M73="","",D63+Q63+V63)</f>
        <v/>
      </c>
      <c r="Y63" s="168" t="str">
        <f t="shared" si="0"/>
        <v/>
      </c>
      <c r="Z63" s="173" t="str">
        <f>IF('Bulk Order Details'!M73="","",MAX(1,'Bulk Order Details'!G73))</f>
        <v/>
      </c>
      <c r="AA63" s="196" t="str">
        <f>IF(Pricing_Details[[#This Row],[Quantity]]="","",Pricing_Details[[#This Row],[Retail Price]]*Pricing_Details[[#This Row],[Quantity]])</f>
        <v/>
      </c>
      <c r="AB63" s="196" t="str">
        <f>IF(Pricing_Details[[#This Row],[Quantity]]="","",Pricing_Details[[#This Row],[Total Discount]]*Pricing_Details[[#This Row],[Quantity]])</f>
        <v/>
      </c>
      <c r="AC63" s="176" t="str">
        <f>IFERROR(ROUND(Pricing_Details[[#This Row],[Actual Price]]*Pricing_Details[[#This Row],[Quantity]],2),"")</f>
        <v/>
      </c>
      <c r="AE63" s="156" t="str">
        <f>IF('Bulk Order Details'!M73="","",VLOOKUP('Bulk Order Details'!K73,Collection[],3)&amp;VLOOKUP('Bulk Order Details'!M73,Collar[],4)&amp;VLOOKUP('Bulk Order Details'!L73,Sleeve[],4))</f>
        <v/>
      </c>
      <c r="AF63" s="156" t="str">
        <f>IF('Bulk Order Details'!M73="","",LOOKUP('Bulk Order Details'!H73,Cut[Display],Cut[Code])&amp;LOOKUP('Bulk Order Details'!I73,#REF!,#REF!)&amp;IF('Bulk Order Details'!J73="","",LOOKUP('Bulk Order Details'!J73,Length[Display],Length[Code])))</f>
        <v/>
      </c>
      <c r="AG63" s="156" t="str">
        <f>IF('Bulk Order Details'!M73="","",IF('Bulk Order Details'!F73="","",'Bulk Order Details'!F73))</f>
        <v/>
      </c>
      <c r="AH63" s="156" t="str">
        <f>IF('Bulk Order Details'!R73="","","-"&amp;LOOKUP('Bulk Order Details'!R73,#REF!,#REF!))</f>
        <v/>
      </c>
      <c r="AI63" s="156" t="str">
        <f>IF('Bulk Order Details'!S73="","","-"&amp;LOOKUP('Bulk Order Details'!S73,#REF!,#REF!))</f>
        <v/>
      </c>
      <c r="AJ63" s="156" t="str">
        <f>IF('Bulk Order Details'!T73="","","-"&amp;LOOKUP('Bulk Order Details'!T73,#REF!,#REF!))</f>
        <v/>
      </c>
      <c r="AK63" s="156" t="str">
        <f>IF('Bulk Order Details'!U73="","","-"&amp;LOOKUP('Bulk Order Details'!U73,#REF!,#REF!))</f>
        <v/>
      </c>
      <c r="AL63" s="156" t="str">
        <f>IF('Bulk Order Details'!V73="","","-"&amp;LOOKUP('Bulk Order Details'!V73,#REF!,#REF!))</f>
        <v/>
      </c>
      <c r="AM63" s="156" t="str">
        <f t="shared" si="2"/>
        <v/>
      </c>
      <c r="AN63" s="156" t="str">
        <f>IF('Bulk Order Details'!N73="","","Na-"&amp;'Bulk Order Details'!N73)</f>
        <v/>
      </c>
      <c r="AO63" s="156" t="str">
        <f>IF('Bulk Order Details'!Q73="","","Fo-"&amp;'Bulk Order Details'!Q73)</f>
        <v/>
      </c>
      <c r="AP63" s="156" t="str">
        <f t="shared" si="3"/>
        <v/>
      </c>
      <c r="AQ63" s="37" t="str">
        <f t="shared" si="4"/>
        <v/>
      </c>
    </row>
    <row r="64" spans="2:43" ht="15" customHeight="1" x14ac:dyDescent="0.2">
      <c r="B64" s="34">
        <f>'Bulk Order Details'!B74</f>
        <v>61</v>
      </c>
      <c r="C64" s="34" t="str">
        <f>IF('Bulk Order Details'!C74="","",'Bulk Order Details'!C74&amp;" "&amp;'Bulk Order Details'!D74)</f>
        <v/>
      </c>
      <c r="D64" s="31" t="str">
        <f>IF('Bulk Order Details'!M74="","",VLOOKUP(1,Price[],3))</f>
        <v/>
      </c>
      <c r="E64" s="29" t="str">
        <f>IF('Bulk Order Details'!M74="","",Summary!$D$9)</f>
        <v/>
      </c>
      <c r="F64" s="16" t="str">
        <f>IF('Bulk Order Details'!I74="","",_xlfn.XLOOKUP('Bulk Order Details'!I74,Size[Display],Size[Price]))</f>
        <v/>
      </c>
      <c r="G64" s="16" t="str">
        <f>IF('Bulk Order Details'!J74="","",_xlfn.XLOOKUP('Bulk Order Details'!J74,Length[Display],Length[Price]))</f>
        <v/>
      </c>
      <c r="H64" s="16" t="str">
        <f>IF('Bulk Order Details'!K74="","",_xlfn.XLOOKUP('Bulk Order Details'!K74,Collection[Display],Collection[Price]))</f>
        <v/>
      </c>
      <c r="I64" s="16" t="str">
        <f>IF('Bulk Order Details'!L74="","",_xlfn.XLOOKUP('Bulk Order Details'!L74,Sleeve[Display],Sleeve[Price]))</f>
        <v/>
      </c>
      <c r="J64" s="16" t="str">
        <f>IF('Bulk Order Details'!M74="","",_xlfn.XLOOKUP('Bulk Order Details'!M74,Collar[Display],Collar[Price]))</f>
        <v/>
      </c>
      <c r="K64" s="16" t="str">
        <f>IF('Bulk Order Details'!N74="","",_xlfn.XLOOKUP("Name",Name[Name],Name[Price]))</f>
        <v/>
      </c>
      <c r="L64" s="18" t="str">
        <f>IFERROR(IF('Bulk Order Details'!R74="","",IF(_xlfn.XLOOKUP('Bulk Order Details'!R74,Logos[Display],Logos[Use])="Flat",_xlfn.XLOOKUP('Bulk Order Details'!R74,Logos[Display],Logos[Flat]),ROUND(_xlfn.XLOOKUP('Bulk Order Details'!R74,Logos[Display],Logos[Pct])*$E64,2))),"")</f>
        <v/>
      </c>
      <c r="M64" s="22" t="str">
        <f>IFERROR(IF('Bulk Order Details'!S74="","",IF(_xlfn.XLOOKUP('Bulk Order Details'!S74,Chest[Display],Chest[Use])="Flat",_xlfn.XLOOKUP('Bulk Order Details'!S74,Chest[Display],Chest[Flat]),ROUND(_xlfn.XLOOKUP('Bulk Order Details'!S74,Chest[Display],Chest[Pct])*$E64,2))),"")</f>
        <v/>
      </c>
      <c r="N64" s="22" t="str">
        <f>IFERROR(IF('Bulk Order Details'!T74="","",IF(_xlfn.XLOOKUP('Bulk Order Details'!T74,Chest[Display],Chest[Use])="Flat",_xlfn.XLOOKUP('Bulk Order Details'!T74,Chest[Display],Chest[Flat]),ROUND(_xlfn.XLOOKUP('Bulk Order Details'!T74,Chest[Display],Chest[Pct])*$E64,2))),"")</f>
        <v/>
      </c>
      <c r="O64" s="22" t="str">
        <f>IFERROR(IF('Bulk Order Details'!U74="","",IF(_xlfn.XLOOKUP('Bulk Order Details'!U74,LeftSleeve[Display],LeftSleeve[Use])="Flat",_xlfn.XLOOKUP('Bulk Order Details'!U74,LeftSleeve[Display],LeftSleeve[Flat]),ROUND(_xlfn.XLOOKUP('Bulk Order Details'!U74,LeftSleeve[Display],LeftSleeve[Pct])*$E64,2))),"")</f>
        <v/>
      </c>
      <c r="P64" s="22" t="str">
        <f>IFERROR(IF('Bulk Order Details'!V74="","",IF(_xlfn.XLOOKUP('Bulk Order Details'!V74,RightSleeve[Display],RightSleeve[Use])="Flat",_xlfn.XLOOKUP('Bulk Order Details'!V74,RightSleeve[Display],RightSleeve[Flat]),ROUND(_xlfn.XLOOKUP('Bulk Order Details'!V74,RightSleeve[Display],RightSleeve[Pct])*$E64,2))),"")</f>
        <v/>
      </c>
      <c r="Q64" s="27" t="str">
        <f>IF('Bulk Order Details'!M74="","",SUM(F64:P64))</f>
        <v/>
      </c>
      <c r="R64" s="24" t="str">
        <f t="shared" si="1"/>
        <v/>
      </c>
      <c r="S64" s="23" t="str">
        <f>IFERROR(MIN(IF(Summary!$D$11="Yes",-J64,0),IF(H64&gt;0,-J64,0)),"")</f>
        <v/>
      </c>
      <c r="T64" s="16" t="str">
        <f>IFERROR(IF(Summary!$D$10="Yes",-K64,""),"")</f>
        <v/>
      </c>
      <c r="U64" s="18" t="str">
        <f>IFERROR(IF(Summary!$D$12="Yes",-L64,""),"")</f>
        <v/>
      </c>
      <c r="V64" s="25" t="str">
        <f>IF('Bulk Order Details'!M74="","",SUM(R64:U64))</f>
        <v/>
      </c>
      <c r="W64" s="36" t="str">
        <f>IF('Bulk Order Details'!M74="","",D64+Q64)</f>
        <v/>
      </c>
      <c r="X64" s="37" t="str">
        <f>IF('Bulk Order Details'!M74="","",D64+Q64+V64)</f>
        <v/>
      </c>
      <c r="Y64" s="168" t="str">
        <f t="shared" si="0"/>
        <v/>
      </c>
      <c r="Z64" s="173" t="str">
        <f>IF('Bulk Order Details'!M74="","",MAX(1,'Bulk Order Details'!G74))</f>
        <v/>
      </c>
      <c r="AA64" s="196" t="str">
        <f>IF(Pricing_Details[[#This Row],[Quantity]]="","",Pricing_Details[[#This Row],[Retail Price]]*Pricing_Details[[#This Row],[Quantity]])</f>
        <v/>
      </c>
      <c r="AB64" s="196" t="str">
        <f>IF(Pricing_Details[[#This Row],[Quantity]]="","",Pricing_Details[[#This Row],[Total Discount]]*Pricing_Details[[#This Row],[Quantity]])</f>
        <v/>
      </c>
      <c r="AC64" s="176" t="str">
        <f>IFERROR(ROUND(Pricing_Details[[#This Row],[Actual Price]]*Pricing_Details[[#This Row],[Quantity]],2),"")</f>
        <v/>
      </c>
      <c r="AE64" s="156" t="str">
        <f>IF('Bulk Order Details'!M74="","",VLOOKUP('Bulk Order Details'!K74,Collection[],3)&amp;VLOOKUP('Bulk Order Details'!M74,Collar[],4)&amp;VLOOKUP('Bulk Order Details'!L74,Sleeve[],4))</f>
        <v/>
      </c>
      <c r="AF64" s="156" t="str">
        <f>IF('Bulk Order Details'!M74="","",LOOKUP('Bulk Order Details'!H74,Cut[Display],Cut[Code])&amp;LOOKUP('Bulk Order Details'!I74,#REF!,#REF!)&amp;IF('Bulk Order Details'!J74="","",LOOKUP('Bulk Order Details'!J74,Length[Display],Length[Code])))</f>
        <v/>
      </c>
      <c r="AG64" s="156" t="str">
        <f>IF('Bulk Order Details'!M74="","",IF('Bulk Order Details'!F74="","",'Bulk Order Details'!F74))</f>
        <v/>
      </c>
      <c r="AH64" s="156" t="str">
        <f>IF('Bulk Order Details'!R74="","","-"&amp;LOOKUP('Bulk Order Details'!R74,#REF!,#REF!))</f>
        <v/>
      </c>
      <c r="AI64" s="156" t="str">
        <f>IF('Bulk Order Details'!S74="","","-"&amp;LOOKUP('Bulk Order Details'!S74,#REF!,#REF!))</f>
        <v/>
      </c>
      <c r="AJ64" s="156" t="str">
        <f>IF('Bulk Order Details'!T74="","","-"&amp;LOOKUP('Bulk Order Details'!T74,#REF!,#REF!))</f>
        <v/>
      </c>
      <c r="AK64" s="156" t="str">
        <f>IF('Bulk Order Details'!U74="","","-"&amp;LOOKUP('Bulk Order Details'!U74,#REF!,#REF!))</f>
        <v/>
      </c>
      <c r="AL64" s="156" t="str">
        <f>IF('Bulk Order Details'!V74="","","-"&amp;LOOKUP('Bulk Order Details'!V74,#REF!,#REF!))</f>
        <v/>
      </c>
      <c r="AM64" s="156" t="str">
        <f t="shared" si="2"/>
        <v/>
      </c>
      <c r="AN64" s="156" t="str">
        <f>IF('Bulk Order Details'!N74="","","Na-"&amp;'Bulk Order Details'!N74)</f>
        <v/>
      </c>
      <c r="AO64" s="156" t="str">
        <f>IF('Bulk Order Details'!Q74="","","Fo-"&amp;'Bulk Order Details'!Q74)</f>
        <v/>
      </c>
      <c r="AP64" s="156" t="str">
        <f t="shared" si="3"/>
        <v/>
      </c>
      <c r="AQ64" s="37" t="str">
        <f t="shared" si="4"/>
        <v/>
      </c>
    </row>
    <row r="65" spans="2:43" ht="15" customHeight="1" x14ac:dyDescent="0.2">
      <c r="B65" s="34">
        <f>'Bulk Order Details'!B75</f>
        <v>62</v>
      </c>
      <c r="C65" s="34" t="str">
        <f>IF('Bulk Order Details'!C75="","",'Bulk Order Details'!C75&amp;" "&amp;'Bulk Order Details'!D75)</f>
        <v/>
      </c>
      <c r="D65" s="31" t="str">
        <f>IF('Bulk Order Details'!M75="","",VLOOKUP(1,Price[],3))</f>
        <v/>
      </c>
      <c r="E65" s="29" t="str">
        <f>IF('Bulk Order Details'!M75="","",Summary!$D$9)</f>
        <v/>
      </c>
      <c r="F65" s="16" t="str">
        <f>IF('Bulk Order Details'!I75="","",_xlfn.XLOOKUP('Bulk Order Details'!I75,Size[Display],Size[Price]))</f>
        <v/>
      </c>
      <c r="G65" s="16" t="str">
        <f>IF('Bulk Order Details'!J75="","",_xlfn.XLOOKUP('Bulk Order Details'!J75,Length[Display],Length[Price]))</f>
        <v/>
      </c>
      <c r="H65" s="16" t="str">
        <f>IF('Bulk Order Details'!K75="","",_xlfn.XLOOKUP('Bulk Order Details'!K75,Collection[Display],Collection[Price]))</f>
        <v/>
      </c>
      <c r="I65" s="16" t="str">
        <f>IF('Bulk Order Details'!L75="","",_xlfn.XLOOKUP('Bulk Order Details'!L75,Sleeve[Display],Sleeve[Price]))</f>
        <v/>
      </c>
      <c r="J65" s="16" t="str">
        <f>IF('Bulk Order Details'!M75="","",_xlfn.XLOOKUP('Bulk Order Details'!M75,Collar[Display],Collar[Price]))</f>
        <v/>
      </c>
      <c r="K65" s="16" t="str">
        <f>IF('Bulk Order Details'!N75="","",_xlfn.XLOOKUP("Name",Name[Name],Name[Price]))</f>
        <v/>
      </c>
      <c r="L65" s="18" t="str">
        <f>IFERROR(IF('Bulk Order Details'!R75="","",IF(_xlfn.XLOOKUP('Bulk Order Details'!R75,Logos[Display],Logos[Use])="Flat",_xlfn.XLOOKUP('Bulk Order Details'!R75,Logos[Display],Logos[Flat]),ROUND(_xlfn.XLOOKUP('Bulk Order Details'!R75,Logos[Display],Logos[Pct])*$E65,2))),"")</f>
        <v/>
      </c>
      <c r="M65" s="22" t="str">
        <f>IFERROR(IF('Bulk Order Details'!S75="","",IF(_xlfn.XLOOKUP('Bulk Order Details'!S75,Chest[Display],Chest[Use])="Flat",_xlfn.XLOOKUP('Bulk Order Details'!S75,Chest[Display],Chest[Flat]),ROUND(_xlfn.XLOOKUP('Bulk Order Details'!S75,Chest[Display],Chest[Pct])*$E65,2))),"")</f>
        <v/>
      </c>
      <c r="N65" s="22" t="str">
        <f>IFERROR(IF('Bulk Order Details'!T75="","",IF(_xlfn.XLOOKUP('Bulk Order Details'!T75,Chest[Display],Chest[Use])="Flat",_xlfn.XLOOKUP('Bulk Order Details'!T75,Chest[Display],Chest[Flat]),ROUND(_xlfn.XLOOKUP('Bulk Order Details'!T75,Chest[Display],Chest[Pct])*$E65,2))),"")</f>
        <v/>
      </c>
      <c r="O65" s="22" t="str">
        <f>IFERROR(IF('Bulk Order Details'!U75="","",IF(_xlfn.XLOOKUP('Bulk Order Details'!U75,LeftSleeve[Display],LeftSleeve[Use])="Flat",_xlfn.XLOOKUP('Bulk Order Details'!U75,LeftSleeve[Display],LeftSleeve[Flat]),ROUND(_xlfn.XLOOKUP('Bulk Order Details'!U75,LeftSleeve[Display],LeftSleeve[Pct])*$E65,2))),"")</f>
        <v/>
      </c>
      <c r="P65" s="22" t="str">
        <f>IFERROR(IF('Bulk Order Details'!V75="","",IF(_xlfn.XLOOKUP('Bulk Order Details'!V75,RightSleeve[Display],RightSleeve[Use])="Flat",_xlfn.XLOOKUP('Bulk Order Details'!V75,RightSleeve[Display],RightSleeve[Flat]),ROUND(_xlfn.XLOOKUP('Bulk Order Details'!V75,RightSleeve[Display],RightSleeve[Pct])*$E65,2))),"")</f>
        <v/>
      </c>
      <c r="Q65" s="27" t="str">
        <f>IF('Bulk Order Details'!M75="","",SUM(F65:P65))</f>
        <v/>
      </c>
      <c r="R65" s="24" t="str">
        <f t="shared" si="1"/>
        <v/>
      </c>
      <c r="S65" s="23" t="str">
        <f>IFERROR(MIN(IF(Summary!$D$11="Yes",-J65,0),IF(H65&gt;0,-J65,0)),"")</f>
        <v/>
      </c>
      <c r="T65" s="16" t="str">
        <f>IFERROR(IF(Summary!$D$10="Yes",-K65,""),"")</f>
        <v/>
      </c>
      <c r="U65" s="18" t="str">
        <f>IFERROR(IF(Summary!$D$12="Yes",-L65,""),"")</f>
        <v/>
      </c>
      <c r="V65" s="25" t="str">
        <f>IF('Bulk Order Details'!M75="","",SUM(R65:U65))</f>
        <v/>
      </c>
      <c r="W65" s="36" t="str">
        <f>IF('Bulk Order Details'!M75="","",D65+Q65)</f>
        <v/>
      </c>
      <c r="X65" s="37" t="str">
        <f>IF('Bulk Order Details'!M75="","",D65+Q65+V65)</f>
        <v/>
      </c>
      <c r="Y65" s="168" t="str">
        <f t="shared" si="0"/>
        <v/>
      </c>
      <c r="Z65" s="173" t="str">
        <f>IF('Bulk Order Details'!M75="","",MAX(1,'Bulk Order Details'!G75))</f>
        <v/>
      </c>
      <c r="AA65" s="196" t="str">
        <f>IF(Pricing_Details[[#This Row],[Quantity]]="","",Pricing_Details[[#This Row],[Retail Price]]*Pricing_Details[[#This Row],[Quantity]])</f>
        <v/>
      </c>
      <c r="AB65" s="196" t="str">
        <f>IF(Pricing_Details[[#This Row],[Quantity]]="","",Pricing_Details[[#This Row],[Total Discount]]*Pricing_Details[[#This Row],[Quantity]])</f>
        <v/>
      </c>
      <c r="AC65" s="176" t="str">
        <f>IFERROR(ROUND(Pricing_Details[[#This Row],[Actual Price]]*Pricing_Details[[#This Row],[Quantity]],2),"")</f>
        <v/>
      </c>
      <c r="AE65" s="156" t="str">
        <f>IF('Bulk Order Details'!M75="","",VLOOKUP('Bulk Order Details'!K75,Collection[],3)&amp;VLOOKUP('Bulk Order Details'!M75,Collar[],4)&amp;VLOOKUP('Bulk Order Details'!L75,Sleeve[],4))</f>
        <v/>
      </c>
      <c r="AF65" s="156" t="str">
        <f>IF('Bulk Order Details'!M75="","",LOOKUP('Bulk Order Details'!H75,Cut[Display],Cut[Code])&amp;LOOKUP('Bulk Order Details'!I75,#REF!,#REF!)&amp;IF('Bulk Order Details'!J75="","",LOOKUP('Bulk Order Details'!J75,Length[Display],Length[Code])))</f>
        <v/>
      </c>
      <c r="AG65" s="156" t="str">
        <f>IF('Bulk Order Details'!M75="","",IF('Bulk Order Details'!F75="","",'Bulk Order Details'!F75))</f>
        <v/>
      </c>
      <c r="AH65" s="156" t="str">
        <f>IF('Bulk Order Details'!R75="","","-"&amp;LOOKUP('Bulk Order Details'!R75,#REF!,#REF!))</f>
        <v/>
      </c>
      <c r="AI65" s="156" t="str">
        <f>IF('Bulk Order Details'!S75="","","-"&amp;LOOKUP('Bulk Order Details'!S75,#REF!,#REF!))</f>
        <v/>
      </c>
      <c r="AJ65" s="156" t="str">
        <f>IF('Bulk Order Details'!T75="","","-"&amp;LOOKUP('Bulk Order Details'!T75,#REF!,#REF!))</f>
        <v/>
      </c>
      <c r="AK65" s="156" t="str">
        <f>IF('Bulk Order Details'!U75="","","-"&amp;LOOKUP('Bulk Order Details'!U75,#REF!,#REF!))</f>
        <v/>
      </c>
      <c r="AL65" s="156" t="str">
        <f>IF('Bulk Order Details'!V75="","","-"&amp;LOOKUP('Bulk Order Details'!V75,#REF!,#REF!))</f>
        <v/>
      </c>
      <c r="AM65" s="156" t="str">
        <f t="shared" si="2"/>
        <v/>
      </c>
      <c r="AN65" s="156" t="str">
        <f>IF('Bulk Order Details'!N75="","","Na-"&amp;'Bulk Order Details'!N75)</f>
        <v/>
      </c>
      <c r="AO65" s="156" t="str">
        <f>IF('Bulk Order Details'!Q75="","","Fo-"&amp;'Bulk Order Details'!Q75)</f>
        <v/>
      </c>
      <c r="AP65" s="156" t="str">
        <f t="shared" si="3"/>
        <v/>
      </c>
      <c r="AQ65" s="37" t="str">
        <f t="shared" si="4"/>
        <v/>
      </c>
    </row>
    <row r="66" spans="2:43" ht="15" customHeight="1" x14ac:dyDescent="0.2">
      <c r="B66" s="34">
        <f>'Bulk Order Details'!B76</f>
        <v>63</v>
      </c>
      <c r="C66" s="34" t="str">
        <f>IF('Bulk Order Details'!C76="","",'Bulk Order Details'!C76&amp;" "&amp;'Bulk Order Details'!D76)</f>
        <v/>
      </c>
      <c r="D66" s="31" t="str">
        <f>IF('Bulk Order Details'!M76="","",VLOOKUP(1,Price[],3))</f>
        <v/>
      </c>
      <c r="E66" s="29" t="str">
        <f>IF('Bulk Order Details'!M76="","",Summary!$D$9)</f>
        <v/>
      </c>
      <c r="F66" s="16" t="str">
        <f>IF('Bulk Order Details'!I76="","",_xlfn.XLOOKUP('Bulk Order Details'!I76,Size[Display],Size[Price]))</f>
        <v/>
      </c>
      <c r="G66" s="16" t="str">
        <f>IF('Bulk Order Details'!J76="","",_xlfn.XLOOKUP('Bulk Order Details'!J76,Length[Display],Length[Price]))</f>
        <v/>
      </c>
      <c r="H66" s="16" t="str">
        <f>IF('Bulk Order Details'!K76="","",_xlfn.XLOOKUP('Bulk Order Details'!K76,Collection[Display],Collection[Price]))</f>
        <v/>
      </c>
      <c r="I66" s="16" t="str">
        <f>IF('Bulk Order Details'!L76="","",_xlfn.XLOOKUP('Bulk Order Details'!L76,Sleeve[Display],Sleeve[Price]))</f>
        <v/>
      </c>
      <c r="J66" s="16" t="str">
        <f>IF('Bulk Order Details'!M76="","",_xlfn.XLOOKUP('Bulk Order Details'!M76,Collar[Display],Collar[Price]))</f>
        <v/>
      </c>
      <c r="K66" s="16" t="str">
        <f>IF('Bulk Order Details'!N76="","",_xlfn.XLOOKUP("Name",Name[Name],Name[Price]))</f>
        <v/>
      </c>
      <c r="L66" s="18" t="str">
        <f>IFERROR(IF('Bulk Order Details'!R76="","",IF(_xlfn.XLOOKUP('Bulk Order Details'!R76,Logos[Display],Logos[Use])="Flat",_xlfn.XLOOKUP('Bulk Order Details'!R76,Logos[Display],Logos[Flat]),ROUND(_xlfn.XLOOKUP('Bulk Order Details'!R76,Logos[Display],Logos[Pct])*$E66,2))),"")</f>
        <v/>
      </c>
      <c r="M66" s="22" t="str">
        <f>IFERROR(IF('Bulk Order Details'!S76="","",IF(_xlfn.XLOOKUP('Bulk Order Details'!S76,Chest[Display],Chest[Use])="Flat",_xlfn.XLOOKUP('Bulk Order Details'!S76,Chest[Display],Chest[Flat]),ROUND(_xlfn.XLOOKUP('Bulk Order Details'!S76,Chest[Display],Chest[Pct])*$E66,2))),"")</f>
        <v/>
      </c>
      <c r="N66" s="22" t="str">
        <f>IFERROR(IF('Bulk Order Details'!T76="","",IF(_xlfn.XLOOKUP('Bulk Order Details'!T76,Chest[Display],Chest[Use])="Flat",_xlfn.XLOOKUP('Bulk Order Details'!T76,Chest[Display],Chest[Flat]),ROUND(_xlfn.XLOOKUP('Bulk Order Details'!T76,Chest[Display],Chest[Pct])*$E66,2))),"")</f>
        <v/>
      </c>
      <c r="O66" s="22" t="str">
        <f>IFERROR(IF('Bulk Order Details'!U76="","",IF(_xlfn.XLOOKUP('Bulk Order Details'!U76,LeftSleeve[Display],LeftSleeve[Use])="Flat",_xlfn.XLOOKUP('Bulk Order Details'!U76,LeftSleeve[Display],LeftSleeve[Flat]),ROUND(_xlfn.XLOOKUP('Bulk Order Details'!U76,LeftSleeve[Display],LeftSleeve[Pct])*$E66,2))),"")</f>
        <v/>
      </c>
      <c r="P66" s="22" t="str">
        <f>IFERROR(IF('Bulk Order Details'!V76="","",IF(_xlfn.XLOOKUP('Bulk Order Details'!V76,RightSleeve[Display],RightSleeve[Use])="Flat",_xlfn.XLOOKUP('Bulk Order Details'!V76,RightSleeve[Display],RightSleeve[Flat]),ROUND(_xlfn.XLOOKUP('Bulk Order Details'!V76,RightSleeve[Display],RightSleeve[Pct])*$E66,2))),"")</f>
        <v/>
      </c>
      <c r="Q66" s="27" t="str">
        <f>IF('Bulk Order Details'!M76="","",SUM(F66:P66))</f>
        <v/>
      </c>
      <c r="R66" s="24" t="str">
        <f t="shared" si="1"/>
        <v/>
      </c>
      <c r="S66" s="23" t="str">
        <f>IFERROR(MIN(IF(Summary!$D$11="Yes",-J66,0),IF(H66&gt;0,-J66,0)),"")</f>
        <v/>
      </c>
      <c r="T66" s="16" t="str">
        <f>IFERROR(IF(Summary!$D$10="Yes",-K66,""),"")</f>
        <v/>
      </c>
      <c r="U66" s="18" t="str">
        <f>IFERROR(IF(Summary!$D$12="Yes",-L66,""),"")</f>
        <v/>
      </c>
      <c r="V66" s="25" t="str">
        <f>IF('Bulk Order Details'!M76="","",SUM(R66:U66))</f>
        <v/>
      </c>
      <c r="W66" s="36" t="str">
        <f>IF('Bulk Order Details'!M76="","",D66+Q66)</f>
        <v/>
      </c>
      <c r="X66" s="37" t="str">
        <f>IF('Bulk Order Details'!M76="","",D66+Q66+V66)</f>
        <v/>
      </c>
      <c r="Y66" s="168" t="str">
        <f t="shared" si="0"/>
        <v/>
      </c>
      <c r="Z66" s="173" t="str">
        <f>IF('Bulk Order Details'!M76="","",MAX(1,'Bulk Order Details'!G76))</f>
        <v/>
      </c>
      <c r="AA66" s="196" t="str">
        <f>IF(Pricing_Details[[#This Row],[Quantity]]="","",Pricing_Details[[#This Row],[Retail Price]]*Pricing_Details[[#This Row],[Quantity]])</f>
        <v/>
      </c>
      <c r="AB66" s="196" t="str">
        <f>IF(Pricing_Details[[#This Row],[Quantity]]="","",Pricing_Details[[#This Row],[Total Discount]]*Pricing_Details[[#This Row],[Quantity]])</f>
        <v/>
      </c>
      <c r="AC66" s="176" t="str">
        <f>IFERROR(ROUND(Pricing_Details[[#This Row],[Actual Price]]*Pricing_Details[[#This Row],[Quantity]],2),"")</f>
        <v/>
      </c>
      <c r="AE66" s="156" t="str">
        <f>IF('Bulk Order Details'!M76="","",VLOOKUP('Bulk Order Details'!K76,Collection[],3)&amp;VLOOKUP('Bulk Order Details'!M76,Collar[],4)&amp;VLOOKUP('Bulk Order Details'!L76,Sleeve[],4))</f>
        <v/>
      </c>
      <c r="AF66" s="156" t="str">
        <f>IF('Bulk Order Details'!M76="","",LOOKUP('Bulk Order Details'!H76,Cut[Display],Cut[Code])&amp;LOOKUP('Bulk Order Details'!I76,#REF!,#REF!)&amp;IF('Bulk Order Details'!J76="","",LOOKUP('Bulk Order Details'!J76,Length[Display],Length[Code])))</f>
        <v/>
      </c>
      <c r="AG66" s="156" t="str">
        <f>IF('Bulk Order Details'!M76="","",IF('Bulk Order Details'!F76="","",'Bulk Order Details'!F76))</f>
        <v/>
      </c>
      <c r="AH66" s="156" t="str">
        <f>IF('Bulk Order Details'!R76="","","-"&amp;LOOKUP('Bulk Order Details'!R76,#REF!,#REF!))</f>
        <v/>
      </c>
      <c r="AI66" s="156" t="str">
        <f>IF('Bulk Order Details'!S76="","","-"&amp;LOOKUP('Bulk Order Details'!S76,#REF!,#REF!))</f>
        <v/>
      </c>
      <c r="AJ66" s="156" t="str">
        <f>IF('Bulk Order Details'!T76="","","-"&amp;LOOKUP('Bulk Order Details'!T76,#REF!,#REF!))</f>
        <v/>
      </c>
      <c r="AK66" s="156" t="str">
        <f>IF('Bulk Order Details'!U76="","","-"&amp;LOOKUP('Bulk Order Details'!U76,#REF!,#REF!))</f>
        <v/>
      </c>
      <c r="AL66" s="156" t="str">
        <f>IF('Bulk Order Details'!V76="","","-"&amp;LOOKUP('Bulk Order Details'!V76,#REF!,#REF!))</f>
        <v/>
      </c>
      <c r="AM66" s="156" t="str">
        <f t="shared" si="2"/>
        <v/>
      </c>
      <c r="AN66" s="156" t="str">
        <f>IF('Bulk Order Details'!N76="","","Na-"&amp;'Bulk Order Details'!N76)</f>
        <v/>
      </c>
      <c r="AO66" s="156" t="str">
        <f>IF('Bulk Order Details'!Q76="","","Fo-"&amp;'Bulk Order Details'!Q76)</f>
        <v/>
      </c>
      <c r="AP66" s="156" t="str">
        <f t="shared" si="3"/>
        <v/>
      </c>
      <c r="AQ66" s="37" t="str">
        <f t="shared" si="4"/>
        <v/>
      </c>
    </row>
    <row r="67" spans="2:43" ht="15" customHeight="1" x14ac:dyDescent="0.2">
      <c r="B67" s="34">
        <f>'Bulk Order Details'!B77</f>
        <v>64</v>
      </c>
      <c r="C67" s="34" t="str">
        <f>IF('Bulk Order Details'!C77="","",'Bulk Order Details'!C77&amp;" "&amp;'Bulk Order Details'!D77)</f>
        <v/>
      </c>
      <c r="D67" s="31" t="str">
        <f>IF('Bulk Order Details'!M77="","",VLOOKUP(1,Price[],3))</f>
        <v/>
      </c>
      <c r="E67" s="29" t="str">
        <f>IF('Bulk Order Details'!M77="","",Summary!$D$9)</f>
        <v/>
      </c>
      <c r="F67" s="16" t="str">
        <f>IF('Bulk Order Details'!I77="","",_xlfn.XLOOKUP('Bulk Order Details'!I77,Size[Display],Size[Price]))</f>
        <v/>
      </c>
      <c r="G67" s="16" t="str">
        <f>IF('Bulk Order Details'!J77="","",_xlfn.XLOOKUP('Bulk Order Details'!J77,Length[Display],Length[Price]))</f>
        <v/>
      </c>
      <c r="H67" s="16" t="str">
        <f>IF('Bulk Order Details'!K77="","",_xlfn.XLOOKUP('Bulk Order Details'!K77,Collection[Display],Collection[Price]))</f>
        <v/>
      </c>
      <c r="I67" s="16" t="str">
        <f>IF('Bulk Order Details'!L77="","",_xlfn.XLOOKUP('Bulk Order Details'!L77,Sleeve[Display],Sleeve[Price]))</f>
        <v/>
      </c>
      <c r="J67" s="16" t="str">
        <f>IF('Bulk Order Details'!M77="","",_xlfn.XLOOKUP('Bulk Order Details'!M77,Collar[Display],Collar[Price]))</f>
        <v/>
      </c>
      <c r="K67" s="16" t="str">
        <f>IF('Bulk Order Details'!N77="","",_xlfn.XLOOKUP("Name",Name[Name],Name[Price]))</f>
        <v/>
      </c>
      <c r="L67" s="18" t="str">
        <f>IFERROR(IF('Bulk Order Details'!R77="","",IF(_xlfn.XLOOKUP('Bulk Order Details'!R77,Logos[Display],Logos[Use])="Flat",_xlfn.XLOOKUP('Bulk Order Details'!R77,Logos[Display],Logos[Flat]),ROUND(_xlfn.XLOOKUP('Bulk Order Details'!R77,Logos[Display],Logos[Pct])*$E67,2))),"")</f>
        <v/>
      </c>
      <c r="M67" s="22" t="str">
        <f>IFERROR(IF('Bulk Order Details'!S77="","",IF(_xlfn.XLOOKUP('Bulk Order Details'!S77,Chest[Display],Chest[Use])="Flat",_xlfn.XLOOKUP('Bulk Order Details'!S77,Chest[Display],Chest[Flat]),ROUND(_xlfn.XLOOKUP('Bulk Order Details'!S77,Chest[Display],Chest[Pct])*$E67,2))),"")</f>
        <v/>
      </c>
      <c r="N67" s="22" t="str">
        <f>IFERROR(IF('Bulk Order Details'!T77="","",IF(_xlfn.XLOOKUP('Bulk Order Details'!T77,Chest[Display],Chest[Use])="Flat",_xlfn.XLOOKUP('Bulk Order Details'!T77,Chest[Display],Chest[Flat]),ROUND(_xlfn.XLOOKUP('Bulk Order Details'!T77,Chest[Display],Chest[Pct])*$E67,2))),"")</f>
        <v/>
      </c>
      <c r="O67" s="22" t="str">
        <f>IFERROR(IF('Bulk Order Details'!U77="","",IF(_xlfn.XLOOKUP('Bulk Order Details'!U77,LeftSleeve[Display],LeftSleeve[Use])="Flat",_xlfn.XLOOKUP('Bulk Order Details'!U77,LeftSleeve[Display],LeftSleeve[Flat]),ROUND(_xlfn.XLOOKUP('Bulk Order Details'!U77,LeftSleeve[Display],LeftSleeve[Pct])*$E67,2))),"")</f>
        <v/>
      </c>
      <c r="P67" s="22" t="str">
        <f>IFERROR(IF('Bulk Order Details'!V77="","",IF(_xlfn.XLOOKUP('Bulk Order Details'!V77,RightSleeve[Display],RightSleeve[Use])="Flat",_xlfn.XLOOKUP('Bulk Order Details'!V77,RightSleeve[Display],RightSleeve[Flat]),ROUND(_xlfn.XLOOKUP('Bulk Order Details'!V77,RightSleeve[Display],RightSleeve[Pct])*$E67,2))),"")</f>
        <v/>
      </c>
      <c r="Q67" s="27" t="str">
        <f>IF('Bulk Order Details'!M77="","",SUM(F67:P67))</f>
        <v/>
      </c>
      <c r="R67" s="24" t="str">
        <f t="shared" si="1"/>
        <v/>
      </c>
      <c r="S67" s="23" t="str">
        <f>IFERROR(MIN(IF(Summary!$D$11="Yes",-J67,0),IF(H67&gt;0,-J67,0)),"")</f>
        <v/>
      </c>
      <c r="T67" s="16" t="str">
        <f>IFERROR(IF(Summary!$D$10="Yes",-K67,""),"")</f>
        <v/>
      </c>
      <c r="U67" s="18" t="str">
        <f>IFERROR(IF(Summary!$D$12="Yes",-L67,""),"")</f>
        <v/>
      </c>
      <c r="V67" s="25" t="str">
        <f>IF('Bulk Order Details'!M77="","",SUM(R67:U67))</f>
        <v/>
      </c>
      <c r="W67" s="36" t="str">
        <f>IF('Bulk Order Details'!M77="","",D67+Q67)</f>
        <v/>
      </c>
      <c r="X67" s="37" t="str">
        <f>IF('Bulk Order Details'!M77="","",D67+Q67+V67)</f>
        <v/>
      </c>
      <c r="Y67" s="168" t="str">
        <f t="shared" si="0"/>
        <v/>
      </c>
      <c r="Z67" s="173" t="str">
        <f>IF('Bulk Order Details'!M77="","",MAX(1,'Bulk Order Details'!G77))</f>
        <v/>
      </c>
      <c r="AA67" s="196" t="str">
        <f>IF(Pricing_Details[[#This Row],[Quantity]]="","",Pricing_Details[[#This Row],[Retail Price]]*Pricing_Details[[#This Row],[Quantity]])</f>
        <v/>
      </c>
      <c r="AB67" s="196" t="str">
        <f>IF(Pricing_Details[[#This Row],[Quantity]]="","",Pricing_Details[[#This Row],[Total Discount]]*Pricing_Details[[#This Row],[Quantity]])</f>
        <v/>
      </c>
      <c r="AC67" s="176" t="str">
        <f>IFERROR(ROUND(Pricing_Details[[#This Row],[Actual Price]]*Pricing_Details[[#This Row],[Quantity]],2),"")</f>
        <v/>
      </c>
      <c r="AE67" s="156" t="str">
        <f>IF('Bulk Order Details'!M77="","",VLOOKUP('Bulk Order Details'!K77,Collection[],3)&amp;VLOOKUP('Bulk Order Details'!M77,Collar[],4)&amp;VLOOKUP('Bulk Order Details'!L77,Sleeve[],4))</f>
        <v/>
      </c>
      <c r="AF67" s="156" t="str">
        <f>IF('Bulk Order Details'!M77="","",LOOKUP('Bulk Order Details'!H77,Cut[Display],Cut[Code])&amp;LOOKUP('Bulk Order Details'!I77,#REF!,#REF!)&amp;IF('Bulk Order Details'!J77="","",LOOKUP('Bulk Order Details'!J77,Length[Display],Length[Code])))</f>
        <v/>
      </c>
      <c r="AG67" s="156" t="str">
        <f>IF('Bulk Order Details'!M77="","",IF('Bulk Order Details'!F77="","",'Bulk Order Details'!F77))</f>
        <v/>
      </c>
      <c r="AH67" s="156" t="str">
        <f>IF('Bulk Order Details'!R77="","","-"&amp;LOOKUP('Bulk Order Details'!R77,#REF!,#REF!))</f>
        <v/>
      </c>
      <c r="AI67" s="156" t="str">
        <f>IF('Bulk Order Details'!S77="","","-"&amp;LOOKUP('Bulk Order Details'!S77,#REF!,#REF!))</f>
        <v/>
      </c>
      <c r="AJ67" s="156" t="str">
        <f>IF('Bulk Order Details'!T77="","","-"&amp;LOOKUP('Bulk Order Details'!T77,#REF!,#REF!))</f>
        <v/>
      </c>
      <c r="AK67" s="156" t="str">
        <f>IF('Bulk Order Details'!U77="","","-"&amp;LOOKUP('Bulk Order Details'!U77,#REF!,#REF!))</f>
        <v/>
      </c>
      <c r="AL67" s="156" t="str">
        <f>IF('Bulk Order Details'!V77="","","-"&amp;LOOKUP('Bulk Order Details'!V77,#REF!,#REF!))</f>
        <v/>
      </c>
      <c r="AM67" s="156" t="str">
        <f t="shared" si="2"/>
        <v/>
      </c>
      <c r="AN67" s="156" t="str">
        <f>IF('Bulk Order Details'!N77="","","Na-"&amp;'Bulk Order Details'!N77)</f>
        <v/>
      </c>
      <c r="AO67" s="156" t="str">
        <f>IF('Bulk Order Details'!Q77="","","Fo-"&amp;'Bulk Order Details'!Q77)</f>
        <v/>
      </c>
      <c r="AP67" s="156" t="str">
        <f t="shared" si="3"/>
        <v/>
      </c>
      <c r="AQ67" s="37" t="str">
        <f t="shared" si="4"/>
        <v/>
      </c>
    </row>
    <row r="68" spans="2:43" ht="15" customHeight="1" x14ac:dyDescent="0.2">
      <c r="B68" s="34">
        <f>'Bulk Order Details'!B78</f>
        <v>65</v>
      </c>
      <c r="C68" s="34" t="str">
        <f>IF('Bulk Order Details'!C78="","",'Bulk Order Details'!C78&amp;" "&amp;'Bulk Order Details'!D78)</f>
        <v/>
      </c>
      <c r="D68" s="31" t="str">
        <f>IF('Bulk Order Details'!M78="","",VLOOKUP(1,Price[],3))</f>
        <v/>
      </c>
      <c r="E68" s="29" t="str">
        <f>IF('Bulk Order Details'!M78="","",Summary!$D$9)</f>
        <v/>
      </c>
      <c r="F68" s="16" t="str">
        <f>IF('Bulk Order Details'!I78="","",_xlfn.XLOOKUP('Bulk Order Details'!I78,Size[Display],Size[Price]))</f>
        <v/>
      </c>
      <c r="G68" s="16" t="str">
        <f>IF('Bulk Order Details'!J78="","",_xlfn.XLOOKUP('Bulk Order Details'!J78,Length[Display],Length[Price]))</f>
        <v/>
      </c>
      <c r="H68" s="16" t="str">
        <f>IF('Bulk Order Details'!K78="","",_xlfn.XLOOKUP('Bulk Order Details'!K78,Collection[Display],Collection[Price]))</f>
        <v/>
      </c>
      <c r="I68" s="16" t="str">
        <f>IF('Bulk Order Details'!L78="","",_xlfn.XLOOKUP('Bulk Order Details'!L78,Sleeve[Display],Sleeve[Price]))</f>
        <v/>
      </c>
      <c r="J68" s="16" t="str">
        <f>IF('Bulk Order Details'!M78="","",_xlfn.XLOOKUP('Bulk Order Details'!M78,Collar[Display],Collar[Price]))</f>
        <v/>
      </c>
      <c r="K68" s="16" t="str">
        <f>IF('Bulk Order Details'!N78="","",_xlfn.XLOOKUP("Name",Name[Name],Name[Price]))</f>
        <v/>
      </c>
      <c r="L68" s="18" t="str">
        <f>IFERROR(IF('Bulk Order Details'!R78="","",IF(_xlfn.XLOOKUP('Bulk Order Details'!R78,Logos[Display],Logos[Use])="Flat",_xlfn.XLOOKUP('Bulk Order Details'!R78,Logos[Display],Logos[Flat]),ROUND(_xlfn.XLOOKUP('Bulk Order Details'!R78,Logos[Display],Logos[Pct])*$E68,2))),"")</f>
        <v/>
      </c>
      <c r="M68" s="22" t="str">
        <f>IFERROR(IF('Bulk Order Details'!S78="","",IF(_xlfn.XLOOKUP('Bulk Order Details'!S78,Chest[Display],Chest[Use])="Flat",_xlfn.XLOOKUP('Bulk Order Details'!S78,Chest[Display],Chest[Flat]),ROUND(_xlfn.XLOOKUP('Bulk Order Details'!S78,Chest[Display],Chest[Pct])*$E68,2))),"")</f>
        <v/>
      </c>
      <c r="N68" s="22" t="str">
        <f>IFERROR(IF('Bulk Order Details'!T78="","",IF(_xlfn.XLOOKUP('Bulk Order Details'!T78,Chest[Display],Chest[Use])="Flat",_xlfn.XLOOKUP('Bulk Order Details'!T78,Chest[Display],Chest[Flat]),ROUND(_xlfn.XLOOKUP('Bulk Order Details'!T78,Chest[Display],Chest[Pct])*$E68,2))),"")</f>
        <v/>
      </c>
      <c r="O68" s="22" t="str">
        <f>IFERROR(IF('Bulk Order Details'!U78="","",IF(_xlfn.XLOOKUP('Bulk Order Details'!U78,LeftSleeve[Display],LeftSleeve[Use])="Flat",_xlfn.XLOOKUP('Bulk Order Details'!U78,LeftSleeve[Display],LeftSleeve[Flat]),ROUND(_xlfn.XLOOKUP('Bulk Order Details'!U78,LeftSleeve[Display],LeftSleeve[Pct])*$E68,2))),"")</f>
        <v/>
      </c>
      <c r="P68" s="22" t="str">
        <f>IFERROR(IF('Bulk Order Details'!V78="","",IF(_xlfn.XLOOKUP('Bulk Order Details'!V78,RightSleeve[Display],RightSleeve[Use])="Flat",_xlfn.XLOOKUP('Bulk Order Details'!V78,RightSleeve[Display],RightSleeve[Flat]),ROUND(_xlfn.XLOOKUP('Bulk Order Details'!V78,RightSleeve[Display],RightSleeve[Pct])*$E68,2))),"")</f>
        <v/>
      </c>
      <c r="Q68" s="27" t="str">
        <f>IF('Bulk Order Details'!M78="","",SUM(F68:P68))</f>
        <v/>
      </c>
      <c r="R68" s="24" t="str">
        <f t="shared" si="1"/>
        <v/>
      </c>
      <c r="S68" s="23" t="str">
        <f>IFERROR(MIN(IF(Summary!$D$11="Yes",-J68,0),IF(H68&gt;0,-J68,0)),"")</f>
        <v/>
      </c>
      <c r="T68" s="16" t="str">
        <f>IFERROR(IF(Summary!$D$10="Yes",-K68,""),"")</f>
        <v/>
      </c>
      <c r="U68" s="18" t="str">
        <f>IFERROR(IF(Summary!$D$12="Yes",-L68,""),"")</f>
        <v/>
      </c>
      <c r="V68" s="25" t="str">
        <f>IF('Bulk Order Details'!M78="","",SUM(R68:U68))</f>
        <v/>
      </c>
      <c r="W68" s="36" t="str">
        <f>IF('Bulk Order Details'!M78="","",D68+Q68)</f>
        <v/>
      </c>
      <c r="X68" s="37" t="str">
        <f>IF('Bulk Order Details'!M78="","",D68+Q68+V68)</f>
        <v/>
      </c>
      <c r="Y68" s="168" t="str">
        <f t="shared" ref="Y68:Y131" si="5">IFERROR((W68-X68)/W68,"")</f>
        <v/>
      </c>
      <c r="Z68" s="173" t="str">
        <f>IF('Bulk Order Details'!M78="","",MAX(1,'Bulk Order Details'!G78))</f>
        <v/>
      </c>
      <c r="AA68" s="196" t="str">
        <f>IF(Pricing_Details[[#This Row],[Quantity]]="","",Pricing_Details[[#This Row],[Retail Price]]*Pricing_Details[[#This Row],[Quantity]])</f>
        <v/>
      </c>
      <c r="AB68" s="196" t="str">
        <f>IF(Pricing_Details[[#This Row],[Quantity]]="","",Pricing_Details[[#This Row],[Total Discount]]*Pricing_Details[[#This Row],[Quantity]])</f>
        <v/>
      </c>
      <c r="AC68" s="176" t="str">
        <f>IFERROR(ROUND(Pricing_Details[[#This Row],[Actual Price]]*Pricing_Details[[#This Row],[Quantity]],2),"")</f>
        <v/>
      </c>
      <c r="AE68" s="156" t="str">
        <f>IF('Bulk Order Details'!M78="","",VLOOKUP('Bulk Order Details'!K78,Collection[],3)&amp;VLOOKUP('Bulk Order Details'!M78,Collar[],4)&amp;VLOOKUP('Bulk Order Details'!L78,Sleeve[],4))</f>
        <v/>
      </c>
      <c r="AF68" s="156" t="str">
        <f>IF('Bulk Order Details'!M78="","",LOOKUP('Bulk Order Details'!H78,Cut[Display],Cut[Code])&amp;LOOKUP('Bulk Order Details'!I78,#REF!,#REF!)&amp;IF('Bulk Order Details'!J78="","",LOOKUP('Bulk Order Details'!J78,Length[Display],Length[Code])))</f>
        <v/>
      </c>
      <c r="AG68" s="156" t="str">
        <f>IF('Bulk Order Details'!M78="","",IF('Bulk Order Details'!F78="","",'Bulk Order Details'!F78))</f>
        <v/>
      </c>
      <c r="AH68" s="156" t="str">
        <f>IF('Bulk Order Details'!R78="","","-"&amp;LOOKUP('Bulk Order Details'!R78,#REF!,#REF!))</f>
        <v/>
      </c>
      <c r="AI68" s="156" t="str">
        <f>IF('Bulk Order Details'!S78="","","-"&amp;LOOKUP('Bulk Order Details'!S78,#REF!,#REF!))</f>
        <v/>
      </c>
      <c r="AJ68" s="156" t="str">
        <f>IF('Bulk Order Details'!T78="","","-"&amp;LOOKUP('Bulk Order Details'!T78,#REF!,#REF!))</f>
        <v/>
      </c>
      <c r="AK68" s="156" t="str">
        <f>IF('Bulk Order Details'!U78="","","-"&amp;LOOKUP('Bulk Order Details'!U78,#REF!,#REF!))</f>
        <v/>
      </c>
      <c r="AL68" s="156" t="str">
        <f>IF('Bulk Order Details'!V78="","","-"&amp;LOOKUP('Bulk Order Details'!V78,#REF!,#REF!))</f>
        <v/>
      </c>
      <c r="AM68" s="156" t="str">
        <f t="shared" si="2"/>
        <v/>
      </c>
      <c r="AN68" s="156" t="str">
        <f>IF('Bulk Order Details'!N78="","","Na-"&amp;'Bulk Order Details'!N78)</f>
        <v/>
      </c>
      <c r="AO68" s="156" t="str">
        <f>IF('Bulk Order Details'!Q78="","","Fo-"&amp;'Bulk Order Details'!Q78)</f>
        <v/>
      </c>
      <c r="AP68" s="156" t="str">
        <f t="shared" si="3"/>
        <v/>
      </c>
      <c r="AQ68" s="37" t="str">
        <f t="shared" si="4"/>
        <v/>
      </c>
    </row>
    <row r="69" spans="2:43" ht="15" customHeight="1" x14ac:dyDescent="0.2">
      <c r="B69" s="34">
        <f>'Bulk Order Details'!B79</f>
        <v>66</v>
      </c>
      <c r="C69" s="34" t="str">
        <f>IF('Bulk Order Details'!C79="","",'Bulk Order Details'!C79&amp;" "&amp;'Bulk Order Details'!D79)</f>
        <v/>
      </c>
      <c r="D69" s="31" t="str">
        <f>IF('Bulk Order Details'!M79="","",VLOOKUP(1,Price[],3))</f>
        <v/>
      </c>
      <c r="E69" s="29" t="str">
        <f>IF('Bulk Order Details'!M79="","",Summary!$D$9)</f>
        <v/>
      </c>
      <c r="F69" s="16" t="str">
        <f>IF('Bulk Order Details'!I79="","",_xlfn.XLOOKUP('Bulk Order Details'!I79,Size[Display],Size[Price]))</f>
        <v/>
      </c>
      <c r="G69" s="16" t="str">
        <f>IF('Bulk Order Details'!J79="","",_xlfn.XLOOKUP('Bulk Order Details'!J79,Length[Display],Length[Price]))</f>
        <v/>
      </c>
      <c r="H69" s="16" t="str">
        <f>IF('Bulk Order Details'!K79="","",_xlfn.XLOOKUP('Bulk Order Details'!K79,Collection[Display],Collection[Price]))</f>
        <v/>
      </c>
      <c r="I69" s="16" t="str">
        <f>IF('Bulk Order Details'!L79="","",_xlfn.XLOOKUP('Bulk Order Details'!L79,Sleeve[Display],Sleeve[Price]))</f>
        <v/>
      </c>
      <c r="J69" s="16" t="str">
        <f>IF('Bulk Order Details'!M79="","",_xlfn.XLOOKUP('Bulk Order Details'!M79,Collar[Display],Collar[Price]))</f>
        <v/>
      </c>
      <c r="K69" s="16" t="str">
        <f>IF('Bulk Order Details'!N79="","",_xlfn.XLOOKUP("Name",Name[Name],Name[Price]))</f>
        <v/>
      </c>
      <c r="L69" s="18" t="str">
        <f>IFERROR(IF('Bulk Order Details'!R79="","",IF(_xlfn.XLOOKUP('Bulk Order Details'!R79,Logos[Display],Logos[Use])="Flat",_xlfn.XLOOKUP('Bulk Order Details'!R79,Logos[Display],Logos[Flat]),ROUND(_xlfn.XLOOKUP('Bulk Order Details'!R79,Logos[Display],Logos[Pct])*$E69,2))),"")</f>
        <v/>
      </c>
      <c r="M69" s="22" t="str">
        <f>IFERROR(IF('Bulk Order Details'!S79="","",IF(_xlfn.XLOOKUP('Bulk Order Details'!S79,Chest[Display],Chest[Use])="Flat",_xlfn.XLOOKUP('Bulk Order Details'!S79,Chest[Display],Chest[Flat]),ROUND(_xlfn.XLOOKUP('Bulk Order Details'!S79,Chest[Display],Chest[Pct])*$E69,2))),"")</f>
        <v/>
      </c>
      <c r="N69" s="22" t="str">
        <f>IFERROR(IF('Bulk Order Details'!T79="","",IF(_xlfn.XLOOKUP('Bulk Order Details'!T79,Chest[Display],Chest[Use])="Flat",_xlfn.XLOOKUP('Bulk Order Details'!T79,Chest[Display],Chest[Flat]),ROUND(_xlfn.XLOOKUP('Bulk Order Details'!T79,Chest[Display],Chest[Pct])*$E69,2))),"")</f>
        <v/>
      </c>
      <c r="O69" s="22" t="str">
        <f>IFERROR(IF('Bulk Order Details'!U79="","",IF(_xlfn.XLOOKUP('Bulk Order Details'!U79,LeftSleeve[Display],LeftSleeve[Use])="Flat",_xlfn.XLOOKUP('Bulk Order Details'!U79,LeftSleeve[Display],LeftSleeve[Flat]),ROUND(_xlfn.XLOOKUP('Bulk Order Details'!U79,LeftSleeve[Display],LeftSleeve[Pct])*$E69,2))),"")</f>
        <v/>
      </c>
      <c r="P69" s="22" t="str">
        <f>IFERROR(IF('Bulk Order Details'!V79="","",IF(_xlfn.XLOOKUP('Bulk Order Details'!V79,RightSleeve[Display],RightSleeve[Use])="Flat",_xlfn.XLOOKUP('Bulk Order Details'!V79,RightSleeve[Display],RightSleeve[Flat]),ROUND(_xlfn.XLOOKUP('Bulk Order Details'!V79,RightSleeve[Display],RightSleeve[Pct])*$E69,2))),"")</f>
        <v/>
      </c>
      <c r="Q69" s="27" t="str">
        <f>IF('Bulk Order Details'!M79="","",SUM(F69:P69))</f>
        <v/>
      </c>
      <c r="R69" s="24" t="str">
        <f t="shared" ref="R69:R132" si="6">IFERROR(E69-D69,"")</f>
        <v/>
      </c>
      <c r="S69" s="23" t="str">
        <f>IFERROR(MIN(IF(Summary!$D$11="Yes",-J69,0),IF(H69&gt;0,-J69,0)),"")</f>
        <v/>
      </c>
      <c r="T69" s="16" t="str">
        <f>IFERROR(IF(Summary!$D$10="Yes",-K69,""),"")</f>
        <v/>
      </c>
      <c r="U69" s="18" t="str">
        <f>IFERROR(IF(Summary!$D$12="Yes",-L69,""),"")</f>
        <v/>
      </c>
      <c r="V69" s="25" t="str">
        <f>IF('Bulk Order Details'!M79="","",SUM(R69:U69))</f>
        <v/>
      </c>
      <c r="W69" s="36" t="str">
        <f>IF('Bulk Order Details'!M79="","",D69+Q69)</f>
        <v/>
      </c>
      <c r="X69" s="37" t="str">
        <f>IF('Bulk Order Details'!M79="","",D69+Q69+V69)</f>
        <v/>
      </c>
      <c r="Y69" s="168" t="str">
        <f t="shared" si="5"/>
        <v/>
      </c>
      <c r="Z69" s="173" t="str">
        <f>IF('Bulk Order Details'!M79="","",MAX(1,'Bulk Order Details'!G79))</f>
        <v/>
      </c>
      <c r="AA69" s="196" t="str">
        <f>IF(Pricing_Details[[#This Row],[Quantity]]="","",Pricing_Details[[#This Row],[Retail Price]]*Pricing_Details[[#This Row],[Quantity]])</f>
        <v/>
      </c>
      <c r="AB69" s="196" t="str">
        <f>IF(Pricing_Details[[#This Row],[Quantity]]="","",Pricing_Details[[#This Row],[Total Discount]]*Pricing_Details[[#This Row],[Quantity]])</f>
        <v/>
      </c>
      <c r="AC69" s="176" t="str">
        <f>IFERROR(ROUND(Pricing_Details[[#This Row],[Actual Price]]*Pricing_Details[[#This Row],[Quantity]],2),"")</f>
        <v/>
      </c>
      <c r="AE69" s="156" t="str">
        <f>IF('Bulk Order Details'!M79="","",VLOOKUP('Bulk Order Details'!K79,Collection[],3)&amp;VLOOKUP('Bulk Order Details'!M79,Collar[],4)&amp;VLOOKUP('Bulk Order Details'!L79,Sleeve[],4))</f>
        <v/>
      </c>
      <c r="AF69" s="156" t="str">
        <f>IF('Bulk Order Details'!M79="","",LOOKUP('Bulk Order Details'!H79,Cut[Display],Cut[Code])&amp;LOOKUP('Bulk Order Details'!I79,#REF!,#REF!)&amp;IF('Bulk Order Details'!J79="","",LOOKUP('Bulk Order Details'!J79,Length[Display],Length[Code])))</f>
        <v/>
      </c>
      <c r="AG69" s="156" t="str">
        <f>IF('Bulk Order Details'!M79="","",IF('Bulk Order Details'!F79="","",'Bulk Order Details'!F79))</f>
        <v/>
      </c>
      <c r="AH69" s="156" t="str">
        <f>IF('Bulk Order Details'!R79="","","-"&amp;LOOKUP('Bulk Order Details'!R79,#REF!,#REF!))</f>
        <v/>
      </c>
      <c r="AI69" s="156" t="str">
        <f>IF('Bulk Order Details'!S79="","","-"&amp;LOOKUP('Bulk Order Details'!S79,#REF!,#REF!))</f>
        <v/>
      </c>
      <c r="AJ69" s="156" t="str">
        <f>IF('Bulk Order Details'!T79="","","-"&amp;LOOKUP('Bulk Order Details'!T79,#REF!,#REF!))</f>
        <v/>
      </c>
      <c r="AK69" s="156" t="str">
        <f>IF('Bulk Order Details'!U79="","","-"&amp;LOOKUP('Bulk Order Details'!U79,#REF!,#REF!))</f>
        <v/>
      </c>
      <c r="AL69" s="156" t="str">
        <f>IF('Bulk Order Details'!V79="","","-"&amp;LOOKUP('Bulk Order Details'!V79,#REF!,#REF!))</f>
        <v/>
      </c>
      <c r="AM69" s="156" t="str">
        <f t="shared" ref="AM69:AM132" si="7">IF(_xlfn.CONCAT(AH69:AL69)="","","Lo"&amp;_xlfn.CONCAT(AH69:AL69))</f>
        <v/>
      </c>
      <c r="AN69" s="156" t="str">
        <f>IF('Bulk Order Details'!N79="","","Na-"&amp;'Bulk Order Details'!N79)</f>
        <v/>
      </c>
      <c r="AO69" s="156" t="str">
        <f>IF('Bulk Order Details'!Q79="","","Fo-"&amp;'Bulk Order Details'!Q79)</f>
        <v/>
      </c>
      <c r="AP69" s="156" t="str">
        <f t="shared" ref="AP69:AP132" si="8">IF(AE69="","",AE69&amp;"_"&amp;AF69&amp;"_"&amp;AG69&amp;IF(AM69="","","_"&amp;AM69)&amp;IF(AN69="","","_"&amp;AN69)&amp;IF(AO69="","","_"&amp;AO69))</f>
        <v/>
      </c>
      <c r="AQ69" s="37" t="str">
        <f t="shared" ref="AQ69:AQ132" si="9">IF(X69="","",X69)</f>
        <v/>
      </c>
    </row>
    <row r="70" spans="2:43" ht="15" customHeight="1" x14ac:dyDescent="0.2">
      <c r="B70" s="34">
        <f>'Bulk Order Details'!B80</f>
        <v>67</v>
      </c>
      <c r="C70" s="34" t="str">
        <f>IF('Bulk Order Details'!C80="","",'Bulk Order Details'!C80&amp;" "&amp;'Bulk Order Details'!D80)</f>
        <v/>
      </c>
      <c r="D70" s="31" t="str">
        <f>IF('Bulk Order Details'!M80="","",VLOOKUP(1,Price[],3))</f>
        <v/>
      </c>
      <c r="E70" s="29" t="str">
        <f>IF('Bulk Order Details'!M80="","",Summary!$D$9)</f>
        <v/>
      </c>
      <c r="F70" s="16" t="str">
        <f>IF('Bulk Order Details'!I80="","",_xlfn.XLOOKUP('Bulk Order Details'!I80,Size[Display],Size[Price]))</f>
        <v/>
      </c>
      <c r="G70" s="16" t="str">
        <f>IF('Bulk Order Details'!J80="","",_xlfn.XLOOKUP('Bulk Order Details'!J80,Length[Display],Length[Price]))</f>
        <v/>
      </c>
      <c r="H70" s="16" t="str">
        <f>IF('Bulk Order Details'!K80="","",_xlfn.XLOOKUP('Bulk Order Details'!K80,Collection[Display],Collection[Price]))</f>
        <v/>
      </c>
      <c r="I70" s="16" t="str">
        <f>IF('Bulk Order Details'!L80="","",_xlfn.XLOOKUP('Bulk Order Details'!L80,Sleeve[Display],Sleeve[Price]))</f>
        <v/>
      </c>
      <c r="J70" s="16" t="str">
        <f>IF('Bulk Order Details'!M80="","",_xlfn.XLOOKUP('Bulk Order Details'!M80,Collar[Display],Collar[Price]))</f>
        <v/>
      </c>
      <c r="K70" s="16" t="str">
        <f>IF('Bulk Order Details'!N80="","",_xlfn.XLOOKUP("Name",Name[Name],Name[Price]))</f>
        <v/>
      </c>
      <c r="L70" s="18" t="str">
        <f>IFERROR(IF('Bulk Order Details'!R80="","",IF(_xlfn.XLOOKUP('Bulk Order Details'!R80,Logos[Display],Logos[Use])="Flat",_xlfn.XLOOKUP('Bulk Order Details'!R80,Logos[Display],Logos[Flat]),ROUND(_xlfn.XLOOKUP('Bulk Order Details'!R80,Logos[Display],Logos[Pct])*$E70,2))),"")</f>
        <v/>
      </c>
      <c r="M70" s="22" t="str">
        <f>IFERROR(IF('Bulk Order Details'!S80="","",IF(_xlfn.XLOOKUP('Bulk Order Details'!S80,Chest[Display],Chest[Use])="Flat",_xlfn.XLOOKUP('Bulk Order Details'!S80,Chest[Display],Chest[Flat]),ROUND(_xlfn.XLOOKUP('Bulk Order Details'!S80,Chest[Display],Chest[Pct])*$E70,2))),"")</f>
        <v/>
      </c>
      <c r="N70" s="22" t="str">
        <f>IFERROR(IF('Bulk Order Details'!T80="","",IF(_xlfn.XLOOKUP('Bulk Order Details'!T80,Chest[Display],Chest[Use])="Flat",_xlfn.XLOOKUP('Bulk Order Details'!T80,Chest[Display],Chest[Flat]),ROUND(_xlfn.XLOOKUP('Bulk Order Details'!T80,Chest[Display],Chest[Pct])*$E70,2))),"")</f>
        <v/>
      </c>
      <c r="O70" s="22" t="str">
        <f>IFERROR(IF('Bulk Order Details'!U80="","",IF(_xlfn.XLOOKUP('Bulk Order Details'!U80,LeftSleeve[Display],LeftSleeve[Use])="Flat",_xlfn.XLOOKUP('Bulk Order Details'!U80,LeftSleeve[Display],LeftSleeve[Flat]),ROUND(_xlfn.XLOOKUP('Bulk Order Details'!U80,LeftSleeve[Display],LeftSleeve[Pct])*$E70,2))),"")</f>
        <v/>
      </c>
      <c r="P70" s="22" t="str">
        <f>IFERROR(IF('Bulk Order Details'!V80="","",IF(_xlfn.XLOOKUP('Bulk Order Details'!V80,RightSleeve[Display],RightSleeve[Use])="Flat",_xlfn.XLOOKUP('Bulk Order Details'!V80,RightSleeve[Display],RightSleeve[Flat]),ROUND(_xlfn.XLOOKUP('Bulk Order Details'!V80,RightSleeve[Display],RightSleeve[Pct])*$E70,2))),"")</f>
        <v/>
      </c>
      <c r="Q70" s="27" t="str">
        <f>IF('Bulk Order Details'!M80="","",SUM(F70:P70))</f>
        <v/>
      </c>
      <c r="R70" s="24" t="str">
        <f t="shared" si="6"/>
        <v/>
      </c>
      <c r="S70" s="23" t="str">
        <f>IFERROR(MIN(IF(Summary!$D$11="Yes",-J70,0),IF(H70&gt;0,-J70,0)),"")</f>
        <v/>
      </c>
      <c r="T70" s="16" t="str">
        <f>IFERROR(IF(Summary!$D$10="Yes",-K70,""),"")</f>
        <v/>
      </c>
      <c r="U70" s="18" t="str">
        <f>IFERROR(IF(Summary!$D$12="Yes",-L70,""),"")</f>
        <v/>
      </c>
      <c r="V70" s="25" t="str">
        <f>IF('Bulk Order Details'!M80="","",SUM(R70:U70))</f>
        <v/>
      </c>
      <c r="W70" s="36" t="str">
        <f>IF('Bulk Order Details'!M80="","",D70+Q70)</f>
        <v/>
      </c>
      <c r="X70" s="37" t="str">
        <f>IF('Bulk Order Details'!M80="","",D70+Q70+V70)</f>
        <v/>
      </c>
      <c r="Y70" s="168" t="str">
        <f t="shared" si="5"/>
        <v/>
      </c>
      <c r="Z70" s="173" t="str">
        <f>IF('Bulk Order Details'!M80="","",MAX(1,'Bulk Order Details'!G80))</f>
        <v/>
      </c>
      <c r="AA70" s="196" t="str">
        <f>IF(Pricing_Details[[#This Row],[Quantity]]="","",Pricing_Details[[#This Row],[Retail Price]]*Pricing_Details[[#This Row],[Quantity]])</f>
        <v/>
      </c>
      <c r="AB70" s="196" t="str">
        <f>IF(Pricing_Details[[#This Row],[Quantity]]="","",Pricing_Details[[#This Row],[Total Discount]]*Pricing_Details[[#This Row],[Quantity]])</f>
        <v/>
      </c>
      <c r="AC70" s="176" t="str">
        <f>IFERROR(ROUND(Pricing_Details[[#This Row],[Actual Price]]*Pricing_Details[[#This Row],[Quantity]],2),"")</f>
        <v/>
      </c>
      <c r="AE70" s="156" t="str">
        <f>IF('Bulk Order Details'!M80="","",VLOOKUP('Bulk Order Details'!K80,Collection[],3)&amp;VLOOKUP('Bulk Order Details'!M80,Collar[],4)&amp;VLOOKUP('Bulk Order Details'!L80,Sleeve[],4))</f>
        <v/>
      </c>
      <c r="AF70" s="156" t="str">
        <f>IF('Bulk Order Details'!M80="","",LOOKUP('Bulk Order Details'!H80,Cut[Display],Cut[Code])&amp;LOOKUP('Bulk Order Details'!I80,#REF!,#REF!)&amp;IF('Bulk Order Details'!J80="","",LOOKUP('Bulk Order Details'!J80,Length[Display],Length[Code])))</f>
        <v/>
      </c>
      <c r="AG70" s="156" t="str">
        <f>IF('Bulk Order Details'!M80="","",IF('Bulk Order Details'!F80="","",'Bulk Order Details'!F80))</f>
        <v/>
      </c>
      <c r="AH70" s="156" t="str">
        <f>IF('Bulk Order Details'!R80="","","-"&amp;LOOKUP('Bulk Order Details'!R80,#REF!,#REF!))</f>
        <v/>
      </c>
      <c r="AI70" s="156" t="str">
        <f>IF('Bulk Order Details'!S80="","","-"&amp;LOOKUP('Bulk Order Details'!S80,#REF!,#REF!))</f>
        <v/>
      </c>
      <c r="AJ70" s="156" t="str">
        <f>IF('Bulk Order Details'!T80="","","-"&amp;LOOKUP('Bulk Order Details'!T80,#REF!,#REF!))</f>
        <v/>
      </c>
      <c r="AK70" s="156" t="str">
        <f>IF('Bulk Order Details'!U80="","","-"&amp;LOOKUP('Bulk Order Details'!U80,#REF!,#REF!))</f>
        <v/>
      </c>
      <c r="AL70" s="156" t="str">
        <f>IF('Bulk Order Details'!V80="","","-"&amp;LOOKUP('Bulk Order Details'!V80,#REF!,#REF!))</f>
        <v/>
      </c>
      <c r="AM70" s="156" t="str">
        <f t="shared" si="7"/>
        <v/>
      </c>
      <c r="AN70" s="156" t="str">
        <f>IF('Bulk Order Details'!N80="","","Na-"&amp;'Bulk Order Details'!N80)</f>
        <v/>
      </c>
      <c r="AO70" s="156" t="str">
        <f>IF('Bulk Order Details'!Q80="","","Fo-"&amp;'Bulk Order Details'!Q80)</f>
        <v/>
      </c>
      <c r="AP70" s="156" t="str">
        <f t="shared" si="8"/>
        <v/>
      </c>
      <c r="AQ70" s="37" t="str">
        <f t="shared" si="9"/>
        <v/>
      </c>
    </row>
    <row r="71" spans="2:43" ht="15" customHeight="1" x14ac:dyDescent="0.2">
      <c r="B71" s="34">
        <f>'Bulk Order Details'!B81</f>
        <v>68</v>
      </c>
      <c r="C71" s="34" t="str">
        <f>IF('Bulk Order Details'!C81="","",'Bulk Order Details'!C81&amp;" "&amp;'Bulk Order Details'!D81)</f>
        <v/>
      </c>
      <c r="D71" s="31" t="str">
        <f>IF('Bulk Order Details'!M81="","",VLOOKUP(1,Price[],3))</f>
        <v/>
      </c>
      <c r="E71" s="29" t="str">
        <f>IF('Bulk Order Details'!M81="","",Summary!$D$9)</f>
        <v/>
      </c>
      <c r="F71" s="16" t="str">
        <f>IF('Bulk Order Details'!I81="","",_xlfn.XLOOKUP('Bulk Order Details'!I81,Size[Display],Size[Price]))</f>
        <v/>
      </c>
      <c r="G71" s="16" t="str">
        <f>IF('Bulk Order Details'!J81="","",_xlfn.XLOOKUP('Bulk Order Details'!J81,Length[Display],Length[Price]))</f>
        <v/>
      </c>
      <c r="H71" s="16" t="str">
        <f>IF('Bulk Order Details'!K81="","",_xlfn.XLOOKUP('Bulk Order Details'!K81,Collection[Display],Collection[Price]))</f>
        <v/>
      </c>
      <c r="I71" s="16" t="str">
        <f>IF('Bulk Order Details'!L81="","",_xlfn.XLOOKUP('Bulk Order Details'!L81,Sleeve[Display],Sleeve[Price]))</f>
        <v/>
      </c>
      <c r="J71" s="16" t="str">
        <f>IF('Bulk Order Details'!M81="","",_xlfn.XLOOKUP('Bulk Order Details'!M81,Collar[Display],Collar[Price]))</f>
        <v/>
      </c>
      <c r="K71" s="16" t="str">
        <f>IF('Bulk Order Details'!N81="","",_xlfn.XLOOKUP("Name",Name[Name],Name[Price]))</f>
        <v/>
      </c>
      <c r="L71" s="18" t="str">
        <f>IFERROR(IF('Bulk Order Details'!R81="","",IF(_xlfn.XLOOKUP('Bulk Order Details'!R81,Logos[Display],Logos[Use])="Flat",_xlfn.XLOOKUP('Bulk Order Details'!R81,Logos[Display],Logos[Flat]),ROUND(_xlfn.XLOOKUP('Bulk Order Details'!R81,Logos[Display],Logos[Pct])*$E71,2))),"")</f>
        <v/>
      </c>
      <c r="M71" s="22" t="str">
        <f>IFERROR(IF('Bulk Order Details'!S81="","",IF(_xlfn.XLOOKUP('Bulk Order Details'!S81,Chest[Display],Chest[Use])="Flat",_xlfn.XLOOKUP('Bulk Order Details'!S81,Chest[Display],Chest[Flat]),ROUND(_xlfn.XLOOKUP('Bulk Order Details'!S81,Chest[Display],Chest[Pct])*$E71,2))),"")</f>
        <v/>
      </c>
      <c r="N71" s="22" t="str">
        <f>IFERROR(IF('Bulk Order Details'!T81="","",IF(_xlfn.XLOOKUP('Bulk Order Details'!T81,Chest[Display],Chest[Use])="Flat",_xlfn.XLOOKUP('Bulk Order Details'!T81,Chest[Display],Chest[Flat]),ROUND(_xlfn.XLOOKUP('Bulk Order Details'!T81,Chest[Display],Chest[Pct])*$E71,2))),"")</f>
        <v/>
      </c>
      <c r="O71" s="22" t="str">
        <f>IFERROR(IF('Bulk Order Details'!U81="","",IF(_xlfn.XLOOKUP('Bulk Order Details'!U81,LeftSleeve[Display],LeftSleeve[Use])="Flat",_xlfn.XLOOKUP('Bulk Order Details'!U81,LeftSleeve[Display],LeftSleeve[Flat]),ROUND(_xlfn.XLOOKUP('Bulk Order Details'!U81,LeftSleeve[Display],LeftSleeve[Pct])*$E71,2))),"")</f>
        <v/>
      </c>
      <c r="P71" s="22" t="str">
        <f>IFERROR(IF('Bulk Order Details'!V81="","",IF(_xlfn.XLOOKUP('Bulk Order Details'!V81,RightSleeve[Display],RightSleeve[Use])="Flat",_xlfn.XLOOKUP('Bulk Order Details'!V81,RightSleeve[Display],RightSleeve[Flat]),ROUND(_xlfn.XLOOKUP('Bulk Order Details'!V81,RightSleeve[Display],RightSleeve[Pct])*$E71,2))),"")</f>
        <v/>
      </c>
      <c r="Q71" s="27" t="str">
        <f>IF('Bulk Order Details'!M81="","",SUM(F71:P71))</f>
        <v/>
      </c>
      <c r="R71" s="24" t="str">
        <f t="shared" si="6"/>
        <v/>
      </c>
      <c r="S71" s="23" t="str">
        <f>IFERROR(MIN(IF(Summary!$D$11="Yes",-J71,0),IF(H71&gt;0,-J71,0)),"")</f>
        <v/>
      </c>
      <c r="T71" s="16" t="str">
        <f>IFERROR(IF(Summary!$D$10="Yes",-K71,""),"")</f>
        <v/>
      </c>
      <c r="U71" s="18" t="str">
        <f>IFERROR(IF(Summary!$D$12="Yes",-L71,""),"")</f>
        <v/>
      </c>
      <c r="V71" s="25" t="str">
        <f>IF('Bulk Order Details'!M81="","",SUM(R71:U71))</f>
        <v/>
      </c>
      <c r="W71" s="36" t="str">
        <f>IF('Bulk Order Details'!M81="","",D71+Q71)</f>
        <v/>
      </c>
      <c r="X71" s="37" t="str">
        <f>IF('Bulk Order Details'!M81="","",D71+Q71+V71)</f>
        <v/>
      </c>
      <c r="Y71" s="168" t="str">
        <f t="shared" si="5"/>
        <v/>
      </c>
      <c r="Z71" s="173" t="str">
        <f>IF('Bulk Order Details'!M81="","",MAX(1,'Bulk Order Details'!G81))</f>
        <v/>
      </c>
      <c r="AA71" s="196" t="str">
        <f>IF(Pricing_Details[[#This Row],[Quantity]]="","",Pricing_Details[[#This Row],[Retail Price]]*Pricing_Details[[#This Row],[Quantity]])</f>
        <v/>
      </c>
      <c r="AB71" s="196" t="str">
        <f>IF(Pricing_Details[[#This Row],[Quantity]]="","",Pricing_Details[[#This Row],[Total Discount]]*Pricing_Details[[#This Row],[Quantity]])</f>
        <v/>
      </c>
      <c r="AC71" s="176" t="str">
        <f>IFERROR(ROUND(Pricing_Details[[#This Row],[Actual Price]]*Pricing_Details[[#This Row],[Quantity]],2),"")</f>
        <v/>
      </c>
      <c r="AE71" s="156" t="str">
        <f>IF('Bulk Order Details'!M81="","",VLOOKUP('Bulk Order Details'!K81,Collection[],3)&amp;VLOOKUP('Bulk Order Details'!M81,Collar[],4)&amp;VLOOKUP('Bulk Order Details'!L81,Sleeve[],4))</f>
        <v/>
      </c>
      <c r="AF71" s="156" t="str">
        <f>IF('Bulk Order Details'!M81="","",LOOKUP('Bulk Order Details'!H81,Cut[Display],Cut[Code])&amp;LOOKUP('Bulk Order Details'!I81,#REF!,#REF!)&amp;IF('Bulk Order Details'!J81="","",LOOKUP('Bulk Order Details'!J81,Length[Display],Length[Code])))</f>
        <v/>
      </c>
      <c r="AG71" s="156" t="str">
        <f>IF('Bulk Order Details'!M81="","",IF('Bulk Order Details'!F81="","",'Bulk Order Details'!F81))</f>
        <v/>
      </c>
      <c r="AH71" s="156" t="str">
        <f>IF('Bulk Order Details'!R81="","","-"&amp;LOOKUP('Bulk Order Details'!R81,#REF!,#REF!))</f>
        <v/>
      </c>
      <c r="AI71" s="156" t="str">
        <f>IF('Bulk Order Details'!S81="","","-"&amp;LOOKUP('Bulk Order Details'!S81,#REF!,#REF!))</f>
        <v/>
      </c>
      <c r="AJ71" s="156" t="str">
        <f>IF('Bulk Order Details'!T81="","","-"&amp;LOOKUP('Bulk Order Details'!T81,#REF!,#REF!))</f>
        <v/>
      </c>
      <c r="AK71" s="156" t="str">
        <f>IF('Bulk Order Details'!U81="","","-"&amp;LOOKUP('Bulk Order Details'!U81,#REF!,#REF!))</f>
        <v/>
      </c>
      <c r="AL71" s="156" t="str">
        <f>IF('Bulk Order Details'!V81="","","-"&amp;LOOKUP('Bulk Order Details'!V81,#REF!,#REF!))</f>
        <v/>
      </c>
      <c r="AM71" s="156" t="str">
        <f t="shared" si="7"/>
        <v/>
      </c>
      <c r="AN71" s="156" t="str">
        <f>IF('Bulk Order Details'!N81="","","Na-"&amp;'Bulk Order Details'!N81)</f>
        <v/>
      </c>
      <c r="AO71" s="156" t="str">
        <f>IF('Bulk Order Details'!Q81="","","Fo-"&amp;'Bulk Order Details'!Q81)</f>
        <v/>
      </c>
      <c r="AP71" s="156" t="str">
        <f t="shared" si="8"/>
        <v/>
      </c>
      <c r="AQ71" s="37" t="str">
        <f t="shared" si="9"/>
        <v/>
      </c>
    </row>
    <row r="72" spans="2:43" ht="15" customHeight="1" x14ac:dyDescent="0.2">
      <c r="B72" s="34">
        <f>'Bulk Order Details'!B82</f>
        <v>69</v>
      </c>
      <c r="C72" s="34" t="str">
        <f>IF('Bulk Order Details'!C82="","",'Bulk Order Details'!C82&amp;" "&amp;'Bulk Order Details'!D82)</f>
        <v/>
      </c>
      <c r="D72" s="31" t="str">
        <f>IF('Bulk Order Details'!M82="","",VLOOKUP(1,Price[],3))</f>
        <v/>
      </c>
      <c r="E72" s="29" t="str">
        <f>IF('Bulk Order Details'!M82="","",Summary!$D$9)</f>
        <v/>
      </c>
      <c r="F72" s="16" t="str">
        <f>IF('Bulk Order Details'!I82="","",_xlfn.XLOOKUP('Bulk Order Details'!I82,Size[Display],Size[Price]))</f>
        <v/>
      </c>
      <c r="G72" s="16" t="str">
        <f>IF('Bulk Order Details'!J82="","",_xlfn.XLOOKUP('Bulk Order Details'!J82,Length[Display],Length[Price]))</f>
        <v/>
      </c>
      <c r="H72" s="16" t="str">
        <f>IF('Bulk Order Details'!K82="","",_xlfn.XLOOKUP('Bulk Order Details'!K82,Collection[Display],Collection[Price]))</f>
        <v/>
      </c>
      <c r="I72" s="16" t="str">
        <f>IF('Bulk Order Details'!L82="","",_xlfn.XLOOKUP('Bulk Order Details'!L82,Sleeve[Display],Sleeve[Price]))</f>
        <v/>
      </c>
      <c r="J72" s="16" t="str">
        <f>IF('Bulk Order Details'!M82="","",_xlfn.XLOOKUP('Bulk Order Details'!M82,Collar[Display],Collar[Price]))</f>
        <v/>
      </c>
      <c r="K72" s="16" t="str">
        <f>IF('Bulk Order Details'!N82="","",_xlfn.XLOOKUP("Name",Name[Name],Name[Price]))</f>
        <v/>
      </c>
      <c r="L72" s="18" t="str">
        <f>IFERROR(IF('Bulk Order Details'!R82="","",IF(_xlfn.XLOOKUP('Bulk Order Details'!R82,Logos[Display],Logos[Use])="Flat",_xlfn.XLOOKUP('Bulk Order Details'!R82,Logos[Display],Logos[Flat]),ROUND(_xlfn.XLOOKUP('Bulk Order Details'!R82,Logos[Display],Logos[Pct])*$E72,2))),"")</f>
        <v/>
      </c>
      <c r="M72" s="22" t="str">
        <f>IFERROR(IF('Bulk Order Details'!S82="","",IF(_xlfn.XLOOKUP('Bulk Order Details'!S82,Chest[Display],Chest[Use])="Flat",_xlfn.XLOOKUP('Bulk Order Details'!S82,Chest[Display],Chest[Flat]),ROUND(_xlfn.XLOOKUP('Bulk Order Details'!S82,Chest[Display],Chest[Pct])*$E72,2))),"")</f>
        <v/>
      </c>
      <c r="N72" s="22" t="str">
        <f>IFERROR(IF('Bulk Order Details'!T82="","",IF(_xlfn.XLOOKUP('Bulk Order Details'!T82,Chest[Display],Chest[Use])="Flat",_xlfn.XLOOKUP('Bulk Order Details'!T82,Chest[Display],Chest[Flat]),ROUND(_xlfn.XLOOKUP('Bulk Order Details'!T82,Chest[Display],Chest[Pct])*$E72,2))),"")</f>
        <v/>
      </c>
      <c r="O72" s="22" t="str">
        <f>IFERROR(IF('Bulk Order Details'!U82="","",IF(_xlfn.XLOOKUP('Bulk Order Details'!U82,LeftSleeve[Display],LeftSleeve[Use])="Flat",_xlfn.XLOOKUP('Bulk Order Details'!U82,LeftSleeve[Display],LeftSleeve[Flat]),ROUND(_xlfn.XLOOKUP('Bulk Order Details'!U82,LeftSleeve[Display],LeftSleeve[Pct])*$E72,2))),"")</f>
        <v/>
      </c>
      <c r="P72" s="22" t="str">
        <f>IFERROR(IF('Bulk Order Details'!V82="","",IF(_xlfn.XLOOKUP('Bulk Order Details'!V82,RightSleeve[Display],RightSleeve[Use])="Flat",_xlfn.XLOOKUP('Bulk Order Details'!V82,RightSleeve[Display],RightSleeve[Flat]),ROUND(_xlfn.XLOOKUP('Bulk Order Details'!V82,RightSleeve[Display],RightSleeve[Pct])*$E72,2))),"")</f>
        <v/>
      </c>
      <c r="Q72" s="27" t="str">
        <f>IF('Bulk Order Details'!M82="","",SUM(F72:P72))</f>
        <v/>
      </c>
      <c r="R72" s="24" t="str">
        <f t="shared" si="6"/>
        <v/>
      </c>
      <c r="S72" s="23" t="str">
        <f>IFERROR(MIN(IF(Summary!$D$11="Yes",-J72,0),IF(H72&gt;0,-J72,0)),"")</f>
        <v/>
      </c>
      <c r="T72" s="16" t="str">
        <f>IFERROR(IF(Summary!$D$10="Yes",-K72,""),"")</f>
        <v/>
      </c>
      <c r="U72" s="18" t="str">
        <f>IFERROR(IF(Summary!$D$12="Yes",-L72,""),"")</f>
        <v/>
      </c>
      <c r="V72" s="25" t="str">
        <f>IF('Bulk Order Details'!M82="","",SUM(R72:U72))</f>
        <v/>
      </c>
      <c r="W72" s="36" t="str">
        <f>IF('Bulk Order Details'!M82="","",D72+Q72)</f>
        <v/>
      </c>
      <c r="X72" s="37" t="str">
        <f>IF('Bulk Order Details'!M82="","",D72+Q72+V72)</f>
        <v/>
      </c>
      <c r="Y72" s="168" t="str">
        <f t="shared" si="5"/>
        <v/>
      </c>
      <c r="Z72" s="173" t="str">
        <f>IF('Bulk Order Details'!M82="","",MAX(1,'Bulk Order Details'!G82))</f>
        <v/>
      </c>
      <c r="AA72" s="196" t="str">
        <f>IF(Pricing_Details[[#This Row],[Quantity]]="","",Pricing_Details[[#This Row],[Retail Price]]*Pricing_Details[[#This Row],[Quantity]])</f>
        <v/>
      </c>
      <c r="AB72" s="196" t="str">
        <f>IF(Pricing_Details[[#This Row],[Quantity]]="","",Pricing_Details[[#This Row],[Total Discount]]*Pricing_Details[[#This Row],[Quantity]])</f>
        <v/>
      </c>
      <c r="AC72" s="176" t="str">
        <f>IFERROR(ROUND(Pricing_Details[[#This Row],[Actual Price]]*Pricing_Details[[#This Row],[Quantity]],2),"")</f>
        <v/>
      </c>
      <c r="AE72" s="156" t="str">
        <f>IF('Bulk Order Details'!M82="","",VLOOKUP('Bulk Order Details'!K82,Collection[],3)&amp;VLOOKUP('Bulk Order Details'!M82,Collar[],4)&amp;VLOOKUP('Bulk Order Details'!L82,Sleeve[],4))</f>
        <v/>
      </c>
      <c r="AF72" s="156" t="str">
        <f>IF('Bulk Order Details'!M82="","",LOOKUP('Bulk Order Details'!H82,Cut[Display],Cut[Code])&amp;LOOKUP('Bulk Order Details'!I82,#REF!,#REF!)&amp;IF('Bulk Order Details'!J82="","",LOOKUP('Bulk Order Details'!J82,Length[Display],Length[Code])))</f>
        <v/>
      </c>
      <c r="AG72" s="156" t="str">
        <f>IF('Bulk Order Details'!M82="","",IF('Bulk Order Details'!F82="","",'Bulk Order Details'!F82))</f>
        <v/>
      </c>
      <c r="AH72" s="156" t="str">
        <f>IF('Bulk Order Details'!R82="","","-"&amp;LOOKUP('Bulk Order Details'!R82,#REF!,#REF!))</f>
        <v/>
      </c>
      <c r="AI72" s="156" t="str">
        <f>IF('Bulk Order Details'!S82="","","-"&amp;LOOKUP('Bulk Order Details'!S82,#REF!,#REF!))</f>
        <v/>
      </c>
      <c r="AJ72" s="156" t="str">
        <f>IF('Bulk Order Details'!T82="","","-"&amp;LOOKUP('Bulk Order Details'!T82,#REF!,#REF!))</f>
        <v/>
      </c>
      <c r="AK72" s="156" t="str">
        <f>IF('Bulk Order Details'!U82="","","-"&amp;LOOKUP('Bulk Order Details'!U82,#REF!,#REF!))</f>
        <v/>
      </c>
      <c r="AL72" s="156" t="str">
        <f>IF('Bulk Order Details'!V82="","","-"&amp;LOOKUP('Bulk Order Details'!V82,#REF!,#REF!))</f>
        <v/>
      </c>
      <c r="AM72" s="156" t="str">
        <f t="shared" si="7"/>
        <v/>
      </c>
      <c r="AN72" s="156" t="str">
        <f>IF('Bulk Order Details'!N82="","","Na-"&amp;'Bulk Order Details'!N82)</f>
        <v/>
      </c>
      <c r="AO72" s="156" t="str">
        <f>IF('Bulk Order Details'!Q82="","","Fo-"&amp;'Bulk Order Details'!Q82)</f>
        <v/>
      </c>
      <c r="AP72" s="156" t="str">
        <f t="shared" si="8"/>
        <v/>
      </c>
      <c r="AQ72" s="37" t="str">
        <f t="shared" si="9"/>
        <v/>
      </c>
    </row>
    <row r="73" spans="2:43" ht="15" customHeight="1" x14ac:dyDescent="0.2">
      <c r="B73" s="34">
        <f>'Bulk Order Details'!B83</f>
        <v>70</v>
      </c>
      <c r="C73" s="34" t="str">
        <f>IF('Bulk Order Details'!C83="","",'Bulk Order Details'!C83&amp;" "&amp;'Bulk Order Details'!D83)</f>
        <v/>
      </c>
      <c r="D73" s="31" t="str">
        <f>IF('Bulk Order Details'!M83="","",VLOOKUP(1,Price[],3))</f>
        <v/>
      </c>
      <c r="E73" s="29" t="str">
        <f>IF('Bulk Order Details'!M83="","",Summary!$D$9)</f>
        <v/>
      </c>
      <c r="F73" s="16" t="str">
        <f>IF('Bulk Order Details'!I83="","",_xlfn.XLOOKUP('Bulk Order Details'!I83,Size[Display],Size[Price]))</f>
        <v/>
      </c>
      <c r="G73" s="16" t="str">
        <f>IF('Bulk Order Details'!J83="","",_xlfn.XLOOKUP('Bulk Order Details'!J83,Length[Display],Length[Price]))</f>
        <v/>
      </c>
      <c r="H73" s="16" t="str">
        <f>IF('Bulk Order Details'!K83="","",_xlfn.XLOOKUP('Bulk Order Details'!K83,Collection[Display],Collection[Price]))</f>
        <v/>
      </c>
      <c r="I73" s="16" t="str">
        <f>IF('Bulk Order Details'!L83="","",_xlfn.XLOOKUP('Bulk Order Details'!L83,Sleeve[Display],Sleeve[Price]))</f>
        <v/>
      </c>
      <c r="J73" s="16" t="str">
        <f>IF('Bulk Order Details'!M83="","",_xlfn.XLOOKUP('Bulk Order Details'!M83,Collar[Display],Collar[Price]))</f>
        <v/>
      </c>
      <c r="K73" s="16" t="str">
        <f>IF('Bulk Order Details'!N83="","",_xlfn.XLOOKUP("Name",Name[Name],Name[Price]))</f>
        <v/>
      </c>
      <c r="L73" s="18" t="str">
        <f>IFERROR(IF('Bulk Order Details'!R83="","",IF(_xlfn.XLOOKUP('Bulk Order Details'!R83,Logos[Display],Logos[Use])="Flat",_xlfn.XLOOKUP('Bulk Order Details'!R83,Logos[Display],Logos[Flat]),ROUND(_xlfn.XLOOKUP('Bulk Order Details'!R83,Logos[Display],Logos[Pct])*$E73,2))),"")</f>
        <v/>
      </c>
      <c r="M73" s="22" t="str">
        <f>IFERROR(IF('Bulk Order Details'!S83="","",IF(_xlfn.XLOOKUP('Bulk Order Details'!S83,Chest[Display],Chest[Use])="Flat",_xlfn.XLOOKUP('Bulk Order Details'!S83,Chest[Display],Chest[Flat]),ROUND(_xlfn.XLOOKUP('Bulk Order Details'!S83,Chest[Display],Chest[Pct])*$E73,2))),"")</f>
        <v/>
      </c>
      <c r="N73" s="22" t="str">
        <f>IFERROR(IF('Bulk Order Details'!T83="","",IF(_xlfn.XLOOKUP('Bulk Order Details'!T83,Chest[Display],Chest[Use])="Flat",_xlfn.XLOOKUP('Bulk Order Details'!T83,Chest[Display],Chest[Flat]),ROUND(_xlfn.XLOOKUP('Bulk Order Details'!T83,Chest[Display],Chest[Pct])*$E73,2))),"")</f>
        <v/>
      </c>
      <c r="O73" s="22" t="str">
        <f>IFERROR(IF('Bulk Order Details'!U83="","",IF(_xlfn.XLOOKUP('Bulk Order Details'!U83,LeftSleeve[Display],LeftSleeve[Use])="Flat",_xlfn.XLOOKUP('Bulk Order Details'!U83,LeftSleeve[Display],LeftSleeve[Flat]),ROUND(_xlfn.XLOOKUP('Bulk Order Details'!U83,LeftSleeve[Display],LeftSleeve[Pct])*$E73,2))),"")</f>
        <v/>
      </c>
      <c r="P73" s="22" t="str">
        <f>IFERROR(IF('Bulk Order Details'!V83="","",IF(_xlfn.XLOOKUP('Bulk Order Details'!V83,RightSleeve[Display],RightSleeve[Use])="Flat",_xlfn.XLOOKUP('Bulk Order Details'!V83,RightSleeve[Display],RightSleeve[Flat]),ROUND(_xlfn.XLOOKUP('Bulk Order Details'!V83,RightSleeve[Display],RightSleeve[Pct])*$E73,2))),"")</f>
        <v/>
      </c>
      <c r="Q73" s="27" t="str">
        <f>IF('Bulk Order Details'!M83="","",SUM(F73:P73))</f>
        <v/>
      </c>
      <c r="R73" s="24" t="str">
        <f t="shared" si="6"/>
        <v/>
      </c>
      <c r="S73" s="23" t="str">
        <f>IFERROR(MIN(IF(Summary!$D$11="Yes",-J73,0),IF(H73&gt;0,-J73,0)),"")</f>
        <v/>
      </c>
      <c r="T73" s="16" t="str">
        <f>IFERROR(IF(Summary!$D$10="Yes",-K73,""),"")</f>
        <v/>
      </c>
      <c r="U73" s="18" t="str">
        <f>IFERROR(IF(Summary!$D$12="Yes",-L73,""),"")</f>
        <v/>
      </c>
      <c r="V73" s="25" t="str">
        <f>IF('Bulk Order Details'!M83="","",SUM(R73:U73))</f>
        <v/>
      </c>
      <c r="W73" s="36" t="str">
        <f>IF('Bulk Order Details'!M83="","",D73+Q73)</f>
        <v/>
      </c>
      <c r="X73" s="37" t="str">
        <f>IF('Bulk Order Details'!M83="","",D73+Q73+V73)</f>
        <v/>
      </c>
      <c r="Y73" s="168" t="str">
        <f t="shared" si="5"/>
        <v/>
      </c>
      <c r="Z73" s="173" t="str">
        <f>IF('Bulk Order Details'!M83="","",MAX(1,'Bulk Order Details'!G83))</f>
        <v/>
      </c>
      <c r="AA73" s="196" t="str">
        <f>IF(Pricing_Details[[#This Row],[Quantity]]="","",Pricing_Details[[#This Row],[Retail Price]]*Pricing_Details[[#This Row],[Quantity]])</f>
        <v/>
      </c>
      <c r="AB73" s="196" t="str">
        <f>IF(Pricing_Details[[#This Row],[Quantity]]="","",Pricing_Details[[#This Row],[Total Discount]]*Pricing_Details[[#This Row],[Quantity]])</f>
        <v/>
      </c>
      <c r="AC73" s="176" t="str">
        <f>IFERROR(ROUND(Pricing_Details[[#This Row],[Actual Price]]*Pricing_Details[[#This Row],[Quantity]],2),"")</f>
        <v/>
      </c>
      <c r="AE73" s="156" t="str">
        <f>IF('Bulk Order Details'!M83="","",VLOOKUP('Bulk Order Details'!K83,Collection[],3)&amp;VLOOKUP('Bulk Order Details'!M83,Collar[],4)&amp;VLOOKUP('Bulk Order Details'!L83,Sleeve[],4))</f>
        <v/>
      </c>
      <c r="AF73" s="156" t="str">
        <f>IF('Bulk Order Details'!M83="","",LOOKUP('Bulk Order Details'!H83,Cut[Display],Cut[Code])&amp;LOOKUP('Bulk Order Details'!I83,#REF!,#REF!)&amp;IF('Bulk Order Details'!J83="","",LOOKUP('Bulk Order Details'!J83,Length[Display],Length[Code])))</f>
        <v/>
      </c>
      <c r="AG73" s="156" t="str">
        <f>IF('Bulk Order Details'!M83="","",IF('Bulk Order Details'!F83="","",'Bulk Order Details'!F83))</f>
        <v/>
      </c>
      <c r="AH73" s="156" t="str">
        <f>IF('Bulk Order Details'!R83="","","-"&amp;LOOKUP('Bulk Order Details'!R83,#REF!,#REF!))</f>
        <v/>
      </c>
      <c r="AI73" s="156" t="str">
        <f>IF('Bulk Order Details'!S83="","","-"&amp;LOOKUP('Bulk Order Details'!S83,#REF!,#REF!))</f>
        <v/>
      </c>
      <c r="AJ73" s="156" t="str">
        <f>IF('Bulk Order Details'!T83="","","-"&amp;LOOKUP('Bulk Order Details'!T83,#REF!,#REF!))</f>
        <v/>
      </c>
      <c r="AK73" s="156" t="str">
        <f>IF('Bulk Order Details'!U83="","","-"&amp;LOOKUP('Bulk Order Details'!U83,#REF!,#REF!))</f>
        <v/>
      </c>
      <c r="AL73" s="156" t="str">
        <f>IF('Bulk Order Details'!V83="","","-"&amp;LOOKUP('Bulk Order Details'!V83,#REF!,#REF!))</f>
        <v/>
      </c>
      <c r="AM73" s="156" t="str">
        <f t="shared" si="7"/>
        <v/>
      </c>
      <c r="AN73" s="156" t="str">
        <f>IF('Bulk Order Details'!N83="","","Na-"&amp;'Bulk Order Details'!N83)</f>
        <v/>
      </c>
      <c r="AO73" s="156" t="str">
        <f>IF('Bulk Order Details'!Q83="","","Fo-"&amp;'Bulk Order Details'!Q83)</f>
        <v/>
      </c>
      <c r="AP73" s="156" t="str">
        <f t="shared" si="8"/>
        <v/>
      </c>
      <c r="AQ73" s="37" t="str">
        <f t="shared" si="9"/>
        <v/>
      </c>
    </row>
    <row r="74" spans="2:43" ht="15" customHeight="1" x14ac:dyDescent="0.2">
      <c r="B74" s="34">
        <f>'Bulk Order Details'!B84</f>
        <v>71</v>
      </c>
      <c r="C74" s="34" t="str">
        <f>IF('Bulk Order Details'!C84="","",'Bulk Order Details'!C84&amp;" "&amp;'Bulk Order Details'!D84)</f>
        <v/>
      </c>
      <c r="D74" s="31" t="str">
        <f>IF('Bulk Order Details'!M84="","",VLOOKUP(1,Price[],3))</f>
        <v/>
      </c>
      <c r="E74" s="29" t="str">
        <f>IF('Bulk Order Details'!M84="","",Summary!$D$9)</f>
        <v/>
      </c>
      <c r="F74" s="16" t="str">
        <f>IF('Bulk Order Details'!I84="","",_xlfn.XLOOKUP('Bulk Order Details'!I84,Size[Display],Size[Price]))</f>
        <v/>
      </c>
      <c r="G74" s="16" t="str">
        <f>IF('Bulk Order Details'!J84="","",_xlfn.XLOOKUP('Bulk Order Details'!J84,Length[Display],Length[Price]))</f>
        <v/>
      </c>
      <c r="H74" s="16" t="str">
        <f>IF('Bulk Order Details'!K84="","",_xlfn.XLOOKUP('Bulk Order Details'!K84,Collection[Display],Collection[Price]))</f>
        <v/>
      </c>
      <c r="I74" s="16" t="str">
        <f>IF('Bulk Order Details'!L84="","",_xlfn.XLOOKUP('Bulk Order Details'!L84,Sleeve[Display],Sleeve[Price]))</f>
        <v/>
      </c>
      <c r="J74" s="16" t="str">
        <f>IF('Bulk Order Details'!M84="","",_xlfn.XLOOKUP('Bulk Order Details'!M84,Collar[Display],Collar[Price]))</f>
        <v/>
      </c>
      <c r="K74" s="16" t="str">
        <f>IF('Bulk Order Details'!N84="","",_xlfn.XLOOKUP("Name",Name[Name],Name[Price]))</f>
        <v/>
      </c>
      <c r="L74" s="18" t="str">
        <f>IFERROR(IF('Bulk Order Details'!R84="","",IF(_xlfn.XLOOKUP('Bulk Order Details'!R84,Logos[Display],Logos[Use])="Flat",_xlfn.XLOOKUP('Bulk Order Details'!R84,Logos[Display],Logos[Flat]),ROUND(_xlfn.XLOOKUP('Bulk Order Details'!R84,Logos[Display],Logos[Pct])*$E74,2))),"")</f>
        <v/>
      </c>
      <c r="M74" s="22" t="str">
        <f>IFERROR(IF('Bulk Order Details'!S84="","",IF(_xlfn.XLOOKUP('Bulk Order Details'!S84,Chest[Display],Chest[Use])="Flat",_xlfn.XLOOKUP('Bulk Order Details'!S84,Chest[Display],Chest[Flat]),ROUND(_xlfn.XLOOKUP('Bulk Order Details'!S84,Chest[Display],Chest[Pct])*$E74,2))),"")</f>
        <v/>
      </c>
      <c r="N74" s="22" t="str">
        <f>IFERROR(IF('Bulk Order Details'!T84="","",IF(_xlfn.XLOOKUP('Bulk Order Details'!T84,Chest[Display],Chest[Use])="Flat",_xlfn.XLOOKUP('Bulk Order Details'!T84,Chest[Display],Chest[Flat]),ROUND(_xlfn.XLOOKUP('Bulk Order Details'!T84,Chest[Display],Chest[Pct])*$E74,2))),"")</f>
        <v/>
      </c>
      <c r="O74" s="22" t="str">
        <f>IFERROR(IF('Bulk Order Details'!U84="","",IF(_xlfn.XLOOKUP('Bulk Order Details'!U84,LeftSleeve[Display],LeftSleeve[Use])="Flat",_xlfn.XLOOKUP('Bulk Order Details'!U84,LeftSleeve[Display],LeftSleeve[Flat]),ROUND(_xlfn.XLOOKUP('Bulk Order Details'!U84,LeftSleeve[Display],LeftSleeve[Pct])*$E74,2))),"")</f>
        <v/>
      </c>
      <c r="P74" s="22" t="str">
        <f>IFERROR(IF('Bulk Order Details'!V84="","",IF(_xlfn.XLOOKUP('Bulk Order Details'!V84,RightSleeve[Display],RightSleeve[Use])="Flat",_xlfn.XLOOKUP('Bulk Order Details'!V84,RightSleeve[Display],RightSleeve[Flat]),ROUND(_xlfn.XLOOKUP('Bulk Order Details'!V84,RightSleeve[Display],RightSleeve[Pct])*$E74,2))),"")</f>
        <v/>
      </c>
      <c r="Q74" s="27" t="str">
        <f>IF('Bulk Order Details'!M84="","",SUM(F74:P74))</f>
        <v/>
      </c>
      <c r="R74" s="24" t="str">
        <f t="shared" si="6"/>
        <v/>
      </c>
      <c r="S74" s="23" t="str">
        <f>IFERROR(MIN(IF(Summary!$D$11="Yes",-J74,0),IF(H74&gt;0,-J74,0)),"")</f>
        <v/>
      </c>
      <c r="T74" s="16" t="str">
        <f>IFERROR(IF(Summary!$D$10="Yes",-K74,""),"")</f>
        <v/>
      </c>
      <c r="U74" s="18" t="str">
        <f>IFERROR(IF(Summary!$D$12="Yes",-L74,""),"")</f>
        <v/>
      </c>
      <c r="V74" s="25" t="str">
        <f>IF('Bulk Order Details'!M84="","",SUM(R74:U74))</f>
        <v/>
      </c>
      <c r="W74" s="36" t="str">
        <f>IF('Bulk Order Details'!M84="","",D74+Q74)</f>
        <v/>
      </c>
      <c r="X74" s="37" t="str">
        <f>IF('Bulk Order Details'!M84="","",D74+Q74+V74)</f>
        <v/>
      </c>
      <c r="Y74" s="168" t="str">
        <f t="shared" si="5"/>
        <v/>
      </c>
      <c r="Z74" s="173" t="str">
        <f>IF('Bulk Order Details'!M84="","",MAX(1,'Bulk Order Details'!G84))</f>
        <v/>
      </c>
      <c r="AA74" s="196" t="str">
        <f>IF(Pricing_Details[[#This Row],[Quantity]]="","",Pricing_Details[[#This Row],[Retail Price]]*Pricing_Details[[#This Row],[Quantity]])</f>
        <v/>
      </c>
      <c r="AB74" s="196" t="str">
        <f>IF(Pricing_Details[[#This Row],[Quantity]]="","",Pricing_Details[[#This Row],[Total Discount]]*Pricing_Details[[#This Row],[Quantity]])</f>
        <v/>
      </c>
      <c r="AC74" s="176" t="str">
        <f>IFERROR(ROUND(Pricing_Details[[#This Row],[Actual Price]]*Pricing_Details[[#This Row],[Quantity]],2),"")</f>
        <v/>
      </c>
      <c r="AE74" s="156" t="str">
        <f>IF('Bulk Order Details'!M84="","",VLOOKUP('Bulk Order Details'!K84,Collection[],3)&amp;VLOOKUP('Bulk Order Details'!M84,Collar[],4)&amp;VLOOKUP('Bulk Order Details'!L84,Sleeve[],4))</f>
        <v/>
      </c>
      <c r="AF74" s="156" t="str">
        <f>IF('Bulk Order Details'!M84="","",LOOKUP('Bulk Order Details'!H84,Cut[Display],Cut[Code])&amp;LOOKUP('Bulk Order Details'!I84,#REF!,#REF!)&amp;IF('Bulk Order Details'!J84="","",LOOKUP('Bulk Order Details'!J84,Length[Display],Length[Code])))</f>
        <v/>
      </c>
      <c r="AG74" s="156" t="str">
        <f>IF('Bulk Order Details'!M84="","",IF('Bulk Order Details'!F84="","",'Bulk Order Details'!F84))</f>
        <v/>
      </c>
      <c r="AH74" s="156" t="str">
        <f>IF('Bulk Order Details'!R84="","","-"&amp;LOOKUP('Bulk Order Details'!R84,#REF!,#REF!))</f>
        <v/>
      </c>
      <c r="AI74" s="156" t="str">
        <f>IF('Bulk Order Details'!S84="","","-"&amp;LOOKUP('Bulk Order Details'!S84,#REF!,#REF!))</f>
        <v/>
      </c>
      <c r="AJ74" s="156" t="str">
        <f>IF('Bulk Order Details'!T84="","","-"&amp;LOOKUP('Bulk Order Details'!T84,#REF!,#REF!))</f>
        <v/>
      </c>
      <c r="AK74" s="156" t="str">
        <f>IF('Bulk Order Details'!U84="","","-"&amp;LOOKUP('Bulk Order Details'!U84,#REF!,#REF!))</f>
        <v/>
      </c>
      <c r="AL74" s="156" t="str">
        <f>IF('Bulk Order Details'!V84="","","-"&amp;LOOKUP('Bulk Order Details'!V84,#REF!,#REF!))</f>
        <v/>
      </c>
      <c r="AM74" s="156" t="str">
        <f t="shared" si="7"/>
        <v/>
      </c>
      <c r="AN74" s="156" t="str">
        <f>IF('Bulk Order Details'!N84="","","Na-"&amp;'Bulk Order Details'!N84)</f>
        <v/>
      </c>
      <c r="AO74" s="156" t="str">
        <f>IF('Bulk Order Details'!Q84="","","Fo-"&amp;'Bulk Order Details'!Q84)</f>
        <v/>
      </c>
      <c r="AP74" s="156" t="str">
        <f t="shared" si="8"/>
        <v/>
      </c>
      <c r="AQ74" s="37" t="str">
        <f t="shared" si="9"/>
        <v/>
      </c>
    </row>
    <row r="75" spans="2:43" ht="15" customHeight="1" x14ac:dyDescent="0.2">
      <c r="B75" s="34">
        <f>'Bulk Order Details'!B85</f>
        <v>72</v>
      </c>
      <c r="C75" s="34" t="str">
        <f>IF('Bulk Order Details'!C85="","",'Bulk Order Details'!C85&amp;" "&amp;'Bulk Order Details'!D85)</f>
        <v/>
      </c>
      <c r="D75" s="31" t="str">
        <f>IF('Bulk Order Details'!M85="","",VLOOKUP(1,Price[],3))</f>
        <v/>
      </c>
      <c r="E75" s="29" t="str">
        <f>IF('Bulk Order Details'!M85="","",Summary!$D$9)</f>
        <v/>
      </c>
      <c r="F75" s="16" t="str">
        <f>IF('Bulk Order Details'!I85="","",_xlfn.XLOOKUP('Bulk Order Details'!I85,Size[Display],Size[Price]))</f>
        <v/>
      </c>
      <c r="G75" s="16" t="str">
        <f>IF('Bulk Order Details'!J85="","",_xlfn.XLOOKUP('Bulk Order Details'!J85,Length[Display],Length[Price]))</f>
        <v/>
      </c>
      <c r="H75" s="16" t="str">
        <f>IF('Bulk Order Details'!K85="","",_xlfn.XLOOKUP('Bulk Order Details'!K85,Collection[Display],Collection[Price]))</f>
        <v/>
      </c>
      <c r="I75" s="16" t="str">
        <f>IF('Bulk Order Details'!L85="","",_xlfn.XLOOKUP('Bulk Order Details'!L85,Sleeve[Display],Sleeve[Price]))</f>
        <v/>
      </c>
      <c r="J75" s="16" t="str">
        <f>IF('Bulk Order Details'!M85="","",_xlfn.XLOOKUP('Bulk Order Details'!M85,Collar[Display],Collar[Price]))</f>
        <v/>
      </c>
      <c r="K75" s="16" t="str">
        <f>IF('Bulk Order Details'!N85="","",_xlfn.XLOOKUP("Name",Name[Name],Name[Price]))</f>
        <v/>
      </c>
      <c r="L75" s="18" t="str">
        <f>IFERROR(IF('Bulk Order Details'!R85="","",IF(_xlfn.XLOOKUP('Bulk Order Details'!R85,Logos[Display],Logos[Use])="Flat",_xlfn.XLOOKUP('Bulk Order Details'!R85,Logos[Display],Logos[Flat]),ROUND(_xlfn.XLOOKUP('Bulk Order Details'!R85,Logos[Display],Logos[Pct])*$E75,2))),"")</f>
        <v/>
      </c>
      <c r="M75" s="22" t="str">
        <f>IFERROR(IF('Bulk Order Details'!S85="","",IF(_xlfn.XLOOKUP('Bulk Order Details'!S85,Chest[Display],Chest[Use])="Flat",_xlfn.XLOOKUP('Bulk Order Details'!S85,Chest[Display],Chest[Flat]),ROUND(_xlfn.XLOOKUP('Bulk Order Details'!S85,Chest[Display],Chest[Pct])*$E75,2))),"")</f>
        <v/>
      </c>
      <c r="N75" s="22" t="str">
        <f>IFERROR(IF('Bulk Order Details'!T85="","",IF(_xlfn.XLOOKUP('Bulk Order Details'!T85,Chest[Display],Chest[Use])="Flat",_xlfn.XLOOKUP('Bulk Order Details'!T85,Chest[Display],Chest[Flat]),ROUND(_xlfn.XLOOKUP('Bulk Order Details'!T85,Chest[Display],Chest[Pct])*$E75,2))),"")</f>
        <v/>
      </c>
      <c r="O75" s="22" t="str">
        <f>IFERROR(IF('Bulk Order Details'!U85="","",IF(_xlfn.XLOOKUP('Bulk Order Details'!U85,LeftSleeve[Display],LeftSleeve[Use])="Flat",_xlfn.XLOOKUP('Bulk Order Details'!U85,LeftSleeve[Display],LeftSleeve[Flat]),ROUND(_xlfn.XLOOKUP('Bulk Order Details'!U85,LeftSleeve[Display],LeftSleeve[Pct])*$E75,2))),"")</f>
        <v/>
      </c>
      <c r="P75" s="22" t="str">
        <f>IFERROR(IF('Bulk Order Details'!V85="","",IF(_xlfn.XLOOKUP('Bulk Order Details'!V85,RightSleeve[Display],RightSleeve[Use])="Flat",_xlfn.XLOOKUP('Bulk Order Details'!V85,RightSleeve[Display],RightSleeve[Flat]),ROUND(_xlfn.XLOOKUP('Bulk Order Details'!V85,RightSleeve[Display],RightSleeve[Pct])*$E75,2))),"")</f>
        <v/>
      </c>
      <c r="Q75" s="27" t="str">
        <f>IF('Bulk Order Details'!M85="","",SUM(F75:P75))</f>
        <v/>
      </c>
      <c r="R75" s="24" t="str">
        <f t="shared" si="6"/>
        <v/>
      </c>
      <c r="S75" s="23" t="str">
        <f>IFERROR(MIN(IF(Summary!$D$11="Yes",-J75,0),IF(H75&gt;0,-J75,0)),"")</f>
        <v/>
      </c>
      <c r="T75" s="16" t="str">
        <f>IFERROR(IF(Summary!$D$10="Yes",-K75,""),"")</f>
        <v/>
      </c>
      <c r="U75" s="18" t="str">
        <f>IFERROR(IF(Summary!$D$12="Yes",-L75,""),"")</f>
        <v/>
      </c>
      <c r="V75" s="25" t="str">
        <f>IF('Bulk Order Details'!M85="","",SUM(R75:U75))</f>
        <v/>
      </c>
      <c r="W75" s="36" t="str">
        <f>IF('Bulk Order Details'!M85="","",D75+Q75)</f>
        <v/>
      </c>
      <c r="X75" s="37" t="str">
        <f>IF('Bulk Order Details'!M85="","",D75+Q75+V75)</f>
        <v/>
      </c>
      <c r="Y75" s="168" t="str">
        <f t="shared" si="5"/>
        <v/>
      </c>
      <c r="Z75" s="173" t="str">
        <f>IF('Bulk Order Details'!M85="","",MAX(1,'Bulk Order Details'!G85))</f>
        <v/>
      </c>
      <c r="AA75" s="196" t="str">
        <f>IF(Pricing_Details[[#This Row],[Quantity]]="","",Pricing_Details[[#This Row],[Retail Price]]*Pricing_Details[[#This Row],[Quantity]])</f>
        <v/>
      </c>
      <c r="AB75" s="196" t="str">
        <f>IF(Pricing_Details[[#This Row],[Quantity]]="","",Pricing_Details[[#This Row],[Total Discount]]*Pricing_Details[[#This Row],[Quantity]])</f>
        <v/>
      </c>
      <c r="AC75" s="176" t="str">
        <f>IFERROR(ROUND(Pricing_Details[[#This Row],[Actual Price]]*Pricing_Details[[#This Row],[Quantity]],2),"")</f>
        <v/>
      </c>
      <c r="AE75" s="156" t="str">
        <f>IF('Bulk Order Details'!M85="","",VLOOKUP('Bulk Order Details'!K85,Collection[],3)&amp;VLOOKUP('Bulk Order Details'!M85,Collar[],4)&amp;VLOOKUP('Bulk Order Details'!L85,Sleeve[],4))</f>
        <v/>
      </c>
      <c r="AF75" s="156" t="str">
        <f>IF('Bulk Order Details'!M85="","",LOOKUP('Bulk Order Details'!H85,Cut[Display],Cut[Code])&amp;LOOKUP('Bulk Order Details'!I85,#REF!,#REF!)&amp;IF('Bulk Order Details'!J85="","",LOOKUP('Bulk Order Details'!J85,Length[Display],Length[Code])))</f>
        <v/>
      </c>
      <c r="AG75" s="156" t="str">
        <f>IF('Bulk Order Details'!M85="","",IF('Bulk Order Details'!F85="","",'Bulk Order Details'!F85))</f>
        <v/>
      </c>
      <c r="AH75" s="156" t="str">
        <f>IF('Bulk Order Details'!R85="","","-"&amp;LOOKUP('Bulk Order Details'!R85,#REF!,#REF!))</f>
        <v/>
      </c>
      <c r="AI75" s="156" t="str">
        <f>IF('Bulk Order Details'!S85="","","-"&amp;LOOKUP('Bulk Order Details'!S85,#REF!,#REF!))</f>
        <v/>
      </c>
      <c r="AJ75" s="156" t="str">
        <f>IF('Bulk Order Details'!T85="","","-"&amp;LOOKUP('Bulk Order Details'!T85,#REF!,#REF!))</f>
        <v/>
      </c>
      <c r="AK75" s="156" t="str">
        <f>IF('Bulk Order Details'!U85="","","-"&amp;LOOKUP('Bulk Order Details'!U85,#REF!,#REF!))</f>
        <v/>
      </c>
      <c r="AL75" s="156" t="str">
        <f>IF('Bulk Order Details'!V85="","","-"&amp;LOOKUP('Bulk Order Details'!V85,#REF!,#REF!))</f>
        <v/>
      </c>
      <c r="AM75" s="156" t="str">
        <f t="shared" si="7"/>
        <v/>
      </c>
      <c r="AN75" s="156" t="str">
        <f>IF('Bulk Order Details'!N85="","","Na-"&amp;'Bulk Order Details'!N85)</f>
        <v/>
      </c>
      <c r="AO75" s="156" t="str">
        <f>IF('Bulk Order Details'!Q85="","","Fo-"&amp;'Bulk Order Details'!Q85)</f>
        <v/>
      </c>
      <c r="AP75" s="156" t="str">
        <f t="shared" si="8"/>
        <v/>
      </c>
      <c r="AQ75" s="37" t="str">
        <f t="shared" si="9"/>
        <v/>
      </c>
    </row>
    <row r="76" spans="2:43" ht="15" customHeight="1" x14ac:dyDescent="0.2">
      <c r="B76" s="34">
        <f>'Bulk Order Details'!B86</f>
        <v>73</v>
      </c>
      <c r="C76" s="34" t="str">
        <f>IF('Bulk Order Details'!C86="","",'Bulk Order Details'!C86&amp;" "&amp;'Bulk Order Details'!D86)</f>
        <v/>
      </c>
      <c r="D76" s="31" t="str">
        <f>IF('Bulk Order Details'!M86="","",VLOOKUP(1,Price[],3))</f>
        <v/>
      </c>
      <c r="E76" s="29" t="str">
        <f>IF('Bulk Order Details'!M86="","",Summary!$D$9)</f>
        <v/>
      </c>
      <c r="F76" s="16" t="str">
        <f>IF('Bulk Order Details'!I86="","",_xlfn.XLOOKUP('Bulk Order Details'!I86,Size[Display],Size[Price]))</f>
        <v/>
      </c>
      <c r="G76" s="16" t="str">
        <f>IF('Bulk Order Details'!J86="","",_xlfn.XLOOKUP('Bulk Order Details'!J86,Length[Display],Length[Price]))</f>
        <v/>
      </c>
      <c r="H76" s="16" t="str">
        <f>IF('Bulk Order Details'!K86="","",_xlfn.XLOOKUP('Bulk Order Details'!K86,Collection[Display],Collection[Price]))</f>
        <v/>
      </c>
      <c r="I76" s="16" t="str">
        <f>IF('Bulk Order Details'!L86="","",_xlfn.XLOOKUP('Bulk Order Details'!L86,Sleeve[Display],Sleeve[Price]))</f>
        <v/>
      </c>
      <c r="J76" s="16" t="str">
        <f>IF('Bulk Order Details'!M86="","",_xlfn.XLOOKUP('Bulk Order Details'!M86,Collar[Display],Collar[Price]))</f>
        <v/>
      </c>
      <c r="K76" s="16" t="str">
        <f>IF('Bulk Order Details'!N86="","",_xlfn.XLOOKUP("Name",Name[Name],Name[Price]))</f>
        <v/>
      </c>
      <c r="L76" s="18" t="str">
        <f>IFERROR(IF('Bulk Order Details'!R86="","",IF(_xlfn.XLOOKUP('Bulk Order Details'!R86,Logos[Display],Logos[Use])="Flat",_xlfn.XLOOKUP('Bulk Order Details'!R86,Logos[Display],Logos[Flat]),ROUND(_xlfn.XLOOKUP('Bulk Order Details'!R86,Logos[Display],Logos[Pct])*$E76,2))),"")</f>
        <v/>
      </c>
      <c r="M76" s="22" t="str">
        <f>IFERROR(IF('Bulk Order Details'!S86="","",IF(_xlfn.XLOOKUP('Bulk Order Details'!S86,Chest[Display],Chest[Use])="Flat",_xlfn.XLOOKUP('Bulk Order Details'!S86,Chest[Display],Chest[Flat]),ROUND(_xlfn.XLOOKUP('Bulk Order Details'!S86,Chest[Display],Chest[Pct])*$E76,2))),"")</f>
        <v/>
      </c>
      <c r="N76" s="22" t="str">
        <f>IFERROR(IF('Bulk Order Details'!T86="","",IF(_xlfn.XLOOKUP('Bulk Order Details'!T86,Chest[Display],Chest[Use])="Flat",_xlfn.XLOOKUP('Bulk Order Details'!T86,Chest[Display],Chest[Flat]),ROUND(_xlfn.XLOOKUP('Bulk Order Details'!T86,Chest[Display],Chest[Pct])*$E76,2))),"")</f>
        <v/>
      </c>
      <c r="O76" s="22" t="str">
        <f>IFERROR(IF('Bulk Order Details'!U86="","",IF(_xlfn.XLOOKUP('Bulk Order Details'!U86,LeftSleeve[Display],LeftSleeve[Use])="Flat",_xlfn.XLOOKUP('Bulk Order Details'!U86,LeftSleeve[Display],LeftSleeve[Flat]),ROUND(_xlfn.XLOOKUP('Bulk Order Details'!U86,LeftSleeve[Display],LeftSleeve[Pct])*$E76,2))),"")</f>
        <v/>
      </c>
      <c r="P76" s="22" t="str">
        <f>IFERROR(IF('Bulk Order Details'!V86="","",IF(_xlfn.XLOOKUP('Bulk Order Details'!V86,RightSleeve[Display],RightSleeve[Use])="Flat",_xlfn.XLOOKUP('Bulk Order Details'!V86,RightSleeve[Display],RightSleeve[Flat]),ROUND(_xlfn.XLOOKUP('Bulk Order Details'!V86,RightSleeve[Display],RightSleeve[Pct])*$E76,2))),"")</f>
        <v/>
      </c>
      <c r="Q76" s="27" t="str">
        <f>IF('Bulk Order Details'!M86="","",SUM(F76:P76))</f>
        <v/>
      </c>
      <c r="R76" s="24" t="str">
        <f t="shared" si="6"/>
        <v/>
      </c>
      <c r="S76" s="23" t="str">
        <f>IFERROR(MIN(IF(Summary!$D$11="Yes",-J76,0),IF(H76&gt;0,-J76,0)),"")</f>
        <v/>
      </c>
      <c r="T76" s="16" t="str">
        <f>IFERROR(IF(Summary!$D$10="Yes",-K76,""),"")</f>
        <v/>
      </c>
      <c r="U76" s="18" t="str">
        <f>IFERROR(IF(Summary!$D$12="Yes",-L76,""),"")</f>
        <v/>
      </c>
      <c r="V76" s="25" t="str">
        <f>IF('Bulk Order Details'!M86="","",SUM(R76:U76))</f>
        <v/>
      </c>
      <c r="W76" s="36" t="str">
        <f>IF('Bulk Order Details'!M86="","",D76+Q76)</f>
        <v/>
      </c>
      <c r="X76" s="37" t="str">
        <f>IF('Bulk Order Details'!M86="","",D76+Q76+V76)</f>
        <v/>
      </c>
      <c r="Y76" s="168" t="str">
        <f t="shared" si="5"/>
        <v/>
      </c>
      <c r="Z76" s="173" t="str">
        <f>IF('Bulk Order Details'!M86="","",MAX(1,'Bulk Order Details'!G86))</f>
        <v/>
      </c>
      <c r="AA76" s="196" t="str">
        <f>IF(Pricing_Details[[#This Row],[Quantity]]="","",Pricing_Details[[#This Row],[Retail Price]]*Pricing_Details[[#This Row],[Quantity]])</f>
        <v/>
      </c>
      <c r="AB76" s="196" t="str">
        <f>IF(Pricing_Details[[#This Row],[Quantity]]="","",Pricing_Details[[#This Row],[Total Discount]]*Pricing_Details[[#This Row],[Quantity]])</f>
        <v/>
      </c>
      <c r="AC76" s="176" t="str">
        <f>IFERROR(ROUND(Pricing_Details[[#This Row],[Actual Price]]*Pricing_Details[[#This Row],[Quantity]],2),"")</f>
        <v/>
      </c>
      <c r="AE76" s="156" t="str">
        <f>IF('Bulk Order Details'!M86="","",VLOOKUP('Bulk Order Details'!K86,Collection[],3)&amp;VLOOKUP('Bulk Order Details'!M86,Collar[],4)&amp;VLOOKUP('Bulk Order Details'!L86,Sleeve[],4))</f>
        <v/>
      </c>
      <c r="AF76" s="156" t="str">
        <f>IF('Bulk Order Details'!M86="","",LOOKUP('Bulk Order Details'!H86,Cut[Display],Cut[Code])&amp;LOOKUP('Bulk Order Details'!I86,#REF!,#REF!)&amp;IF('Bulk Order Details'!J86="","",LOOKUP('Bulk Order Details'!J86,Length[Display],Length[Code])))</f>
        <v/>
      </c>
      <c r="AG76" s="156" t="str">
        <f>IF('Bulk Order Details'!M86="","",IF('Bulk Order Details'!F86="","",'Bulk Order Details'!F86))</f>
        <v/>
      </c>
      <c r="AH76" s="156" t="str">
        <f>IF('Bulk Order Details'!R86="","","-"&amp;LOOKUP('Bulk Order Details'!R86,#REF!,#REF!))</f>
        <v/>
      </c>
      <c r="AI76" s="156" t="str">
        <f>IF('Bulk Order Details'!S86="","","-"&amp;LOOKUP('Bulk Order Details'!S86,#REF!,#REF!))</f>
        <v/>
      </c>
      <c r="AJ76" s="156" t="str">
        <f>IF('Bulk Order Details'!T86="","","-"&amp;LOOKUP('Bulk Order Details'!T86,#REF!,#REF!))</f>
        <v/>
      </c>
      <c r="AK76" s="156" t="str">
        <f>IF('Bulk Order Details'!U86="","","-"&amp;LOOKUP('Bulk Order Details'!U86,#REF!,#REF!))</f>
        <v/>
      </c>
      <c r="AL76" s="156" t="str">
        <f>IF('Bulk Order Details'!V86="","","-"&amp;LOOKUP('Bulk Order Details'!V86,#REF!,#REF!))</f>
        <v/>
      </c>
      <c r="AM76" s="156" t="str">
        <f t="shared" si="7"/>
        <v/>
      </c>
      <c r="AN76" s="156" t="str">
        <f>IF('Bulk Order Details'!N86="","","Na-"&amp;'Bulk Order Details'!N86)</f>
        <v/>
      </c>
      <c r="AO76" s="156" t="str">
        <f>IF('Bulk Order Details'!Q86="","","Fo-"&amp;'Bulk Order Details'!Q86)</f>
        <v/>
      </c>
      <c r="AP76" s="156" t="str">
        <f t="shared" si="8"/>
        <v/>
      </c>
      <c r="AQ76" s="37" t="str">
        <f t="shared" si="9"/>
        <v/>
      </c>
    </row>
    <row r="77" spans="2:43" ht="15" customHeight="1" x14ac:dyDescent="0.2">
      <c r="B77" s="34">
        <f>'Bulk Order Details'!B87</f>
        <v>74</v>
      </c>
      <c r="C77" s="34" t="str">
        <f>IF('Bulk Order Details'!C87="","",'Bulk Order Details'!C87&amp;" "&amp;'Bulk Order Details'!D87)</f>
        <v/>
      </c>
      <c r="D77" s="31" t="str">
        <f>IF('Bulk Order Details'!M87="","",VLOOKUP(1,Price[],3))</f>
        <v/>
      </c>
      <c r="E77" s="29" t="str">
        <f>IF('Bulk Order Details'!M87="","",Summary!$D$9)</f>
        <v/>
      </c>
      <c r="F77" s="16" t="str">
        <f>IF('Bulk Order Details'!I87="","",_xlfn.XLOOKUP('Bulk Order Details'!I87,Size[Display],Size[Price]))</f>
        <v/>
      </c>
      <c r="G77" s="16" t="str">
        <f>IF('Bulk Order Details'!J87="","",_xlfn.XLOOKUP('Bulk Order Details'!J87,Length[Display],Length[Price]))</f>
        <v/>
      </c>
      <c r="H77" s="16" t="str">
        <f>IF('Bulk Order Details'!K87="","",_xlfn.XLOOKUP('Bulk Order Details'!K87,Collection[Display],Collection[Price]))</f>
        <v/>
      </c>
      <c r="I77" s="16" t="str">
        <f>IF('Bulk Order Details'!L87="","",_xlfn.XLOOKUP('Bulk Order Details'!L87,Sleeve[Display],Sleeve[Price]))</f>
        <v/>
      </c>
      <c r="J77" s="16" t="str">
        <f>IF('Bulk Order Details'!M87="","",_xlfn.XLOOKUP('Bulk Order Details'!M87,Collar[Display],Collar[Price]))</f>
        <v/>
      </c>
      <c r="K77" s="16" t="str">
        <f>IF('Bulk Order Details'!N87="","",_xlfn.XLOOKUP("Name",Name[Name],Name[Price]))</f>
        <v/>
      </c>
      <c r="L77" s="18" t="str">
        <f>IFERROR(IF('Bulk Order Details'!R87="","",IF(_xlfn.XLOOKUP('Bulk Order Details'!R87,Logos[Display],Logos[Use])="Flat",_xlfn.XLOOKUP('Bulk Order Details'!R87,Logos[Display],Logos[Flat]),ROUND(_xlfn.XLOOKUP('Bulk Order Details'!R87,Logos[Display],Logos[Pct])*$E77,2))),"")</f>
        <v/>
      </c>
      <c r="M77" s="22" t="str">
        <f>IFERROR(IF('Bulk Order Details'!S87="","",IF(_xlfn.XLOOKUP('Bulk Order Details'!S87,Chest[Display],Chest[Use])="Flat",_xlfn.XLOOKUP('Bulk Order Details'!S87,Chest[Display],Chest[Flat]),ROUND(_xlfn.XLOOKUP('Bulk Order Details'!S87,Chest[Display],Chest[Pct])*$E77,2))),"")</f>
        <v/>
      </c>
      <c r="N77" s="22" t="str">
        <f>IFERROR(IF('Bulk Order Details'!T87="","",IF(_xlfn.XLOOKUP('Bulk Order Details'!T87,Chest[Display],Chest[Use])="Flat",_xlfn.XLOOKUP('Bulk Order Details'!T87,Chest[Display],Chest[Flat]),ROUND(_xlfn.XLOOKUP('Bulk Order Details'!T87,Chest[Display],Chest[Pct])*$E77,2))),"")</f>
        <v/>
      </c>
      <c r="O77" s="22" t="str">
        <f>IFERROR(IF('Bulk Order Details'!U87="","",IF(_xlfn.XLOOKUP('Bulk Order Details'!U87,LeftSleeve[Display],LeftSleeve[Use])="Flat",_xlfn.XLOOKUP('Bulk Order Details'!U87,LeftSleeve[Display],LeftSleeve[Flat]),ROUND(_xlfn.XLOOKUP('Bulk Order Details'!U87,LeftSleeve[Display],LeftSleeve[Pct])*$E77,2))),"")</f>
        <v/>
      </c>
      <c r="P77" s="22" t="str">
        <f>IFERROR(IF('Bulk Order Details'!V87="","",IF(_xlfn.XLOOKUP('Bulk Order Details'!V87,RightSleeve[Display],RightSleeve[Use])="Flat",_xlfn.XLOOKUP('Bulk Order Details'!V87,RightSleeve[Display],RightSleeve[Flat]),ROUND(_xlfn.XLOOKUP('Bulk Order Details'!V87,RightSleeve[Display],RightSleeve[Pct])*$E77,2))),"")</f>
        <v/>
      </c>
      <c r="Q77" s="27" t="str">
        <f>IF('Bulk Order Details'!M87="","",SUM(F77:P77))</f>
        <v/>
      </c>
      <c r="R77" s="24" t="str">
        <f t="shared" si="6"/>
        <v/>
      </c>
      <c r="S77" s="23" t="str">
        <f>IFERROR(MIN(IF(Summary!$D$11="Yes",-J77,0),IF(H77&gt;0,-J77,0)),"")</f>
        <v/>
      </c>
      <c r="T77" s="16" t="str">
        <f>IFERROR(IF(Summary!$D$10="Yes",-K77,""),"")</f>
        <v/>
      </c>
      <c r="U77" s="18" t="str">
        <f>IFERROR(IF(Summary!$D$12="Yes",-L77,""),"")</f>
        <v/>
      </c>
      <c r="V77" s="25" t="str">
        <f>IF('Bulk Order Details'!M87="","",SUM(R77:U77))</f>
        <v/>
      </c>
      <c r="W77" s="36" t="str">
        <f>IF('Bulk Order Details'!M87="","",D77+Q77)</f>
        <v/>
      </c>
      <c r="X77" s="37" t="str">
        <f>IF('Bulk Order Details'!M87="","",D77+Q77+V77)</f>
        <v/>
      </c>
      <c r="Y77" s="168" t="str">
        <f t="shared" si="5"/>
        <v/>
      </c>
      <c r="Z77" s="173" t="str">
        <f>IF('Bulk Order Details'!M87="","",MAX(1,'Bulk Order Details'!G87))</f>
        <v/>
      </c>
      <c r="AA77" s="196" t="str">
        <f>IF(Pricing_Details[[#This Row],[Quantity]]="","",Pricing_Details[[#This Row],[Retail Price]]*Pricing_Details[[#This Row],[Quantity]])</f>
        <v/>
      </c>
      <c r="AB77" s="196" t="str">
        <f>IF(Pricing_Details[[#This Row],[Quantity]]="","",Pricing_Details[[#This Row],[Total Discount]]*Pricing_Details[[#This Row],[Quantity]])</f>
        <v/>
      </c>
      <c r="AC77" s="176" t="str">
        <f>IFERROR(ROUND(Pricing_Details[[#This Row],[Actual Price]]*Pricing_Details[[#This Row],[Quantity]],2),"")</f>
        <v/>
      </c>
      <c r="AE77" s="156" t="str">
        <f>IF('Bulk Order Details'!M87="","",VLOOKUP('Bulk Order Details'!K87,Collection[],3)&amp;VLOOKUP('Bulk Order Details'!M87,Collar[],4)&amp;VLOOKUP('Bulk Order Details'!L87,Sleeve[],4))</f>
        <v/>
      </c>
      <c r="AF77" s="156" t="str">
        <f>IF('Bulk Order Details'!M87="","",LOOKUP('Bulk Order Details'!H87,Cut[Display],Cut[Code])&amp;LOOKUP('Bulk Order Details'!I87,#REF!,#REF!)&amp;IF('Bulk Order Details'!J87="","",LOOKUP('Bulk Order Details'!J87,Length[Display],Length[Code])))</f>
        <v/>
      </c>
      <c r="AG77" s="156" t="str">
        <f>IF('Bulk Order Details'!M87="","",IF('Bulk Order Details'!F87="","",'Bulk Order Details'!F87))</f>
        <v/>
      </c>
      <c r="AH77" s="156" t="str">
        <f>IF('Bulk Order Details'!R87="","","-"&amp;LOOKUP('Bulk Order Details'!R87,#REF!,#REF!))</f>
        <v/>
      </c>
      <c r="AI77" s="156" t="str">
        <f>IF('Bulk Order Details'!S87="","","-"&amp;LOOKUP('Bulk Order Details'!S87,#REF!,#REF!))</f>
        <v/>
      </c>
      <c r="AJ77" s="156" t="str">
        <f>IF('Bulk Order Details'!T87="","","-"&amp;LOOKUP('Bulk Order Details'!T87,#REF!,#REF!))</f>
        <v/>
      </c>
      <c r="AK77" s="156" t="str">
        <f>IF('Bulk Order Details'!U87="","","-"&amp;LOOKUP('Bulk Order Details'!U87,#REF!,#REF!))</f>
        <v/>
      </c>
      <c r="AL77" s="156" t="str">
        <f>IF('Bulk Order Details'!V87="","","-"&amp;LOOKUP('Bulk Order Details'!V87,#REF!,#REF!))</f>
        <v/>
      </c>
      <c r="AM77" s="156" t="str">
        <f t="shared" si="7"/>
        <v/>
      </c>
      <c r="AN77" s="156" t="str">
        <f>IF('Bulk Order Details'!N87="","","Na-"&amp;'Bulk Order Details'!N87)</f>
        <v/>
      </c>
      <c r="AO77" s="156" t="str">
        <f>IF('Bulk Order Details'!Q87="","","Fo-"&amp;'Bulk Order Details'!Q87)</f>
        <v/>
      </c>
      <c r="AP77" s="156" t="str">
        <f t="shared" si="8"/>
        <v/>
      </c>
      <c r="AQ77" s="37" t="str">
        <f t="shared" si="9"/>
        <v/>
      </c>
    </row>
    <row r="78" spans="2:43" ht="15" customHeight="1" x14ac:dyDescent="0.2">
      <c r="B78" s="34">
        <f>'Bulk Order Details'!B88</f>
        <v>75</v>
      </c>
      <c r="C78" s="34" t="str">
        <f>IF('Bulk Order Details'!C88="","",'Bulk Order Details'!C88&amp;" "&amp;'Bulk Order Details'!D88)</f>
        <v/>
      </c>
      <c r="D78" s="31" t="str">
        <f>IF('Bulk Order Details'!M88="","",VLOOKUP(1,Price[],3))</f>
        <v/>
      </c>
      <c r="E78" s="29" t="str">
        <f>IF('Bulk Order Details'!M88="","",Summary!$D$9)</f>
        <v/>
      </c>
      <c r="F78" s="16" t="str">
        <f>IF('Bulk Order Details'!I88="","",_xlfn.XLOOKUP('Bulk Order Details'!I88,Size[Display],Size[Price]))</f>
        <v/>
      </c>
      <c r="G78" s="16" t="str">
        <f>IF('Bulk Order Details'!J88="","",_xlfn.XLOOKUP('Bulk Order Details'!J88,Length[Display],Length[Price]))</f>
        <v/>
      </c>
      <c r="H78" s="16" t="str">
        <f>IF('Bulk Order Details'!K88="","",_xlfn.XLOOKUP('Bulk Order Details'!K88,Collection[Display],Collection[Price]))</f>
        <v/>
      </c>
      <c r="I78" s="16" t="str">
        <f>IF('Bulk Order Details'!L88="","",_xlfn.XLOOKUP('Bulk Order Details'!L88,Sleeve[Display],Sleeve[Price]))</f>
        <v/>
      </c>
      <c r="J78" s="16" t="str">
        <f>IF('Bulk Order Details'!M88="","",_xlfn.XLOOKUP('Bulk Order Details'!M88,Collar[Display],Collar[Price]))</f>
        <v/>
      </c>
      <c r="K78" s="16" t="str">
        <f>IF('Bulk Order Details'!N88="","",_xlfn.XLOOKUP("Name",Name[Name],Name[Price]))</f>
        <v/>
      </c>
      <c r="L78" s="18" t="str">
        <f>IFERROR(IF('Bulk Order Details'!R88="","",IF(_xlfn.XLOOKUP('Bulk Order Details'!R88,Logos[Display],Logos[Use])="Flat",_xlfn.XLOOKUP('Bulk Order Details'!R88,Logos[Display],Logos[Flat]),ROUND(_xlfn.XLOOKUP('Bulk Order Details'!R88,Logos[Display],Logos[Pct])*$E78,2))),"")</f>
        <v/>
      </c>
      <c r="M78" s="22" t="str">
        <f>IFERROR(IF('Bulk Order Details'!S88="","",IF(_xlfn.XLOOKUP('Bulk Order Details'!S88,Chest[Display],Chest[Use])="Flat",_xlfn.XLOOKUP('Bulk Order Details'!S88,Chest[Display],Chest[Flat]),ROUND(_xlfn.XLOOKUP('Bulk Order Details'!S88,Chest[Display],Chest[Pct])*$E78,2))),"")</f>
        <v/>
      </c>
      <c r="N78" s="22" t="str">
        <f>IFERROR(IF('Bulk Order Details'!T88="","",IF(_xlfn.XLOOKUP('Bulk Order Details'!T88,Chest[Display],Chest[Use])="Flat",_xlfn.XLOOKUP('Bulk Order Details'!T88,Chest[Display],Chest[Flat]),ROUND(_xlfn.XLOOKUP('Bulk Order Details'!T88,Chest[Display],Chest[Pct])*$E78,2))),"")</f>
        <v/>
      </c>
      <c r="O78" s="22" t="str">
        <f>IFERROR(IF('Bulk Order Details'!U88="","",IF(_xlfn.XLOOKUP('Bulk Order Details'!U88,LeftSleeve[Display],LeftSleeve[Use])="Flat",_xlfn.XLOOKUP('Bulk Order Details'!U88,LeftSleeve[Display],LeftSleeve[Flat]),ROUND(_xlfn.XLOOKUP('Bulk Order Details'!U88,LeftSleeve[Display],LeftSleeve[Pct])*$E78,2))),"")</f>
        <v/>
      </c>
      <c r="P78" s="22" t="str">
        <f>IFERROR(IF('Bulk Order Details'!V88="","",IF(_xlfn.XLOOKUP('Bulk Order Details'!V88,RightSleeve[Display],RightSleeve[Use])="Flat",_xlfn.XLOOKUP('Bulk Order Details'!V88,RightSleeve[Display],RightSleeve[Flat]),ROUND(_xlfn.XLOOKUP('Bulk Order Details'!V88,RightSleeve[Display],RightSleeve[Pct])*$E78,2))),"")</f>
        <v/>
      </c>
      <c r="Q78" s="27" t="str">
        <f>IF('Bulk Order Details'!M88="","",SUM(F78:P78))</f>
        <v/>
      </c>
      <c r="R78" s="24" t="str">
        <f t="shared" si="6"/>
        <v/>
      </c>
      <c r="S78" s="23" t="str">
        <f>IFERROR(MIN(IF(Summary!$D$11="Yes",-J78,0),IF(H78&gt;0,-J78,0)),"")</f>
        <v/>
      </c>
      <c r="T78" s="16" t="str">
        <f>IFERROR(IF(Summary!$D$10="Yes",-K78,""),"")</f>
        <v/>
      </c>
      <c r="U78" s="18" t="str">
        <f>IFERROR(IF(Summary!$D$12="Yes",-L78,""),"")</f>
        <v/>
      </c>
      <c r="V78" s="25" t="str">
        <f>IF('Bulk Order Details'!M88="","",SUM(R78:U78))</f>
        <v/>
      </c>
      <c r="W78" s="36" t="str">
        <f>IF('Bulk Order Details'!M88="","",D78+Q78)</f>
        <v/>
      </c>
      <c r="X78" s="37" t="str">
        <f>IF('Bulk Order Details'!M88="","",D78+Q78+V78)</f>
        <v/>
      </c>
      <c r="Y78" s="168" t="str">
        <f t="shared" si="5"/>
        <v/>
      </c>
      <c r="Z78" s="173" t="str">
        <f>IF('Bulk Order Details'!M88="","",MAX(1,'Bulk Order Details'!G88))</f>
        <v/>
      </c>
      <c r="AA78" s="196" t="str">
        <f>IF(Pricing_Details[[#This Row],[Quantity]]="","",Pricing_Details[[#This Row],[Retail Price]]*Pricing_Details[[#This Row],[Quantity]])</f>
        <v/>
      </c>
      <c r="AB78" s="196" t="str">
        <f>IF(Pricing_Details[[#This Row],[Quantity]]="","",Pricing_Details[[#This Row],[Total Discount]]*Pricing_Details[[#This Row],[Quantity]])</f>
        <v/>
      </c>
      <c r="AC78" s="176" t="str">
        <f>IFERROR(ROUND(Pricing_Details[[#This Row],[Actual Price]]*Pricing_Details[[#This Row],[Quantity]],2),"")</f>
        <v/>
      </c>
      <c r="AE78" s="156" t="str">
        <f>IF('Bulk Order Details'!M88="","",VLOOKUP('Bulk Order Details'!K88,Collection[],3)&amp;VLOOKUP('Bulk Order Details'!M88,Collar[],4)&amp;VLOOKUP('Bulk Order Details'!L88,Sleeve[],4))</f>
        <v/>
      </c>
      <c r="AF78" s="156" t="str">
        <f>IF('Bulk Order Details'!M88="","",LOOKUP('Bulk Order Details'!H88,Cut[Display],Cut[Code])&amp;LOOKUP('Bulk Order Details'!I88,#REF!,#REF!)&amp;IF('Bulk Order Details'!J88="","",LOOKUP('Bulk Order Details'!J88,Length[Display],Length[Code])))</f>
        <v/>
      </c>
      <c r="AG78" s="156" t="str">
        <f>IF('Bulk Order Details'!M88="","",IF('Bulk Order Details'!F88="","",'Bulk Order Details'!F88))</f>
        <v/>
      </c>
      <c r="AH78" s="156" t="str">
        <f>IF('Bulk Order Details'!R88="","","-"&amp;LOOKUP('Bulk Order Details'!R88,#REF!,#REF!))</f>
        <v/>
      </c>
      <c r="AI78" s="156" t="str">
        <f>IF('Bulk Order Details'!S88="","","-"&amp;LOOKUP('Bulk Order Details'!S88,#REF!,#REF!))</f>
        <v/>
      </c>
      <c r="AJ78" s="156" t="str">
        <f>IF('Bulk Order Details'!T88="","","-"&amp;LOOKUP('Bulk Order Details'!T88,#REF!,#REF!))</f>
        <v/>
      </c>
      <c r="AK78" s="156" t="str">
        <f>IF('Bulk Order Details'!U88="","","-"&amp;LOOKUP('Bulk Order Details'!U88,#REF!,#REF!))</f>
        <v/>
      </c>
      <c r="AL78" s="156" t="str">
        <f>IF('Bulk Order Details'!V88="","","-"&amp;LOOKUP('Bulk Order Details'!V88,#REF!,#REF!))</f>
        <v/>
      </c>
      <c r="AM78" s="156" t="str">
        <f t="shared" si="7"/>
        <v/>
      </c>
      <c r="AN78" s="156" t="str">
        <f>IF('Bulk Order Details'!N88="","","Na-"&amp;'Bulk Order Details'!N88)</f>
        <v/>
      </c>
      <c r="AO78" s="156" t="str">
        <f>IF('Bulk Order Details'!Q88="","","Fo-"&amp;'Bulk Order Details'!Q88)</f>
        <v/>
      </c>
      <c r="AP78" s="156" t="str">
        <f t="shared" si="8"/>
        <v/>
      </c>
      <c r="AQ78" s="37" t="str">
        <f t="shared" si="9"/>
        <v/>
      </c>
    </row>
    <row r="79" spans="2:43" ht="15" customHeight="1" x14ac:dyDescent="0.2">
      <c r="B79" s="34">
        <f>'Bulk Order Details'!B89</f>
        <v>76</v>
      </c>
      <c r="C79" s="34" t="str">
        <f>IF('Bulk Order Details'!C89="","",'Bulk Order Details'!C89&amp;" "&amp;'Bulk Order Details'!D89)</f>
        <v/>
      </c>
      <c r="D79" s="31" t="str">
        <f>IF('Bulk Order Details'!M89="","",VLOOKUP(1,Price[],3))</f>
        <v/>
      </c>
      <c r="E79" s="29" t="str">
        <f>IF('Bulk Order Details'!M89="","",Summary!$D$9)</f>
        <v/>
      </c>
      <c r="F79" s="16" t="str">
        <f>IF('Bulk Order Details'!I89="","",_xlfn.XLOOKUP('Bulk Order Details'!I89,Size[Display],Size[Price]))</f>
        <v/>
      </c>
      <c r="G79" s="16" t="str">
        <f>IF('Bulk Order Details'!J89="","",_xlfn.XLOOKUP('Bulk Order Details'!J89,Length[Display],Length[Price]))</f>
        <v/>
      </c>
      <c r="H79" s="16" t="str">
        <f>IF('Bulk Order Details'!K89="","",_xlfn.XLOOKUP('Bulk Order Details'!K89,Collection[Display],Collection[Price]))</f>
        <v/>
      </c>
      <c r="I79" s="16" t="str">
        <f>IF('Bulk Order Details'!L89="","",_xlfn.XLOOKUP('Bulk Order Details'!L89,Sleeve[Display],Sleeve[Price]))</f>
        <v/>
      </c>
      <c r="J79" s="16" t="str">
        <f>IF('Bulk Order Details'!M89="","",_xlfn.XLOOKUP('Bulk Order Details'!M89,Collar[Display],Collar[Price]))</f>
        <v/>
      </c>
      <c r="K79" s="16" t="str">
        <f>IF('Bulk Order Details'!N89="","",_xlfn.XLOOKUP("Name",Name[Name],Name[Price]))</f>
        <v/>
      </c>
      <c r="L79" s="18" t="str">
        <f>IFERROR(IF('Bulk Order Details'!R89="","",IF(_xlfn.XLOOKUP('Bulk Order Details'!R89,Logos[Display],Logos[Use])="Flat",_xlfn.XLOOKUP('Bulk Order Details'!R89,Logos[Display],Logos[Flat]),ROUND(_xlfn.XLOOKUP('Bulk Order Details'!R89,Logos[Display],Logos[Pct])*$E79,2))),"")</f>
        <v/>
      </c>
      <c r="M79" s="22" t="str">
        <f>IFERROR(IF('Bulk Order Details'!S89="","",IF(_xlfn.XLOOKUP('Bulk Order Details'!S89,Chest[Display],Chest[Use])="Flat",_xlfn.XLOOKUP('Bulk Order Details'!S89,Chest[Display],Chest[Flat]),ROUND(_xlfn.XLOOKUP('Bulk Order Details'!S89,Chest[Display],Chest[Pct])*$E79,2))),"")</f>
        <v/>
      </c>
      <c r="N79" s="22" t="str">
        <f>IFERROR(IF('Bulk Order Details'!T89="","",IF(_xlfn.XLOOKUP('Bulk Order Details'!T89,Chest[Display],Chest[Use])="Flat",_xlfn.XLOOKUP('Bulk Order Details'!T89,Chest[Display],Chest[Flat]),ROUND(_xlfn.XLOOKUP('Bulk Order Details'!T89,Chest[Display],Chest[Pct])*$E79,2))),"")</f>
        <v/>
      </c>
      <c r="O79" s="22" t="str">
        <f>IFERROR(IF('Bulk Order Details'!U89="","",IF(_xlfn.XLOOKUP('Bulk Order Details'!U89,LeftSleeve[Display],LeftSleeve[Use])="Flat",_xlfn.XLOOKUP('Bulk Order Details'!U89,LeftSleeve[Display],LeftSleeve[Flat]),ROUND(_xlfn.XLOOKUP('Bulk Order Details'!U89,LeftSleeve[Display],LeftSleeve[Pct])*$E79,2))),"")</f>
        <v/>
      </c>
      <c r="P79" s="22" t="str">
        <f>IFERROR(IF('Bulk Order Details'!V89="","",IF(_xlfn.XLOOKUP('Bulk Order Details'!V89,RightSleeve[Display],RightSleeve[Use])="Flat",_xlfn.XLOOKUP('Bulk Order Details'!V89,RightSleeve[Display],RightSleeve[Flat]),ROUND(_xlfn.XLOOKUP('Bulk Order Details'!V89,RightSleeve[Display],RightSleeve[Pct])*$E79,2))),"")</f>
        <v/>
      </c>
      <c r="Q79" s="27" t="str">
        <f>IF('Bulk Order Details'!M89="","",SUM(F79:P79))</f>
        <v/>
      </c>
      <c r="R79" s="24" t="str">
        <f t="shared" si="6"/>
        <v/>
      </c>
      <c r="S79" s="23" t="str">
        <f>IFERROR(MIN(IF(Summary!$D$11="Yes",-J79,0),IF(H79&gt;0,-J79,0)),"")</f>
        <v/>
      </c>
      <c r="T79" s="16" t="str">
        <f>IFERROR(IF(Summary!$D$10="Yes",-K79,""),"")</f>
        <v/>
      </c>
      <c r="U79" s="18" t="str">
        <f>IFERROR(IF(Summary!$D$12="Yes",-L79,""),"")</f>
        <v/>
      </c>
      <c r="V79" s="25" t="str">
        <f>IF('Bulk Order Details'!M89="","",SUM(R79:U79))</f>
        <v/>
      </c>
      <c r="W79" s="36" t="str">
        <f>IF('Bulk Order Details'!M89="","",D79+Q79)</f>
        <v/>
      </c>
      <c r="X79" s="37" t="str">
        <f>IF('Bulk Order Details'!M89="","",D79+Q79+V79)</f>
        <v/>
      </c>
      <c r="Y79" s="168" t="str">
        <f t="shared" si="5"/>
        <v/>
      </c>
      <c r="Z79" s="173" t="str">
        <f>IF('Bulk Order Details'!M89="","",MAX(1,'Bulk Order Details'!G89))</f>
        <v/>
      </c>
      <c r="AA79" s="196" t="str">
        <f>IF(Pricing_Details[[#This Row],[Quantity]]="","",Pricing_Details[[#This Row],[Retail Price]]*Pricing_Details[[#This Row],[Quantity]])</f>
        <v/>
      </c>
      <c r="AB79" s="196" t="str">
        <f>IF(Pricing_Details[[#This Row],[Quantity]]="","",Pricing_Details[[#This Row],[Total Discount]]*Pricing_Details[[#This Row],[Quantity]])</f>
        <v/>
      </c>
      <c r="AC79" s="176" t="str">
        <f>IFERROR(ROUND(Pricing_Details[[#This Row],[Actual Price]]*Pricing_Details[[#This Row],[Quantity]],2),"")</f>
        <v/>
      </c>
      <c r="AE79" s="156" t="str">
        <f>IF('Bulk Order Details'!M89="","",VLOOKUP('Bulk Order Details'!K89,Collection[],3)&amp;VLOOKUP('Bulk Order Details'!M89,Collar[],4)&amp;VLOOKUP('Bulk Order Details'!L89,Sleeve[],4))</f>
        <v/>
      </c>
      <c r="AF79" s="156" t="str">
        <f>IF('Bulk Order Details'!M89="","",LOOKUP('Bulk Order Details'!H89,Cut[Display],Cut[Code])&amp;LOOKUP('Bulk Order Details'!I89,#REF!,#REF!)&amp;IF('Bulk Order Details'!J89="","",LOOKUP('Bulk Order Details'!J89,Length[Display],Length[Code])))</f>
        <v/>
      </c>
      <c r="AG79" s="156" t="str">
        <f>IF('Bulk Order Details'!M89="","",IF('Bulk Order Details'!F89="","",'Bulk Order Details'!F89))</f>
        <v/>
      </c>
      <c r="AH79" s="156" t="str">
        <f>IF('Bulk Order Details'!R89="","","-"&amp;LOOKUP('Bulk Order Details'!R89,#REF!,#REF!))</f>
        <v/>
      </c>
      <c r="AI79" s="156" t="str">
        <f>IF('Bulk Order Details'!S89="","","-"&amp;LOOKUP('Bulk Order Details'!S89,#REF!,#REF!))</f>
        <v/>
      </c>
      <c r="AJ79" s="156" t="str">
        <f>IF('Bulk Order Details'!T89="","","-"&amp;LOOKUP('Bulk Order Details'!T89,#REF!,#REF!))</f>
        <v/>
      </c>
      <c r="AK79" s="156" t="str">
        <f>IF('Bulk Order Details'!U89="","","-"&amp;LOOKUP('Bulk Order Details'!U89,#REF!,#REF!))</f>
        <v/>
      </c>
      <c r="AL79" s="156" t="str">
        <f>IF('Bulk Order Details'!V89="","","-"&amp;LOOKUP('Bulk Order Details'!V89,#REF!,#REF!))</f>
        <v/>
      </c>
      <c r="AM79" s="156" t="str">
        <f t="shared" si="7"/>
        <v/>
      </c>
      <c r="AN79" s="156" t="str">
        <f>IF('Bulk Order Details'!N89="","","Na-"&amp;'Bulk Order Details'!N89)</f>
        <v/>
      </c>
      <c r="AO79" s="156" t="str">
        <f>IF('Bulk Order Details'!Q89="","","Fo-"&amp;'Bulk Order Details'!Q89)</f>
        <v/>
      </c>
      <c r="AP79" s="156" t="str">
        <f t="shared" si="8"/>
        <v/>
      </c>
      <c r="AQ79" s="37" t="str">
        <f t="shared" si="9"/>
        <v/>
      </c>
    </row>
    <row r="80" spans="2:43" ht="15" customHeight="1" x14ac:dyDescent="0.2">
      <c r="B80" s="34">
        <f>'Bulk Order Details'!B90</f>
        <v>77</v>
      </c>
      <c r="C80" s="34" t="str">
        <f>IF('Bulk Order Details'!C90="","",'Bulk Order Details'!C90&amp;" "&amp;'Bulk Order Details'!D90)</f>
        <v/>
      </c>
      <c r="D80" s="31" t="str">
        <f>IF('Bulk Order Details'!M90="","",VLOOKUP(1,Price[],3))</f>
        <v/>
      </c>
      <c r="E80" s="29" t="str">
        <f>IF('Bulk Order Details'!M90="","",Summary!$D$9)</f>
        <v/>
      </c>
      <c r="F80" s="16" t="str">
        <f>IF('Bulk Order Details'!I90="","",_xlfn.XLOOKUP('Bulk Order Details'!I90,Size[Display],Size[Price]))</f>
        <v/>
      </c>
      <c r="G80" s="16" t="str">
        <f>IF('Bulk Order Details'!J90="","",_xlfn.XLOOKUP('Bulk Order Details'!J90,Length[Display],Length[Price]))</f>
        <v/>
      </c>
      <c r="H80" s="16" t="str">
        <f>IF('Bulk Order Details'!K90="","",_xlfn.XLOOKUP('Bulk Order Details'!K90,Collection[Display],Collection[Price]))</f>
        <v/>
      </c>
      <c r="I80" s="16" t="str">
        <f>IF('Bulk Order Details'!L90="","",_xlfn.XLOOKUP('Bulk Order Details'!L90,Sleeve[Display],Sleeve[Price]))</f>
        <v/>
      </c>
      <c r="J80" s="16" t="str">
        <f>IF('Bulk Order Details'!M90="","",_xlfn.XLOOKUP('Bulk Order Details'!M90,Collar[Display],Collar[Price]))</f>
        <v/>
      </c>
      <c r="K80" s="16" t="str">
        <f>IF('Bulk Order Details'!N90="","",_xlfn.XLOOKUP("Name",Name[Name],Name[Price]))</f>
        <v/>
      </c>
      <c r="L80" s="18" t="str">
        <f>IFERROR(IF('Bulk Order Details'!R90="","",IF(_xlfn.XLOOKUP('Bulk Order Details'!R90,Logos[Display],Logos[Use])="Flat",_xlfn.XLOOKUP('Bulk Order Details'!R90,Logos[Display],Logos[Flat]),ROUND(_xlfn.XLOOKUP('Bulk Order Details'!R90,Logos[Display],Logos[Pct])*$E80,2))),"")</f>
        <v/>
      </c>
      <c r="M80" s="22" t="str">
        <f>IFERROR(IF('Bulk Order Details'!S90="","",IF(_xlfn.XLOOKUP('Bulk Order Details'!S90,Chest[Display],Chest[Use])="Flat",_xlfn.XLOOKUP('Bulk Order Details'!S90,Chest[Display],Chest[Flat]),ROUND(_xlfn.XLOOKUP('Bulk Order Details'!S90,Chest[Display],Chest[Pct])*$E80,2))),"")</f>
        <v/>
      </c>
      <c r="N80" s="22" t="str">
        <f>IFERROR(IF('Bulk Order Details'!T90="","",IF(_xlfn.XLOOKUP('Bulk Order Details'!T90,Chest[Display],Chest[Use])="Flat",_xlfn.XLOOKUP('Bulk Order Details'!T90,Chest[Display],Chest[Flat]),ROUND(_xlfn.XLOOKUP('Bulk Order Details'!T90,Chest[Display],Chest[Pct])*$E80,2))),"")</f>
        <v/>
      </c>
      <c r="O80" s="22" t="str">
        <f>IFERROR(IF('Bulk Order Details'!U90="","",IF(_xlfn.XLOOKUP('Bulk Order Details'!U90,LeftSleeve[Display],LeftSleeve[Use])="Flat",_xlfn.XLOOKUP('Bulk Order Details'!U90,LeftSleeve[Display],LeftSleeve[Flat]),ROUND(_xlfn.XLOOKUP('Bulk Order Details'!U90,LeftSleeve[Display],LeftSleeve[Pct])*$E80,2))),"")</f>
        <v/>
      </c>
      <c r="P80" s="22" t="str">
        <f>IFERROR(IF('Bulk Order Details'!V90="","",IF(_xlfn.XLOOKUP('Bulk Order Details'!V90,RightSleeve[Display],RightSleeve[Use])="Flat",_xlfn.XLOOKUP('Bulk Order Details'!V90,RightSleeve[Display],RightSleeve[Flat]),ROUND(_xlfn.XLOOKUP('Bulk Order Details'!V90,RightSleeve[Display],RightSleeve[Pct])*$E80,2))),"")</f>
        <v/>
      </c>
      <c r="Q80" s="27" t="str">
        <f>IF('Bulk Order Details'!M90="","",SUM(F80:P80))</f>
        <v/>
      </c>
      <c r="R80" s="24" t="str">
        <f t="shared" si="6"/>
        <v/>
      </c>
      <c r="S80" s="23" t="str">
        <f>IFERROR(MIN(IF(Summary!$D$11="Yes",-J80,0),IF(H80&gt;0,-J80,0)),"")</f>
        <v/>
      </c>
      <c r="T80" s="16" t="str">
        <f>IFERROR(IF(Summary!$D$10="Yes",-K80,""),"")</f>
        <v/>
      </c>
      <c r="U80" s="18" t="str">
        <f>IFERROR(IF(Summary!$D$12="Yes",-L80,""),"")</f>
        <v/>
      </c>
      <c r="V80" s="25" t="str">
        <f>IF('Bulk Order Details'!M90="","",SUM(R80:U80))</f>
        <v/>
      </c>
      <c r="W80" s="36" t="str">
        <f>IF('Bulk Order Details'!M90="","",D80+Q80)</f>
        <v/>
      </c>
      <c r="X80" s="37" t="str">
        <f>IF('Bulk Order Details'!M90="","",D80+Q80+V80)</f>
        <v/>
      </c>
      <c r="Y80" s="168" t="str">
        <f t="shared" si="5"/>
        <v/>
      </c>
      <c r="Z80" s="173" t="str">
        <f>IF('Bulk Order Details'!M90="","",MAX(1,'Bulk Order Details'!G90))</f>
        <v/>
      </c>
      <c r="AA80" s="196" t="str">
        <f>IF(Pricing_Details[[#This Row],[Quantity]]="","",Pricing_Details[[#This Row],[Retail Price]]*Pricing_Details[[#This Row],[Quantity]])</f>
        <v/>
      </c>
      <c r="AB80" s="196" t="str">
        <f>IF(Pricing_Details[[#This Row],[Quantity]]="","",Pricing_Details[[#This Row],[Total Discount]]*Pricing_Details[[#This Row],[Quantity]])</f>
        <v/>
      </c>
      <c r="AC80" s="176" t="str">
        <f>IFERROR(ROUND(Pricing_Details[[#This Row],[Actual Price]]*Pricing_Details[[#This Row],[Quantity]],2),"")</f>
        <v/>
      </c>
      <c r="AE80" s="156" t="str">
        <f>IF('Bulk Order Details'!M90="","",VLOOKUP('Bulk Order Details'!K90,Collection[],3)&amp;VLOOKUP('Bulk Order Details'!M90,Collar[],4)&amp;VLOOKUP('Bulk Order Details'!L90,Sleeve[],4))</f>
        <v/>
      </c>
      <c r="AF80" s="156" t="str">
        <f>IF('Bulk Order Details'!M90="","",LOOKUP('Bulk Order Details'!H90,Cut[Display],Cut[Code])&amp;LOOKUP('Bulk Order Details'!I90,#REF!,#REF!)&amp;IF('Bulk Order Details'!J90="","",LOOKUP('Bulk Order Details'!J90,Length[Display],Length[Code])))</f>
        <v/>
      </c>
      <c r="AG80" s="156" t="str">
        <f>IF('Bulk Order Details'!M90="","",IF('Bulk Order Details'!F90="","",'Bulk Order Details'!F90))</f>
        <v/>
      </c>
      <c r="AH80" s="156" t="str">
        <f>IF('Bulk Order Details'!R90="","","-"&amp;LOOKUP('Bulk Order Details'!R90,#REF!,#REF!))</f>
        <v/>
      </c>
      <c r="AI80" s="156" t="str">
        <f>IF('Bulk Order Details'!S90="","","-"&amp;LOOKUP('Bulk Order Details'!S90,#REF!,#REF!))</f>
        <v/>
      </c>
      <c r="AJ80" s="156" t="str">
        <f>IF('Bulk Order Details'!T90="","","-"&amp;LOOKUP('Bulk Order Details'!T90,#REF!,#REF!))</f>
        <v/>
      </c>
      <c r="AK80" s="156" t="str">
        <f>IF('Bulk Order Details'!U90="","","-"&amp;LOOKUP('Bulk Order Details'!U90,#REF!,#REF!))</f>
        <v/>
      </c>
      <c r="AL80" s="156" t="str">
        <f>IF('Bulk Order Details'!V90="","","-"&amp;LOOKUP('Bulk Order Details'!V90,#REF!,#REF!))</f>
        <v/>
      </c>
      <c r="AM80" s="156" t="str">
        <f t="shared" si="7"/>
        <v/>
      </c>
      <c r="AN80" s="156" t="str">
        <f>IF('Bulk Order Details'!N90="","","Na-"&amp;'Bulk Order Details'!N90)</f>
        <v/>
      </c>
      <c r="AO80" s="156" t="str">
        <f>IF('Bulk Order Details'!Q90="","","Fo-"&amp;'Bulk Order Details'!Q90)</f>
        <v/>
      </c>
      <c r="AP80" s="156" t="str">
        <f t="shared" si="8"/>
        <v/>
      </c>
      <c r="AQ80" s="37" t="str">
        <f t="shared" si="9"/>
        <v/>
      </c>
    </row>
    <row r="81" spans="2:43" ht="15" customHeight="1" x14ac:dyDescent="0.2">
      <c r="B81" s="34">
        <f>'Bulk Order Details'!B91</f>
        <v>78</v>
      </c>
      <c r="C81" s="34" t="str">
        <f>IF('Bulk Order Details'!C91="","",'Bulk Order Details'!C91&amp;" "&amp;'Bulk Order Details'!D91)</f>
        <v/>
      </c>
      <c r="D81" s="31" t="str">
        <f>IF('Bulk Order Details'!M91="","",VLOOKUP(1,Price[],3))</f>
        <v/>
      </c>
      <c r="E81" s="29" t="str">
        <f>IF('Bulk Order Details'!M91="","",Summary!$D$9)</f>
        <v/>
      </c>
      <c r="F81" s="16" t="str">
        <f>IF('Bulk Order Details'!I91="","",_xlfn.XLOOKUP('Bulk Order Details'!I91,Size[Display],Size[Price]))</f>
        <v/>
      </c>
      <c r="G81" s="16" t="str">
        <f>IF('Bulk Order Details'!J91="","",_xlfn.XLOOKUP('Bulk Order Details'!J91,Length[Display],Length[Price]))</f>
        <v/>
      </c>
      <c r="H81" s="16" t="str">
        <f>IF('Bulk Order Details'!K91="","",_xlfn.XLOOKUP('Bulk Order Details'!K91,Collection[Display],Collection[Price]))</f>
        <v/>
      </c>
      <c r="I81" s="16" t="str">
        <f>IF('Bulk Order Details'!L91="","",_xlfn.XLOOKUP('Bulk Order Details'!L91,Sleeve[Display],Sleeve[Price]))</f>
        <v/>
      </c>
      <c r="J81" s="16" t="str">
        <f>IF('Bulk Order Details'!M91="","",_xlfn.XLOOKUP('Bulk Order Details'!M91,Collar[Display],Collar[Price]))</f>
        <v/>
      </c>
      <c r="K81" s="16" t="str">
        <f>IF('Bulk Order Details'!N91="","",_xlfn.XLOOKUP("Name",Name[Name],Name[Price]))</f>
        <v/>
      </c>
      <c r="L81" s="18" t="str">
        <f>IFERROR(IF('Bulk Order Details'!R91="","",IF(_xlfn.XLOOKUP('Bulk Order Details'!R91,Logos[Display],Logos[Use])="Flat",_xlfn.XLOOKUP('Bulk Order Details'!R91,Logos[Display],Logos[Flat]),ROUND(_xlfn.XLOOKUP('Bulk Order Details'!R91,Logos[Display],Logos[Pct])*$E81,2))),"")</f>
        <v/>
      </c>
      <c r="M81" s="22" t="str">
        <f>IFERROR(IF('Bulk Order Details'!S91="","",IF(_xlfn.XLOOKUP('Bulk Order Details'!S91,Chest[Display],Chest[Use])="Flat",_xlfn.XLOOKUP('Bulk Order Details'!S91,Chest[Display],Chest[Flat]),ROUND(_xlfn.XLOOKUP('Bulk Order Details'!S91,Chest[Display],Chest[Pct])*$E81,2))),"")</f>
        <v/>
      </c>
      <c r="N81" s="22" t="str">
        <f>IFERROR(IF('Bulk Order Details'!T91="","",IF(_xlfn.XLOOKUP('Bulk Order Details'!T91,Chest[Display],Chest[Use])="Flat",_xlfn.XLOOKUP('Bulk Order Details'!T91,Chest[Display],Chest[Flat]),ROUND(_xlfn.XLOOKUP('Bulk Order Details'!T91,Chest[Display],Chest[Pct])*$E81,2))),"")</f>
        <v/>
      </c>
      <c r="O81" s="22" t="str">
        <f>IFERROR(IF('Bulk Order Details'!U91="","",IF(_xlfn.XLOOKUP('Bulk Order Details'!U91,LeftSleeve[Display],LeftSleeve[Use])="Flat",_xlfn.XLOOKUP('Bulk Order Details'!U91,LeftSleeve[Display],LeftSleeve[Flat]),ROUND(_xlfn.XLOOKUP('Bulk Order Details'!U91,LeftSleeve[Display],LeftSleeve[Pct])*$E81,2))),"")</f>
        <v/>
      </c>
      <c r="P81" s="22" t="str">
        <f>IFERROR(IF('Bulk Order Details'!V91="","",IF(_xlfn.XLOOKUP('Bulk Order Details'!V91,RightSleeve[Display],RightSleeve[Use])="Flat",_xlfn.XLOOKUP('Bulk Order Details'!V91,RightSleeve[Display],RightSleeve[Flat]),ROUND(_xlfn.XLOOKUP('Bulk Order Details'!V91,RightSleeve[Display],RightSleeve[Pct])*$E81,2))),"")</f>
        <v/>
      </c>
      <c r="Q81" s="27" t="str">
        <f>IF('Bulk Order Details'!M91="","",SUM(F81:P81))</f>
        <v/>
      </c>
      <c r="R81" s="24" t="str">
        <f t="shared" si="6"/>
        <v/>
      </c>
      <c r="S81" s="23" t="str">
        <f>IFERROR(MIN(IF(Summary!$D$11="Yes",-J81,0),IF(H81&gt;0,-J81,0)),"")</f>
        <v/>
      </c>
      <c r="T81" s="16" t="str">
        <f>IFERROR(IF(Summary!$D$10="Yes",-K81,""),"")</f>
        <v/>
      </c>
      <c r="U81" s="18" t="str">
        <f>IFERROR(IF(Summary!$D$12="Yes",-L81,""),"")</f>
        <v/>
      </c>
      <c r="V81" s="25" t="str">
        <f>IF('Bulk Order Details'!M91="","",SUM(R81:U81))</f>
        <v/>
      </c>
      <c r="W81" s="36" t="str">
        <f>IF('Bulk Order Details'!M91="","",D81+Q81)</f>
        <v/>
      </c>
      <c r="X81" s="37" t="str">
        <f>IF('Bulk Order Details'!M91="","",D81+Q81+V81)</f>
        <v/>
      </c>
      <c r="Y81" s="168" t="str">
        <f t="shared" si="5"/>
        <v/>
      </c>
      <c r="Z81" s="173" t="str">
        <f>IF('Bulk Order Details'!M91="","",MAX(1,'Bulk Order Details'!G91))</f>
        <v/>
      </c>
      <c r="AA81" s="196" t="str">
        <f>IF(Pricing_Details[[#This Row],[Quantity]]="","",Pricing_Details[[#This Row],[Retail Price]]*Pricing_Details[[#This Row],[Quantity]])</f>
        <v/>
      </c>
      <c r="AB81" s="196" t="str">
        <f>IF(Pricing_Details[[#This Row],[Quantity]]="","",Pricing_Details[[#This Row],[Total Discount]]*Pricing_Details[[#This Row],[Quantity]])</f>
        <v/>
      </c>
      <c r="AC81" s="176" t="str">
        <f>IFERROR(ROUND(Pricing_Details[[#This Row],[Actual Price]]*Pricing_Details[[#This Row],[Quantity]],2),"")</f>
        <v/>
      </c>
      <c r="AE81" s="156" t="str">
        <f>IF('Bulk Order Details'!M91="","",VLOOKUP('Bulk Order Details'!K91,Collection[],3)&amp;VLOOKUP('Bulk Order Details'!M91,Collar[],4)&amp;VLOOKUP('Bulk Order Details'!L91,Sleeve[],4))</f>
        <v/>
      </c>
      <c r="AF81" s="156" t="str">
        <f>IF('Bulk Order Details'!M91="","",LOOKUP('Bulk Order Details'!H91,Cut[Display],Cut[Code])&amp;LOOKUP('Bulk Order Details'!I91,#REF!,#REF!)&amp;IF('Bulk Order Details'!J91="","",LOOKUP('Bulk Order Details'!J91,Length[Display],Length[Code])))</f>
        <v/>
      </c>
      <c r="AG81" s="156" t="str">
        <f>IF('Bulk Order Details'!M91="","",IF('Bulk Order Details'!F91="","",'Bulk Order Details'!F91))</f>
        <v/>
      </c>
      <c r="AH81" s="156" t="str">
        <f>IF('Bulk Order Details'!R91="","","-"&amp;LOOKUP('Bulk Order Details'!R91,#REF!,#REF!))</f>
        <v/>
      </c>
      <c r="AI81" s="156" t="str">
        <f>IF('Bulk Order Details'!S91="","","-"&amp;LOOKUP('Bulk Order Details'!S91,#REF!,#REF!))</f>
        <v/>
      </c>
      <c r="AJ81" s="156" t="str">
        <f>IF('Bulk Order Details'!T91="","","-"&amp;LOOKUP('Bulk Order Details'!T91,#REF!,#REF!))</f>
        <v/>
      </c>
      <c r="AK81" s="156" t="str">
        <f>IF('Bulk Order Details'!U91="","","-"&amp;LOOKUP('Bulk Order Details'!U91,#REF!,#REF!))</f>
        <v/>
      </c>
      <c r="AL81" s="156" t="str">
        <f>IF('Bulk Order Details'!V91="","","-"&amp;LOOKUP('Bulk Order Details'!V91,#REF!,#REF!))</f>
        <v/>
      </c>
      <c r="AM81" s="156" t="str">
        <f t="shared" si="7"/>
        <v/>
      </c>
      <c r="AN81" s="156" t="str">
        <f>IF('Bulk Order Details'!N91="","","Na-"&amp;'Bulk Order Details'!N91)</f>
        <v/>
      </c>
      <c r="AO81" s="156" t="str">
        <f>IF('Bulk Order Details'!Q91="","","Fo-"&amp;'Bulk Order Details'!Q91)</f>
        <v/>
      </c>
      <c r="AP81" s="156" t="str">
        <f t="shared" si="8"/>
        <v/>
      </c>
      <c r="AQ81" s="37" t="str">
        <f t="shared" si="9"/>
        <v/>
      </c>
    </row>
    <row r="82" spans="2:43" ht="15" customHeight="1" x14ac:dyDescent="0.2">
      <c r="B82" s="34">
        <f>'Bulk Order Details'!B92</f>
        <v>79</v>
      </c>
      <c r="C82" s="34" t="str">
        <f>IF('Bulk Order Details'!C92="","",'Bulk Order Details'!C92&amp;" "&amp;'Bulk Order Details'!D92)</f>
        <v/>
      </c>
      <c r="D82" s="31" t="str">
        <f>IF('Bulk Order Details'!M92="","",VLOOKUP(1,Price[],3))</f>
        <v/>
      </c>
      <c r="E82" s="29" t="str">
        <f>IF('Bulk Order Details'!M92="","",Summary!$D$9)</f>
        <v/>
      </c>
      <c r="F82" s="16" t="str">
        <f>IF('Bulk Order Details'!I92="","",_xlfn.XLOOKUP('Bulk Order Details'!I92,Size[Display],Size[Price]))</f>
        <v/>
      </c>
      <c r="G82" s="16" t="str">
        <f>IF('Bulk Order Details'!J92="","",_xlfn.XLOOKUP('Bulk Order Details'!J92,Length[Display],Length[Price]))</f>
        <v/>
      </c>
      <c r="H82" s="16" t="str">
        <f>IF('Bulk Order Details'!K92="","",_xlfn.XLOOKUP('Bulk Order Details'!K92,Collection[Display],Collection[Price]))</f>
        <v/>
      </c>
      <c r="I82" s="16" t="str">
        <f>IF('Bulk Order Details'!L92="","",_xlfn.XLOOKUP('Bulk Order Details'!L92,Sleeve[Display],Sleeve[Price]))</f>
        <v/>
      </c>
      <c r="J82" s="16" t="str">
        <f>IF('Bulk Order Details'!M92="","",_xlfn.XLOOKUP('Bulk Order Details'!M92,Collar[Display],Collar[Price]))</f>
        <v/>
      </c>
      <c r="K82" s="16" t="str">
        <f>IF('Bulk Order Details'!N92="","",_xlfn.XLOOKUP("Name",Name[Name],Name[Price]))</f>
        <v/>
      </c>
      <c r="L82" s="18" t="str">
        <f>IFERROR(IF('Bulk Order Details'!R92="","",IF(_xlfn.XLOOKUP('Bulk Order Details'!R92,Logos[Display],Logos[Use])="Flat",_xlfn.XLOOKUP('Bulk Order Details'!R92,Logos[Display],Logos[Flat]),ROUND(_xlfn.XLOOKUP('Bulk Order Details'!R92,Logos[Display],Logos[Pct])*$E82,2))),"")</f>
        <v/>
      </c>
      <c r="M82" s="22" t="str">
        <f>IFERROR(IF('Bulk Order Details'!S92="","",IF(_xlfn.XLOOKUP('Bulk Order Details'!S92,Chest[Display],Chest[Use])="Flat",_xlfn.XLOOKUP('Bulk Order Details'!S92,Chest[Display],Chest[Flat]),ROUND(_xlfn.XLOOKUP('Bulk Order Details'!S92,Chest[Display],Chest[Pct])*$E82,2))),"")</f>
        <v/>
      </c>
      <c r="N82" s="22" t="str">
        <f>IFERROR(IF('Bulk Order Details'!T92="","",IF(_xlfn.XLOOKUP('Bulk Order Details'!T92,Chest[Display],Chest[Use])="Flat",_xlfn.XLOOKUP('Bulk Order Details'!T92,Chest[Display],Chest[Flat]),ROUND(_xlfn.XLOOKUP('Bulk Order Details'!T92,Chest[Display],Chest[Pct])*$E82,2))),"")</f>
        <v/>
      </c>
      <c r="O82" s="22" t="str">
        <f>IFERROR(IF('Bulk Order Details'!U92="","",IF(_xlfn.XLOOKUP('Bulk Order Details'!U92,LeftSleeve[Display],LeftSleeve[Use])="Flat",_xlfn.XLOOKUP('Bulk Order Details'!U92,LeftSleeve[Display],LeftSleeve[Flat]),ROUND(_xlfn.XLOOKUP('Bulk Order Details'!U92,LeftSleeve[Display],LeftSleeve[Pct])*$E82,2))),"")</f>
        <v/>
      </c>
      <c r="P82" s="22" t="str">
        <f>IFERROR(IF('Bulk Order Details'!V92="","",IF(_xlfn.XLOOKUP('Bulk Order Details'!V92,RightSleeve[Display],RightSleeve[Use])="Flat",_xlfn.XLOOKUP('Bulk Order Details'!V92,RightSleeve[Display],RightSleeve[Flat]),ROUND(_xlfn.XLOOKUP('Bulk Order Details'!V92,RightSleeve[Display],RightSleeve[Pct])*$E82,2))),"")</f>
        <v/>
      </c>
      <c r="Q82" s="27" t="str">
        <f>IF('Bulk Order Details'!M92="","",SUM(F82:P82))</f>
        <v/>
      </c>
      <c r="R82" s="24" t="str">
        <f t="shared" si="6"/>
        <v/>
      </c>
      <c r="S82" s="23" t="str">
        <f>IFERROR(MIN(IF(Summary!$D$11="Yes",-J82,0),IF(H82&gt;0,-J82,0)),"")</f>
        <v/>
      </c>
      <c r="T82" s="16" t="str">
        <f>IFERROR(IF(Summary!$D$10="Yes",-K82,""),"")</f>
        <v/>
      </c>
      <c r="U82" s="18" t="str">
        <f>IFERROR(IF(Summary!$D$12="Yes",-L82,""),"")</f>
        <v/>
      </c>
      <c r="V82" s="25" t="str">
        <f>IF('Bulk Order Details'!M92="","",SUM(R82:U82))</f>
        <v/>
      </c>
      <c r="W82" s="36" t="str">
        <f>IF('Bulk Order Details'!M92="","",D82+Q82)</f>
        <v/>
      </c>
      <c r="X82" s="37" t="str">
        <f>IF('Bulk Order Details'!M92="","",D82+Q82+V82)</f>
        <v/>
      </c>
      <c r="Y82" s="168" t="str">
        <f t="shared" si="5"/>
        <v/>
      </c>
      <c r="Z82" s="173" t="str">
        <f>IF('Bulk Order Details'!M92="","",MAX(1,'Bulk Order Details'!G92))</f>
        <v/>
      </c>
      <c r="AA82" s="196" t="str">
        <f>IF(Pricing_Details[[#This Row],[Quantity]]="","",Pricing_Details[[#This Row],[Retail Price]]*Pricing_Details[[#This Row],[Quantity]])</f>
        <v/>
      </c>
      <c r="AB82" s="196" t="str">
        <f>IF(Pricing_Details[[#This Row],[Quantity]]="","",Pricing_Details[[#This Row],[Total Discount]]*Pricing_Details[[#This Row],[Quantity]])</f>
        <v/>
      </c>
      <c r="AC82" s="176" t="str">
        <f>IFERROR(ROUND(Pricing_Details[[#This Row],[Actual Price]]*Pricing_Details[[#This Row],[Quantity]],2),"")</f>
        <v/>
      </c>
      <c r="AE82" s="156" t="str">
        <f>IF('Bulk Order Details'!M92="","",VLOOKUP('Bulk Order Details'!K92,Collection[],3)&amp;VLOOKUP('Bulk Order Details'!M92,Collar[],4)&amp;VLOOKUP('Bulk Order Details'!L92,Sleeve[],4))</f>
        <v/>
      </c>
      <c r="AF82" s="156" t="str">
        <f>IF('Bulk Order Details'!M92="","",LOOKUP('Bulk Order Details'!H92,Cut[Display],Cut[Code])&amp;LOOKUP('Bulk Order Details'!I92,#REF!,#REF!)&amp;IF('Bulk Order Details'!J92="","",LOOKUP('Bulk Order Details'!J92,Length[Display],Length[Code])))</f>
        <v/>
      </c>
      <c r="AG82" s="156" t="str">
        <f>IF('Bulk Order Details'!M92="","",IF('Bulk Order Details'!F92="","",'Bulk Order Details'!F92))</f>
        <v/>
      </c>
      <c r="AH82" s="156" t="str">
        <f>IF('Bulk Order Details'!R92="","","-"&amp;LOOKUP('Bulk Order Details'!R92,#REF!,#REF!))</f>
        <v/>
      </c>
      <c r="AI82" s="156" t="str">
        <f>IF('Bulk Order Details'!S92="","","-"&amp;LOOKUP('Bulk Order Details'!S92,#REF!,#REF!))</f>
        <v/>
      </c>
      <c r="AJ82" s="156" t="str">
        <f>IF('Bulk Order Details'!T92="","","-"&amp;LOOKUP('Bulk Order Details'!T92,#REF!,#REF!))</f>
        <v/>
      </c>
      <c r="AK82" s="156" t="str">
        <f>IF('Bulk Order Details'!U92="","","-"&amp;LOOKUP('Bulk Order Details'!U92,#REF!,#REF!))</f>
        <v/>
      </c>
      <c r="AL82" s="156" t="str">
        <f>IF('Bulk Order Details'!V92="","","-"&amp;LOOKUP('Bulk Order Details'!V92,#REF!,#REF!))</f>
        <v/>
      </c>
      <c r="AM82" s="156" t="str">
        <f t="shared" si="7"/>
        <v/>
      </c>
      <c r="AN82" s="156" t="str">
        <f>IF('Bulk Order Details'!N92="","","Na-"&amp;'Bulk Order Details'!N92)</f>
        <v/>
      </c>
      <c r="AO82" s="156" t="str">
        <f>IF('Bulk Order Details'!Q92="","","Fo-"&amp;'Bulk Order Details'!Q92)</f>
        <v/>
      </c>
      <c r="AP82" s="156" t="str">
        <f t="shared" si="8"/>
        <v/>
      </c>
      <c r="AQ82" s="37" t="str">
        <f t="shared" si="9"/>
        <v/>
      </c>
    </row>
    <row r="83" spans="2:43" ht="15" customHeight="1" x14ac:dyDescent="0.2">
      <c r="B83" s="34">
        <f>'Bulk Order Details'!B93</f>
        <v>80</v>
      </c>
      <c r="C83" s="34" t="str">
        <f>IF('Bulk Order Details'!C93="","",'Bulk Order Details'!C93&amp;" "&amp;'Bulk Order Details'!D93)</f>
        <v/>
      </c>
      <c r="D83" s="31" t="str">
        <f>IF('Bulk Order Details'!M93="","",VLOOKUP(1,Price[],3))</f>
        <v/>
      </c>
      <c r="E83" s="29" t="str">
        <f>IF('Bulk Order Details'!M93="","",Summary!$D$9)</f>
        <v/>
      </c>
      <c r="F83" s="16" t="str">
        <f>IF('Bulk Order Details'!I93="","",_xlfn.XLOOKUP('Bulk Order Details'!I93,Size[Display],Size[Price]))</f>
        <v/>
      </c>
      <c r="G83" s="16" t="str">
        <f>IF('Bulk Order Details'!J93="","",_xlfn.XLOOKUP('Bulk Order Details'!J93,Length[Display],Length[Price]))</f>
        <v/>
      </c>
      <c r="H83" s="16" t="str">
        <f>IF('Bulk Order Details'!K93="","",_xlfn.XLOOKUP('Bulk Order Details'!K93,Collection[Display],Collection[Price]))</f>
        <v/>
      </c>
      <c r="I83" s="16" t="str">
        <f>IF('Bulk Order Details'!L93="","",_xlfn.XLOOKUP('Bulk Order Details'!L93,Sleeve[Display],Sleeve[Price]))</f>
        <v/>
      </c>
      <c r="J83" s="16" t="str">
        <f>IF('Bulk Order Details'!M93="","",_xlfn.XLOOKUP('Bulk Order Details'!M93,Collar[Display],Collar[Price]))</f>
        <v/>
      </c>
      <c r="K83" s="16" t="str">
        <f>IF('Bulk Order Details'!N93="","",_xlfn.XLOOKUP("Name",Name[Name],Name[Price]))</f>
        <v/>
      </c>
      <c r="L83" s="18" t="str">
        <f>IFERROR(IF('Bulk Order Details'!R93="","",IF(_xlfn.XLOOKUP('Bulk Order Details'!R93,Logos[Display],Logos[Use])="Flat",_xlfn.XLOOKUP('Bulk Order Details'!R93,Logos[Display],Logos[Flat]),ROUND(_xlfn.XLOOKUP('Bulk Order Details'!R93,Logos[Display],Logos[Pct])*$E83,2))),"")</f>
        <v/>
      </c>
      <c r="M83" s="22" t="str">
        <f>IFERROR(IF('Bulk Order Details'!S93="","",IF(_xlfn.XLOOKUP('Bulk Order Details'!S93,Chest[Display],Chest[Use])="Flat",_xlfn.XLOOKUP('Bulk Order Details'!S93,Chest[Display],Chest[Flat]),ROUND(_xlfn.XLOOKUP('Bulk Order Details'!S93,Chest[Display],Chest[Pct])*$E83,2))),"")</f>
        <v/>
      </c>
      <c r="N83" s="22" t="str">
        <f>IFERROR(IF('Bulk Order Details'!T93="","",IF(_xlfn.XLOOKUP('Bulk Order Details'!T93,Chest[Display],Chest[Use])="Flat",_xlfn.XLOOKUP('Bulk Order Details'!T93,Chest[Display],Chest[Flat]),ROUND(_xlfn.XLOOKUP('Bulk Order Details'!T93,Chest[Display],Chest[Pct])*$E83,2))),"")</f>
        <v/>
      </c>
      <c r="O83" s="22" t="str">
        <f>IFERROR(IF('Bulk Order Details'!U93="","",IF(_xlfn.XLOOKUP('Bulk Order Details'!U93,LeftSleeve[Display],LeftSleeve[Use])="Flat",_xlfn.XLOOKUP('Bulk Order Details'!U93,LeftSleeve[Display],LeftSleeve[Flat]),ROUND(_xlfn.XLOOKUP('Bulk Order Details'!U93,LeftSleeve[Display],LeftSleeve[Pct])*$E83,2))),"")</f>
        <v/>
      </c>
      <c r="P83" s="22" t="str">
        <f>IFERROR(IF('Bulk Order Details'!V93="","",IF(_xlfn.XLOOKUP('Bulk Order Details'!V93,RightSleeve[Display],RightSleeve[Use])="Flat",_xlfn.XLOOKUP('Bulk Order Details'!V93,RightSleeve[Display],RightSleeve[Flat]),ROUND(_xlfn.XLOOKUP('Bulk Order Details'!V93,RightSleeve[Display],RightSleeve[Pct])*$E83,2))),"")</f>
        <v/>
      </c>
      <c r="Q83" s="27" t="str">
        <f>IF('Bulk Order Details'!M93="","",SUM(F83:P83))</f>
        <v/>
      </c>
      <c r="R83" s="24" t="str">
        <f t="shared" si="6"/>
        <v/>
      </c>
      <c r="S83" s="23" t="str">
        <f>IFERROR(MIN(IF(Summary!$D$11="Yes",-J83,0),IF(H83&gt;0,-J83,0)),"")</f>
        <v/>
      </c>
      <c r="T83" s="16" t="str">
        <f>IFERROR(IF(Summary!$D$10="Yes",-K83,""),"")</f>
        <v/>
      </c>
      <c r="U83" s="18" t="str">
        <f>IFERROR(IF(Summary!$D$12="Yes",-L83,""),"")</f>
        <v/>
      </c>
      <c r="V83" s="25" t="str">
        <f>IF('Bulk Order Details'!M93="","",SUM(R83:U83))</f>
        <v/>
      </c>
      <c r="W83" s="36" t="str">
        <f>IF('Bulk Order Details'!M93="","",D83+Q83)</f>
        <v/>
      </c>
      <c r="X83" s="37" t="str">
        <f>IF('Bulk Order Details'!M93="","",D83+Q83+V83)</f>
        <v/>
      </c>
      <c r="Y83" s="168" t="str">
        <f t="shared" si="5"/>
        <v/>
      </c>
      <c r="Z83" s="173" t="str">
        <f>IF('Bulk Order Details'!M93="","",MAX(1,'Bulk Order Details'!G93))</f>
        <v/>
      </c>
      <c r="AA83" s="196" t="str">
        <f>IF(Pricing_Details[[#This Row],[Quantity]]="","",Pricing_Details[[#This Row],[Retail Price]]*Pricing_Details[[#This Row],[Quantity]])</f>
        <v/>
      </c>
      <c r="AB83" s="196" t="str">
        <f>IF(Pricing_Details[[#This Row],[Quantity]]="","",Pricing_Details[[#This Row],[Total Discount]]*Pricing_Details[[#This Row],[Quantity]])</f>
        <v/>
      </c>
      <c r="AC83" s="176" t="str">
        <f>IFERROR(ROUND(Pricing_Details[[#This Row],[Actual Price]]*Pricing_Details[[#This Row],[Quantity]],2),"")</f>
        <v/>
      </c>
      <c r="AE83" s="156" t="str">
        <f>IF('Bulk Order Details'!M93="","",VLOOKUP('Bulk Order Details'!K93,Collection[],3)&amp;VLOOKUP('Bulk Order Details'!M93,Collar[],4)&amp;VLOOKUP('Bulk Order Details'!L93,Sleeve[],4))</f>
        <v/>
      </c>
      <c r="AF83" s="156" t="str">
        <f>IF('Bulk Order Details'!M93="","",LOOKUP('Bulk Order Details'!H93,Cut[Display],Cut[Code])&amp;LOOKUP('Bulk Order Details'!I93,#REF!,#REF!)&amp;IF('Bulk Order Details'!J93="","",LOOKUP('Bulk Order Details'!J93,Length[Display],Length[Code])))</f>
        <v/>
      </c>
      <c r="AG83" s="156" t="str">
        <f>IF('Bulk Order Details'!M93="","",IF('Bulk Order Details'!F93="","",'Bulk Order Details'!F93))</f>
        <v/>
      </c>
      <c r="AH83" s="156" t="str">
        <f>IF('Bulk Order Details'!R93="","","-"&amp;LOOKUP('Bulk Order Details'!R93,#REF!,#REF!))</f>
        <v/>
      </c>
      <c r="AI83" s="156" t="str">
        <f>IF('Bulk Order Details'!S93="","","-"&amp;LOOKUP('Bulk Order Details'!S93,#REF!,#REF!))</f>
        <v/>
      </c>
      <c r="AJ83" s="156" t="str">
        <f>IF('Bulk Order Details'!T93="","","-"&amp;LOOKUP('Bulk Order Details'!T93,#REF!,#REF!))</f>
        <v/>
      </c>
      <c r="AK83" s="156" t="str">
        <f>IF('Bulk Order Details'!U93="","","-"&amp;LOOKUP('Bulk Order Details'!U93,#REF!,#REF!))</f>
        <v/>
      </c>
      <c r="AL83" s="156" t="str">
        <f>IF('Bulk Order Details'!V93="","","-"&amp;LOOKUP('Bulk Order Details'!V93,#REF!,#REF!))</f>
        <v/>
      </c>
      <c r="AM83" s="156" t="str">
        <f t="shared" si="7"/>
        <v/>
      </c>
      <c r="AN83" s="156" t="str">
        <f>IF('Bulk Order Details'!N93="","","Na-"&amp;'Bulk Order Details'!N93)</f>
        <v/>
      </c>
      <c r="AO83" s="156" t="str">
        <f>IF('Bulk Order Details'!Q93="","","Fo-"&amp;'Bulk Order Details'!Q93)</f>
        <v/>
      </c>
      <c r="AP83" s="156" t="str">
        <f t="shared" si="8"/>
        <v/>
      </c>
      <c r="AQ83" s="37" t="str">
        <f t="shared" si="9"/>
        <v/>
      </c>
    </row>
    <row r="84" spans="2:43" ht="15" customHeight="1" x14ac:dyDescent="0.2">
      <c r="B84" s="34">
        <f>'Bulk Order Details'!B94</f>
        <v>81</v>
      </c>
      <c r="C84" s="34" t="str">
        <f>IF('Bulk Order Details'!C94="","",'Bulk Order Details'!C94&amp;" "&amp;'Bulk Order Details'!D94)</f>
        <v/>
      </c>
      <c r="D84" s="31" t="str">
        <f>IF('Bulk Order Details'!M94="","",VLOOKUP(1,Price[],3))</f>
        <v/>
      </c>
      <c r="E84" s="29" t="str">
        <f>IF('Bulk Order Details'!M94="","",Summary!$D$9)</f>
        <v/>
      </c>
      <c r="F84" s="16" t="str">
        <f>IF('Bulk Order Details'!I94="","",_xlfn.XLOOKUP('Bulk Order Details'!I94,Size[Display],Size[Price]))</f>
        <v/>
      </c>
      <c r="G84" s="16" t="str">
        <f>IF('Bulk Order Details'!J94="","",_xlfn.XLOOKUP('Bulk Order Details'!J94,Length[Display],Length[Price]))</f>
        <v/>
      </c>
      <c r="H84" s="16" t="str">
        <f>IF('Bulk Order Details'!K94="","",_xlfn.XLOOKUP('Bulk Order Details'!K94,Collection[Display],Collection[Price]))</f>
        <v/>
      </c>
      <c r="I84" s="16" t="str">
        <f>IF('Bulk Order Details'!L94="","",_xlfn.XLOOKUP('Bulk Order Details'!L94,Sleeve[Display],Sleeve[Price]))</f>
        <v/>
      </c>
      <c r="J84" s="16" t="str">
        <f>IF('Bulk Order Details'!M94="","",_xlfn.XLOOKUP('Bulk Order Details'!M94,Collar[Display],Collar[Price]))</f>
        <v/>
      </c>
      <c r="K84" s="16" t="str">
        <f>IF('Bulk Order Details'!N94="","",_xlfn.XLOOKUP("Name",Name[Name],Name[Price]))</f>
        <v/>
      </c>
      <c r="L84" s="18" t="str">
        <f>IFERROR(IF('Bulk Order Details'!R94="","",IF(_xlfn.XLOOKUP('Bulk Order Details'!R94,Logos[Display],Logos[Use])="Flat",_xlfn.XLOOKUP('Bulk Order Details'!R94,Logos[Display],Logos[Flat]),ROUND(_xlfn.XLOOKUP('Bulk Order Details'!R94,Logos[Display],Logos[Pct])*$E84,2))),"")</f>
        <v/>
      </c>
      <c r="M84" s="22" t="str">
        <f>IFERROR(IF('Bulk Order Details'!S94="","",IF(_xlfn.XLOOKUP('Bulk Order Details'!S94,Chest[Display],Chest[Use])="Flat",_xlfn.XLOOKUP('Bulk Order Details'!S94,Chest[Display],Chest[Flat]),ROUND(_xlfn.XLOOKUP('Bulk Order Details'!S94,Chest[Display],Chest[Pct])*$E84,2))),"")</f>
        <v/>
      </c>
      <c r="N84" s="22" t="str">
        <f>IFERROR(IF('Bulk Order Details'!T94="","",IF(_xlfn.XLOOKUP('Bulk Order Details'!T94,Chest[Display],Chest[Use])="Flat",_xlfn.XLOOKUP('Bulk Order Details'!T94,Chest[Display],Chest[Flat]),ROUND(_xlfn.XLOOKUP('Bulk Order Details'!T94,Chest[Display],Chest[Pct])*$E84,2))),"")</f>
        <v/>
      </c>
      <c r="O84" s="22" t="str">
        <f>IFERROR(IF('Bulk Order Details'!U94="","",IF(_xlfn.XLOOKUP('Bulk Order Details'!U94,LeftSleeve[Display],LeftSleeve[Use])="Flat",_xlfn.XLOOKUP('Bulk Order Details'!U94,LeftSleeve[Display],LeftSleeve[Flat]),ROUND(_xlfn.XLOOKUP('Bulk Order Details'!U94,LeftSleeve[Display],LeftSleeve[Pct])*$E84,2))),"")</f>
        <v/>
      </c>
      <c r="P84" s="22" t="str">
        <f>IFERROR(IF('Bulk Order Details'!V94="","",IF(_xlfn.XLOOKUP('Bulk Order Details'!V94,RightSleeve[Display],RightSleeve[Use])="Flat",_xlfn.XLOOKUP('Bulk Order Details'!V94,RightSleeve[Display],RightSleeve[Flat]),ROUND(_xlfn.XLOOKUP('Bulk Order Details'!V94,RightSleeve[Display],RightSleeve[Pct])*$E84,2))),"")</f>
        <v/>
      </c>
      <c r="Q84" s="27" t="str">
        <f>IF('Bulk Order Details'!M94="","",SUM(F84:P84))</f>
        <v/>
      </c>
      <c r="R84" s="24" t="str">
        <f t="shared" si="6"/>
        <v/>
      </c>
      <c r="S84" s="23" t="str">
        <f>IFERROR(MIN(IF(Summary!$D$11="Yes",-J84,0),IF(H84&gt;0,-J84,0)),"")</f>
        <v/>
      </c>
      <c r="T84" s="16" t="str">
        <f>IFERROR(IF(Summary!$D$10="Yes",-K84,""),"")</f>
        <v/>
      </c>
      <c r="U84" s="18" t="str">
        <f>IFERROR(IF(Summary!$D$12="Yes",-L84,""),"")</f>
        <v/>
      </c>
      <c r="V84" s="25" t="str">
        <f>IF('Bulk Order Details'!M94="","",SUM(R84:U84))</f>
        <v/>
      </c>
      <c r="W84" s="36" t="str">
        <f>IF('Bulk Order Details'!M94="","",D84+Q84)</f>
        <v/>
      </c>
      <c r="X84" s="37" t="str">
        <f>IF('Bulk Order Details'!M94="","",D84+Q84+V84)</f>
        <v/>
      </c>
      <c r="Y84" s="168" t="str">
        <f t="shared" si="5"/>
        <v/>
      </c>
      <c r="Z84" s="173" t="str">
        <f>IF('Bulk Order Details'!M94="","",MAX(1,'Bulk Order Details'!G94))</f>
        <v/>
      </c>
      <c r="AA84" s="196" t="str">
        <f>IF(Pricing_Details[[#This Row],[Quantity]]="","",Pricing_Details[[#This Row],[Retail Price]]*Pricing_Details[[#This Row],[Quantity]])</f>
        <v/>
      </c>
      <c r="AB84" s="196" t="str">
        <f>IF(Pricing_Details[[#This Row],[Quantity]]="","",Pricing_Details[[#This Row],[Total Discount]]*Pricing_Details[[#This Row],[Quantity]])</f>
        <v/>
      </c>
      <c r="AC84" s="176" t="str">
        <f>IFERROR(ROUND(Pricing_Details[[#This Row],[Actual Price]]*Pricing_Details[[#This Row],[Quantity]],2),"")</f>
        <v/>
      </c>
      <c r="AE84" s="156" t="str">
        <f>IF('Bulk Order Details'!M94="","",VLOOKUP('Bulk Order Details'!K94,Collection[],3)&amp;VLOOKUP('Bulk Order Details'!M94,Collar[],4)&amp;VLOOKUP('Bulk Order Details'!L94,Sleeve[],4))</f>
        <v/>
      </c>
      <c r="AF84" s="156" t="str">
        <f>IF('Bulk Order Details'!M94="","",LOOKUP('Bulk Order Details'!H94,Cut[Display],Cut[Code])&amp;LOOKUP('Bulk Order Details'!I94,#REF!,#REF!)&amp;IF('Bulk Order Details'!J94="","",LOOKUP('Bulk Order Details'!J94,Length[Display],Length[Code])))</f>
        <v/>
      </c>
      <c r="AG84" s="156" t="str">
        <f>IF('Bulk Order Details'!M94="","",IF('Bulk Order Details'!F94="","",'Bulk Order Details'!F94))</f>
        <v/>
      </c>
      <c r="AH84" s="156" t="str">
        <f>IF('Bulk Order Details'!R94="","","-"&amp;LOOKUP('Bulk Order Details'!R94,#REF!,#REF!))</f>
        <v/>
      </c>
      <c r="AI84" s="156" t="str">
        <f>IF('Bulk Order Details'!S94="","","-"&amp;LOOKUP('Bulk Order Details'!S94,#REF!,#REF!))</f>
        <v/>
      </c>
      <c r="AJ84" s="156" t="str">
        <f>IF('Bulk Order Details'!T94="","","-"&amp;LOOKUP('Bulk Order Details'!T94,#REF!,#REF!))</f>
        <v/>
      </c>
      <c r="AK84" s="156" t="str">
        <f>IF('Bulk Order Details'!U94="","","-"&amp;LOOKUP('Bulk Order Details'!U94,#REF!,#REF!))</f>
        <v/>
      </c>
      <c r="AL84" s="156" t="str">
        <f>IF('Bulk Order Details'!V94="","","-"&amp;LOOKUP('Bulk Order Details'!V94,#REF!,#REF!))</f>
        <v/>
      </c>
      <c r="AM84" s="156" t="str">
        <f t="shared" si="7"/>
        <v/>
      </c>
      <c r="AN84" s="156" t="str">
        <f>IF('Bulk Order Details'!N94="","","Na-"&amp;'Bulk Order Details'!N94)</f>
        <v/>
      </c>
      <c r="AO84" s="156" t="str">
        <f>IF('Bulk Order Details'!Q94="","","Fo-"&amp;'Bulk Order Details'!Q94)</f>
        <v/>
      </c>
      <c r="AP84" s="156" t="str">
        <f t="shared" si="8"/>
        <v/>
      </c>
      <c r="AQ84" s="37" t="str">
        <f t="shared" si="9"/>
        <v/>
      </c>
    </row>
    <row r="85" spans="2:43" ht="15" customHeight="1" x14ac:dyDescent="0.2">
      <c r="B85" s="34">
        <f>'Bulk Order Details'!B95</f>
        <v>82</v>
      </c>
      <c r="C85" s="34" t="str">
        <f>IF('Bulk Order Details'!C95="","",'Bulk Order Details'!C95&amp;" "&amp;'Bulk Order Details'!D95)</f>
        <v/>
      </c>
      <c r="D85" s="31" t="str">
        <f>IF('Bulk Order Details'!M95="","",VLOOKUP(1,Price[],3))</f>
        <v/>
      </c>
      <c r="E85" s="29" t="str">
        <f>IF('Bulk Order Details'!M95="","",Summary!$D$9)</f>
        <v/>
      </c>
      <c r="F85" s="16" t="str">
        <f>IF('Bulk Order Details'!I95="","",_xlfn.XLOOKUP('Bulk Order Details'!I95,Size[Display],Size[Price]))</f>
        <v/>
      </c>
      <c r="G85" s="16" t="str">
        <f>IF('Bulk Order Details'!J95="","",_xlfn.XLOOKUP('Bulk Order Details'!J95,Length[Display],Length[Price]))</f>
        <v/>
      </c>
      <c r="H85" s="16" t="str">
        <f>IF('Bulk Order Details'!K95="","",_xlfn.XLOOKUP('Bulk Order Details'!K95,Collection[Display],Collection[Price]))</f>
        <v/>
      </c>
      <c r="I85" s="16" t="str">
        <f>IF('Bulk Order Details'!L95="","",_xlfn.XLOOKUP('Bulk Order Details'!L95,Sleeve[Display],Sleeve[Price]))</f>
        <v/>
      </c>
      <c r="J85" s="16" t="str">
        <f>IF('Bulk Order Details'!M95="","",_xlfn.XLOOKUP('Bulk Order Details'!M95,Collar[Display],Collar[Price]))</f>
        <v/>
      </c>
      <c r="K85" s="16" t="str">
        <f>IF('Bulk Order Details'!N95="","",_xlfn.XLOOKUP("Name",Name[Name],Name[Price]))</f>
        <v/>
      </c>
      <c r="L85" s="18" t="str">
        <f>IFERROR(IF('Bulk Order Details'!R95="","",IF(_xlfn.XLOOKUP('Bulk Order Details'!R95,Logos[Display],Logos[Use])="Flat",_xlfn.XLOOKUP('Bulk Order Details'!R95,Logos[Display],Logos[Flat]),ROUND(_xlfn.XLOOKUP('Bulk Order Details'!R95,Logos[Display],Logos[Pct])*$E85,2))),"")</f>
        <v/>
      </c>
      <c r="M85" s="22" t="str">
        <f>IFERROR(IF('Bulk Order Details'!S95="","",IF(_xlfn.XLOOKUP('Bulk Order Details'!S95,Chest[Display],Chest[Use])="Flat",_xlfn.XLOOKUP('Bulk Order Details'!S95,Chest[Display],Chest[Flat]),ROUND(_xlfn.XLOOKUP('Bulk Order Details'!S95,Chest[Display],Chest[Pct])*$E85,2))),"")</f>
        <v/>
      </c>
      <c r="N85" s="22" t="str">
        <f>IFERROR(IF('Bulk Order Details'!T95="","",IF(_xlfn.XLOOKUP('Bulk Order Details'!T95,Chest[Display],Chest[Use])="Flat",_xlfn.XLOOKUP('Bulk Order Details'!T95,Chest[Display],Chest[Flat]),ROUND(_xlfn.XLOOKUP('Bulk Order Details'!T95,Chest[Display],Chest[Pct])*$E85,2))),"")</f>
        <v/>
      </c>
      <c r="O85" s="22" t="str">
        <f>IFERROR(IF('Bulk Order Details'!U95="","",IF(_xlfn.XLOOKUP('Bulk Order Details'!U95,LeftSleeve[Display],LeftSleeve[Use])="Flat",_xlfn.XLOOKUP('Bulk Order Details'!U95,LeftSleeve[Display],LeftSleeve[Flat]),ROUND(_xlfn.XLOOKUP('Bulk Order Details'!U95,LeftSleeve[Display],LeftSleeve[Pct])*$E85,2))),"")</f>
        <v/>
      </c>
      <c r="P85" s="22" t="str">
        <f>IFERROR(IF('Bulk Order Details'!V95="","",IF(_xlfn.XLOOKUP('Bulk Order Details'!V95,RightSleeve[Display],RightSleeve[Use])="Flat",_xlfn.XLOOKUP('Bulk Order Details'!V95,RightSleeve[Display],RightSleeve[Flat]),ROUND(_xlfn.XLOOKUP('Bulk Order Details'!V95,RightSleeve[Display],RightSleeve[Pct])*$E85,2))),"")</f>
        <v/>
      </c>
      <c r="Q85" s="27" t="str">
        <f>IF('Bulk Order Details'!M95="","",SUM(F85:P85))</f>
        <v/>
      </c>
      <c r="R85" s="24" t="str">
        <f t="shared" si="6"/>
        <v/>
      </c>
      <c r="S85" s="23" t="str">
        <f>IFERROR(MIN(IF(Summary!$D$11="Yes",-J85,0),IF(H85&gt;0,-J85,0)),"")</f>
        <v/>
      </c>
      <c r="T85" s="16" t="str">
        <f>IFERROR(IF(Summary!$D$10="Yes",-K85,""),"")</f>
        <v/>
      </c>
      <c r="U85" s="18" t="str">
        <f>IFERROR(IF(Summary!$D$12="Yes",-L85,""),"")</f>
        <v/>
      </c>
      <c r="V85" s="25" t="str">
        <f>IF('Bulk Order Details'!M95="","",SUM(R85:U85))</f>
        <v/>
      </c>
      <c r="W85" s="36" t="str">
        <f>IF('Bulk Order Details'!M95="","",D85+Q85)</f>
        <v/>
      </c>
      <c r="X85" s="37" t="str">
        <f>IF('Bulk Order Details'!M95="","",D85+Q85+V85)</f>
        <v/>
      </c>
      <c r="Y85" s="168" t="str">
        <f t="shared" si="5"/>
        <v/>
      </c>
      <c r="Z85" s="173" t="str">
        <f>IF('Bulk Order Details'!M95="","",MAX(1,'Bulk Order Details'!G95))</f>
        <v/>
      </c>
      <c r="AA85" s="196" t="str">
        <f>IF(Pricing_Details[[#This Row],[Quantity]]="","",Pricing_Details[[#This Row],[Retail Price]]*Pricing_Details[[#This Row],[Quantity]])</f>
        <v/>
      </c>
      <c r="AB85" s="196" t="str">
        <f>IF(Pricing_Details[[#This Row],[Quantity]]="","",Pricing_Details[[#This Row],[Total Discount]]*Pricing_Details[[#This Row],[Quantity]])</f>
        <v/>
      </c>
      <c r="AC85" s="176" t="str">
        <f>IFERROR(ROUND(Pricing_Details[[#This Row],[Actual Price]]*Pricing_Details[[#This Row],[Quantity]],2),"")</f>
        <v/>
      </c>
      <c r="AE85" s="156" t="str">
        <f>IF('Bulk Order Details'!M95="","",VLOOKUP('Bulk Order Details'!K95,Collection[],3)&amp;VLOOKUP('Bulk Order Details'!M95,Collar[],4)&amp;VLOOKUP('Bulk Order Details'!L95,Sleeve[],4))</f>
        <v/>
      </c>
      <c r="AF85" s="156" t="str">
        <f>IF('Bulk Order Details'!M95="","",LOOKUP('Bulk Order Details'!H95,Cut[Display],Cut[Code])&amp;LOOKUP('Bulk Order Details'!I95,#REF!,#REF!)&amp;IF('Bulk Order Details'!J95="","",LOOKUP('Bulk Order Details'!J95,Length[Display],Length[Code])))</f>
        <v/>
      </c>
      <c r="AG85" s="156" t="str">
        <f>IF('Bulk Order Details'!M95="","",IF('Bulk Order Details'!F95="","",'Bulk Order Details'!F95))</f>
        <v/>
      </c>
      <c r="AH85" s="156" t="str">
        <f>IF('Bulk Order Details'!R95="","","-"&amp;LOOKUP('Bulk Order Details'!R95,#REF!,#REF!))</f>
        <v/>
      </c>
      <c r="AI85" s="156" t="str">
        <f>IF('Bulk Order Details'!S95="","","-"&amp;LOOKUP('Bulk Order Details'!S95,#REF!,#REF!))</f>
        <v/>
      </c>
      <c r="AJ85" s="156" t="str">
        <f>IF('Bulk Order Details'!T95="","","-"&amp;LOOKUP('Bulk Order Details'!T95,#REF!,#REF!))</f>
        <v/>
      </c>
      <c r="AK85" s="156" t="str">
        <f>IF('Bulk Order Details'!U95="","","-"&amp;LOOKUP('Bulk Order Details'!U95,#REF!,#REF!))</f>
        <v/>
      </c>
      <c r="AL85" s="156" t="str">
        <f>IF('Bulk Order Details'!V95="","","-"&amp;LOOKUP('Bulk Order Details'!V95,#REF!,#REF!))</f>
        <v/>
      </c>
      <c r="AM85" s="156" t="str">
        <f t="shared" si="7"/>
        <v/>
      </c>
      <c r="AN85" s="156" t="str">
        <f>IF('Bulk Order Details'!N95="","","Na-"&amp;'Bulk Order Details'!N95)</f>
        <v/>
      </c>
      <c r="AO85" s="156" t="str">
        <f>IF('Bulk Order Details'!Q95="","","Fo-"&amp;'Bulk Order Details'!Q95)</f>
        <v/>
      </c>
      <c r="AP85" s="156" t="str">
        <f t="shared" si="8"/>
        <v/>
      </c>
      <c r="AQ85" s="37" t="str">
        <f t="shared" si="9"/>
        <v/>
      </c>
    </row>
    <row r="86" spans="2:43" ht="15" customHeight="1" x14ac:dyDescent="0.2">
      <c r="B86" s="34">
        <f>'Bulk Order Details'!B96</f>
        <v>83</v>
      </c>
      <c r="C86" s="34" t="str">
        <f>IF('Bulk Order Details'!C96="","",'Bulk Order Details'!C96&amp;" "&amp;'Bulk Order Details'!D96)</f>
        <v/>
      </c>
      <c r="D86" s="31" t="str">
        <f>IF('Bulk Order Details'!M96="","",VLOOKUP(1,Price[],3))</f>
        <v/>
      </c>
      <c r="E86" s="29" t="str">
        <f>IF('Bulk Order Details'!M96="","",Summary!$D$9)</f>
        <v/>
      </c>
      <c r="F86" s="16" t="str">
        <f>IF('Bulk Order Details'!I96="","",_xlfn.XLOOKUP('Bulk Order Details'!I96,Size[Display],Size[Price]))</f>
        <v/>
      </c>
      <c r="G86" s="16" t="str">
        <f>IF('Bulk Order Details'!J96="","",_xlfn.XLOOKUP('Bulk Order Details'!J96,Length[Display],Length[Price]))</f>
        <v/>
      </c>
      <c r="H86" s="16" t="str">
        <f>IF('Bulk Order Details'!K96="","",_xlfn.XLOOKUP('Bulk Order Details'!K96,Collection[Display],Collection[Price]))</f>
        <v/>
      </c>
      <c r="I86" s="16" t="str">
        <f>IF('Bulk Order Details'!L96="","",_xlfn.XLOOKUP('Bulk Order Details'!L96,Sleeve[Display],Sleeve[Price]))</f>
        <v/>
      </c>
      <c r="J86" s="16" t="str">
        <f>IF('Bulk Order Details'!M96="","",_xlfn.XLOOKUP('Bulk Order Details'!M96,Collar[Display],Collar[Price]))</f>
        <v/>
      </c>
      <c r="K86" s="16" t="str">
        <f>IF('Bulk Order Details'!N96="","",_xlfn.XLOOKUP("Name",Name[Name],Name[Price]))</f>
        <v/>
      </c>
      <c r="L86" s="18" t="str">
        <f>IFERROR(IF('Bulk Order Details'!R96="","",IF(_xlfn.XLOOKUP('Bulk Order Details'!R96,Logos[Display],Logos[Use])="Flat",_xlfn.XLOOKUP('Bulk Order Details'!R96,Logos[Display],Logos[Flat]),ROUND(_xlfn.XLOOKUP('Bulk Order Details'!R96,Logos[Display],Logos[Pct])*$E86,2))),"")</f>
        <v/>
      </c>
      <c r="M86" s="22" t="str">
        <f>IFERROR(IF('Bulk Order Details'!S96="","",IF(_xlfn.XLOOKUP('Bulk Order Details'!S96,Chest[Display],Chest[Use])="Flat",_xlfn.XLOOKUP('Bulk Order Details'!S96,Chest[Display],Chest[Flat]),ROUND(_xlfn.XLOOKUP('Bulk Order Details'!S96,Chest[Display],Chest[Pct])*$E86,2))),"")</f>
        <v/>
      </c>
      <c r="N86" s="22" t="str">
        <f>IFERROR(IF('Bulk Order Details'!T96="","",IF(_xlfn.XLOOKUP('Bulk Order Details'!T96,Chest[Display],Chest[Use])="Flat",_xlfn.XLOOKUP('Bulk Order Details'!T96,Chest[Display],Chest[Flat]),ROUND(_xlfn.XLOOKUP('Bulk Order Details'!T96,Chest[Display],Chest[Pct])*$E86,2))),"")</f>
        <v/>
      </c>
      <c r="O86" s="22" t="str">
        <f>IFERROR(IF('Bulk Order Details'!U96="","",IF(_xlfn.XLOOKUP('Bulk Order Details'!U96,LeftSleeve[Display],LeftSleeve[Use])="Flat",_xlfn.XLOOKUP('Bulk Order Details'!U96,LeftSleeve[Display],LeftSleeve[Flat]),ROUND(_xlfn.XLOOKUP('Bulk Order Details'!U96,LeftSleeve[Display],LeftSleeve[Pct])*$E86,2))),"")</f>
        <v/>
      </c>
      <c r="P86" s="22" t="str">
        <f>IFERROR(IF('Bulk Order Details'!V96="","",IF(_xlfn.XLOOKUP('Bulk Order Details'!V96,RightSleeve[Display],RightSleeve[Use])="Flat",_xlfn.XLOOKUP('Bulk Order Details'!V96,RightSleeve[Display],RightSleeve[Flat]),ROUND(_xlfn.XLOOKUP('Bulk Order Details'!V96,RightSleeve[Display],RightSleeve[Pct])*$E86,2))),"")</f>
        <v/>
      </c>
      <c r="Q86" s="27" t="str">
        <f>IF('Bulk Order Details'!M96="","",SUM(F86:P86))</f>
        <v/>
      </c>
      <c r="R86" s="24" t="str">
        <f t="shared" si="6"/>
        <v/>
      </c>
      <c r="S86" s="23" t="str">
        <f>IFERROR(MIN(IF(Summary!$D$11="Yes",-J86,0),IF(H86&gt;0,-J86,0)),"")</f>
        <v/>
      </c>
      <c r="T86" s="16" t="str">
        <f>IFERROR(IF(Summary!$D$10="Yes",-K86,""),"")</f>
        <v/>
      </c>
      <c r="U86" s="18" t="str">
        <f>IFERROR(IF(Summary!$D$12="Yes",-L86,""),"")</f>
        <v/>
      </c>
      <c r="V86" s="25" t="str">
        <f>IF('Bulk Order Details'!M96="","",SUM(R86:U86))</f>
        <v/>
      </c>
      <c r="W86" s="36" t="str">
        <f>IF('Bulk Order Details'!M96="","",D86+Q86)</f>
        <v/>
      </c>
      <c r="X86" s="37" t="str">
        <f>IF('Bulk Order Details'!M96="","",D86+Q86+V86)</f>
        <v/>
      </c>
      <c r="Y86" s="168" t="str">
        <f t="shared" si="5"/>
        <v/>
      </c>
      <c r="Z86" s="173" t="str">
        <f>IF('Bulk Order Details'!M96="","",MAX(1,'Bulk Order Details'!G96))</f>
        <v/>
      </c>
      <c r="AA86" s="196" t="str">
        <f>IF(Pricing_Details[[#This Row],[Quantity]]="","",Pricing_Details[[#This Row],[Retail Price]]*Pricing_Details[[#This Row],[Quantity]])</f>
        <v/>
      </c>
      <c r="AB86" s="196" t="str">
        <f>IF(Pricing_Details[[#This Row],[Quantity]]="","",Pricing_Details[[#This Row],[Total Discount]]*Pricing_Details[[#This Row],[Quantity]])</f>
        <v/>
      </c>
      <c r="AC86" s="176" t="str">
        <f>IFERROR(ROUND(Pricing_Details[[#This Row],[Actual Price]]*Pricing_Details[[#This Row],[Quantity]],2),"")</f>
        <v/>
      </c>
      <c r="AE86" s="156" t="str">
        <f>IF('Bulk Order Details'!M96="","",VLOOKUP('Bulk Order Details'!K96,Collection[],3)&amp;VLOOKUP('Bulk Order Details'!M96,Collar[],4)&amp;VLOOKUP('Bulk Order Details'!L96,Sleeve[],4))</f>
        <v/>
      </c>
      <c r="AF86" s="156" t="str">
        <f>IF('Bulk Order Details'!M96="","",LOOKUP('Bulk Order Details'!H96,Cut[Display],Cut[Code])&amp;LOOKUP('Bulk Order Details'!I96,#REF!,#REF!)&amp;IF('Bulk Order Details'!J96="","",LOOKUP('Bulk Order Details'!J96,Length[Display],Length[Code])))</f>
        <v/>
      </c>
      <c r="AG86" s="156" t="str">
        <f>IF('Bulk Order Details'!M96="","",IF('Bulk Order Details'!F96="","",'Bulk Order Details'!F96))</f>
        <v/>
      </c>
      <c r="AH86" s="156" t="str">
        <f>IF('Bulk Order Details'!R96="","","-"&amp;LOOKUP('Bulk Order Details'!R96,#REF!,#REF!))</f>
        <v/>
      </c>
      <c r="AI86" s="156" t="str">
        <f>IF('Bulk Order Details'!S96="","","-"&amp;LOOKUP('Bulk Order Details'!S96,#REF!,#REF!))</f>
        <v/>
      </c>
      <c r="AJ86" s="156" t="str">
        <f>IF('Bulk Order Details'!T96="","","-"&amp;LOOKUP('Bulk Order Details'!T96,#REF!,#REF!))</f>
        <v/>
      </c>
      <c r="AK86" s="156" t="str">
        <f>IF('Bulk Order Details'!U96="","","-"&amp;LOOKUP('Bulk Order Details'!U96,#REF!,#REF!))</f>
        <v/>
      </c>
      <c r="AL86" s="156" t="str">
        <f>IF('Bulk Order Details'!V96="","","-"&amp;LOOKUP('Bulk Order Details'!V96,#REF!,#REF!))</f>
        <v/>
      </c>
      <c r="AM86" s="156" t="str">
        <f t="shared" si="7"/>
        <v/>
      </c>
      <c r="AN86" s="156" t="str">
        <f>IF('Bulk Order Details'!N96="","","Na-"&amp;'Bulk Order Details'!N96)</f>
        <v/>
      </c>
      <c r="AO86" s="156" t="str">
        <f>IF('Bulk Order Details'!Q96="","","Fo-"&amp;'Bulk Order Details'!Q96)</f>
        <v/>
      </c>
      <c r="AP86" s="156" t="str">
        <f t="shared" si="8"/>
        <v/>
      </c>
      <c r="AQ86" s="37" t="str">
        <f t="shared" si="9"/>
        <v/>
      </c>
    </row>
    <row r="87" spans="2:43" ht="15" customHeight="1" x14ac:dyDescent="0.2">
      <c r="B87" s="34">
        <f>'Bulk Order Details'!B97</f>
        <v>84</v>
      </c>
      <c r="C87" s="34" t="str">
        <f>IF('Bulk Order Details'!C97="","",'Bulk Order Details'!C97&amp;" "&amp;'Bulk Order Details'!D97)</f>
        <v/>
      </c>
      <c r="D87" s="31" t="str">
        <f>IF('Bulk Order Details'!M97="","",VLOOKUP(1,Price[],3))</f>
        <v/>
      </c>
      <c r="E87" s="29" t="str">
        <f>IF('Bulk Order Details'!M97="","",Summary!$D$9)</f>
        <v/>
      </c>
      <c r="F87" s="16" t="str">
        <f>IF('Bulk Order Details'!I97="","",_xlfn.XLOOKUP('Bulk Order Details'!I97,Size[Display],Size[Price]))</f>
        <v/>
      </c>
      <c r="G87" s="16" t="str">
        <f>IF('Bulk Order Details'!J97="","",_xlfn.XLOOKUP('Bulk Order Details'!J97,Length[Display],Length[Price]))</f>
        <v/>
      </c>
      <c r="H87" s="16" t="str">
        <f>IF('Bulk Order Details'!K97="","",_xlfn.XLOOKUP('Bulk Order Details'!K97,Collection[Display],Collection[Price]))</f>
        <v/>
      </c>
      <c r="I87" s="16" t="str">
        <f>IF('Bulk Order Details'!L97="","",_xlfn.XLOOKUP('Bulk Order Details'!L97,Sleeve[Display],Sleeve[Price]))</f>
        <v/>
      </c>
      <c r="J87" s="16" t="str">
        <f>IF('Bulk Order Details'!M97="","",_xlfn.XLOOKUP('Bulk Order Details'!M97,Collar[Display],Collar[Price]))</f>
        <v/>
      </c>
      <c r="K87" s="16" t="str">
        <f>IF('Bulk Order Details'!N97="","",_xlfn.XLOOKUP("Name",Name[Name],Name[Price]))</f>
        <v/>
      </c>
      <c r="L87" s="18" t="str">
        <f>IFERROR(IF('Bulk Order Details'!R97="","",IF(_xlfn.XLOOKUP('Bulk Order Details'!R97,Logos[Display],Logos[Use])="Flat",_xlfn.XLOOKUP('Bulk Order Details'!R97,Logos[Display],Logos[Flat]),ROUND(_xlfn.XLOOKUP('Bulk Order Details'!R97,Logos[Display],Logos[Pct])*$E87,2))),"")</f>
        <v/>
      </c>
      <c r="M87" s="22" t="str">
        <f>IFERROR(IF('Bulk Order Details'!S97="","",IF(_xlfn.XLOOKUP('Bulk Order Details'!S97,Chest[Display],Chest[Use])="Flat",_xlfn.XLOOKUP('Bulk Order Details'!S97,Chest[Display],Chest[Flat]),ROUND(_xlfn.XLOOKUP('Bulk Order Details'!S97,Chest[Display],Chest[Pct])*$E87,2))),"")</f>
        <v/>
      </c>
      <c r="N87" s="22" t="str">
        <f>IFERROR(IF('Bulk Order Details'!T97="","",IF(_xlfn.XLOOKUP('Bulk Order Details'!T97,Chest[Display],Chest[Use])="Flat",_xlfn.XLOOKUP('Bulk Order Details'!T97,Chest[Display],Chest[Flat]),ROUND(_xlfn.XLOOKUP('Bulk Order Details'!T97,Chest[Display],Chest[Pct])*$E87,2))),"")</f>
        <v/>
      </c>
      <c r="O87" s="22" t="str">
        <f>IFERROR(IF('Bulk Order Details'!U97="","",IF(_xlfn.XLOOKUP('Bulk Order Details'!U97,LeftSleeve[Display],LeftSleeve[Use])="Flat",_xlfn.XLOOKUP('Bulk Order Details'!U97,LeftSleeve[Display],LeftSleeve[Flat]),ROUND(_xlfn.XLOOKUP('Bulk Order Details'!U97,LeftSleeve[Display],LeftSleeve[Pct])*$E87,2))),"")</f>
        <v/>
      </c>
      <c r="P87" s="22" t="str">
        <f>IFERROR(IF('Bulk Order Details'!V97="","",IF(_xlfn.XLOOKUP('Bulk Order Details'!V97,RightSleeve[Display],RightSleeve[Use])="Flat",_xlfn.XLOOKUP('Bulk Order Details'!V97,RightSleeve[Display],RightSleeve[Flat]),ROUND(_xlfn.XLOOKUP('Bulk Order Details'!V97,RightSleeve[Display],RightSleeve[Pct])*$E87,2))),"")</f>
        <v/>
      </c>
      <c r="Q87" s="27" t="str">
        <f>IF('Bulk Order Details'!M97="","",SUM(F87:P87))</f>
        <v/>
      </c>
      <c r="R87" s="24" t="str">
        <f t="shared" si="6"/>
        <v/>
      </c>
      <c r="S87" s="23" t="str">
        <f>IFERROR(MIN(IF(Summary!$D$11="Yes",-J87,0),IF(H87&gt;0,-J87,0)),"")</f>
        <v/>
      </c>
      <c r="T87" s="16" t="str">
        <f>IFERROR(IF(Summary!$D$10="Yes",-K87,""),"")</f>
        <v/>
      </c>
      <c r="U87" s="18" t="str">
        <f>IFERROR(IF(Summary!$D$12="Yes",-L87,""),"")</f>
        <v/>
      </c>
      <c r="V87" s="25" t="str">
        <f>IF('Bulk Order Details'!M97="","",SUM(R87:U87))</f>
        <v/>
      </c>
      <c r="W87" s="36" t="str">
        <f>IF('Bulk Order Details'!M97="","",D87+Q87)</f>
        <v/>
      </c>
      <c r="X87" s="37" t="str">
        <f>IF('Bulk Order Details'!M97="","",D87+Q87+V87)</f>
        <v/>
      </c>
      <c r="Y87" s="168" t="str">
        <f t="shared" si="5"/>
        <v/>
      </c>
      <c r="Z87" s="173" t="str">
        <f>IF('Bulk Order Details'!M97="","",MAX(1,'Bulk Order Details'!G97))</f>
        <v/>
      </c>
      <c r="AA87" s="196" t="str">
        <f>IF(Pricing_Details[[#This Row],[Quantity]]="","",Pricing_Details[[#This Row],[Retail Price]]*Pricing_Details[[#This Row],[Quantity]])</f>
        <v/>
      </c>
      <c r="AB87" s="196" t="str">
        <f>IF(Pricing_Details[[#This Row],[Quantity]]="","",Pricing_Details[[#This Row],[Total Discount]]*Pricing_Details[[#This Row],[Quantity]])</f>
        <v/>
      </c>
      <c r="AC87" s="176" t="str">
        <f>IFERROR(ROUND(Pricing_Details[[#This Row],[Actual Price]]*Pricing_Details[[#This Row],[Quantity]],2),"")</f>
        <v/>
      </c>
      <c r="AE87" s="156" t="str">
        <f>IF('Bulk Order Details'!M97="","",VLOOKUP('Bulk Order Details'!K97,Collection[],3)&amp;VLOOKUP('Bulk Order Details'!M97,Collar[],4)&amp;VLOOKUP('Bulk Order Details'!L97,Sleeve[],4))</f>
        <v/>
      </c>
      <c r="AF87" s="156" t="str">
        <f>IF('Bulk Order Details'!M97="","",LOOKUP('Bulk Order Details'!H97,Cut[Display],Cut[Code])&amp;LOOKUP('Bulk Order Details'!I97,#REF!,#REF!)&amp;IF('Bulk Order Details'!J97="","",LOOKUP('Bulk Order Details'!J97,Length[Display],Length[Code])))</f>
        <v/>
      </c>
      <c r="AG87" s="156" t="str">
        <f>IF('Bulk Order Details'!M97="","",IF('Bulk Order Details'!F97="","",'Bulk Order Details'!F97))</f>
        <v/>
      </c>
      <c r="AH87" s="156" t="str">
        <f>IF('Bulk Order Details'!R97="","","-"&amp;LOOKUP('Bulk Order Details'!R97,#REF!,#REF!))</f>
        <v/>
      </c>
      <c r="AI87" s="156" t="str">
        <f>IF('Bulk Order Details'!S97="","","-"&amp;LOOKUP('Bulk Order Details'!S97,#REF!,#REF!))</f>
        <v/>
      </c>
      <c r="AJ87" s="156" t="str">
        <f>IF('Bulk Order Details'!T97="","","-"&amp;LOOKUP('Bulk Order Details'!T97,#REF!,#REF!))</f>
        <v/>
      </c>
      <c r="AK87" s="156" t="str">
        <f>IF('Bulk Order Details'!U97="","","-"&amp;LOOKUP('Bulk Order Details'!U97,#REF!,#REF!))</f>
        <v/>
      </c>
      <c r="AL87" s="156" t="str">
        <f>IF('Bulk Order Details'!V97="","","-"&amp;LOOKUP('Bulk Order Details'!V97,#REF!,#REF!))</f>
        <v/>
      </c>
      <c r="AM87" s="156" t="str">
        <f t="shared" si="7"/>
        <v/>
      </c>
      <c r="AN87" s="156" t="str">
        <f>IF('Bulk Order Details'!N97="","","Na-"&amp;'Bulk Order Details'!N97)</f>
        <v/>
      </c>
      <c r="AO87" s="156" t="str">
        <f>IF('Bulk Order Details'!Q97="","","Fo-"&amp;'Bulk Order Details'!Q97)</f>
        <v/>
      </c>
      <c r="AP87" s="156" t="str">
        <f t="shared" si="8"/>
        <v/>
      </c>
      <c r="AQ87" s="37" t="str">
        <f t="shared" si="9"/>
        <v/>
      </c>
    </row>
    <row r="88" spans="2:43" ht="15" customHeight="1" x14ac:dyDescent="0.2">
      <c r="B88" s="34">
        <f>'Bulk Order Details'!B98</f>
        <v>85</v>
      </c>
      <c r="C88" s="34" t="str">
        <f>IF('Bulk Order Details'!C98="","",'Bulk Order Details'!C98&amp;" "&amp;'Bulk Order Details'!D98)</f>
        <v/>
      </c>
      <c r="D88" s="31" t="str">
        <f>IF('Bulk Order Details'!M98="","",VLOOKUP(1,Price[],3))</f>
        <v/>
      </c>
      <c r="E88" s="29" t="str">
        <f>IF('Bulk Order Details'!M98="","",Summary!$D$9)</f>
        <v/>
      </c>
      <c r="F88" s="16" t="str">
        <f>IF('Bulk Order Details'!I98="","",_xlfn.XLOOKUP('Bulk Order Details'!I98,Size[Display],Size[Price]))</f>
        <v/>
      </c>
      <c r="G88" s="16" t="str">
        <f>IF('Bulk Order Details'!J98="","",_xlfn.XLOOKUP('Bulk Order Details'!J98,Length[Display],Length[Price]))</f>
        <v/>
      </c>
      <c r="H88" s="16" t="str">
        <f>IF('Bulk Order Details'!K98="","",_xlfn.XLOOKUP('Bulk Order Details'!K98,Collection[Display],Collection[Price]))</f>
        <v/>
      </c>
      <c r="I88" s="16" t="str">
        <f>IF('Bulk Order Details'!L98="","",_xlfn.XLOOKUP('Bulk Order Details'!L98,Sleeve[Display],Sleeve[Price]))</f>
        <v/>
      </c>
      <c r="J88" s="16" t="str">
        <f>IF('Bulk Order Details'!M98="","",_xlfn.XLOOKUP('Bulk Order Details'!M98,Collar[Display],Collar[Price]))</f>
        <v/>
      </c>
      <c r="K88" s="16" t="str">
        <f>IF('Bulk Order Details'!N98="","",_xlfn.XLOOKUP("Name",Name[Name],Name[Price]))</f>
        <v/>
      </c>
      <c r="L88" s="18" t="str">
        <f>IFERROR(IF('Bulk Order Details'!R98="","",IF(_xlfn.XLOOKUP('Bulk Order Details'!R98,Logos[Display],Logos[Use])="Flat",_xlfn.XLOOKUP('Bulk Order Details'!R98,Logos[Display],Logos[Flat]),ROUND(_xlfn.XLOOKUP('Bulk Order Details'!R98,Logos[Display],Logos[Pct])*$E88,2))),"")</f>
        <v/>
      </c>
      <c r="M88" s="22" t="str">
        <f>IFERROR(IF('Bulk Order Details'!S98="","",IF(_xlfn.XLOOKUP('Bulk Order Details'!S98,Chest[Display],Chest[Use])="Flat",_xlfn.XLOOKUP('Bulk Order Details'!S98,Chest[Display],Chest[Flat]),ROUND(_xlfn.XLOOKUP('Bulk Order Details'!S98,Chest[Display],Chest[Pct])*$E88,2))),"")</f>
        <v/>
      </c>
      <c r="N88" s="22" t="str">
        <f>IFERROR(IF('Bulk Order Details'!T98="","",IF(_xlfn.XLOOKUP('Bulk Order Details'!T98,Chest[Display],Chest[Use])="Flat",_xlfn.XLOOKUP('Bulk Order Details'!T98,Chest[Display],Chest[Flat]),ROUND(_xlfn.XLOOKUP('Bulk Order Details'!T98,Chest[Display],Chest[Pct])*$E88,2))),"")</f>
        <v/>
      </c>
      <c r="O88" s="22" t="str">
        <f>IFERROR(IF('Bulk Order Details'!U98="","",IF(_xlfn.XLOOKUP('Bulk Order Details'!U98,LeftSleeve[Display],LeftSleeve[Use])="Flat",_xlfn.XLOOKUP('Bulk Order Details'!U98,LeftSleeve[Display],LeftSleeve[Flat]),ROUND(_xlfn.XLOOKUP('Bulk Order Details'!U98,LeftSleeve[Display],LeftSleeve[Pct])*$E88,2))),"")</f>
        <v/>
      </c>
      <c r="P88" s="22" t="str">
        <f>IFERROR(IF('Bulk Order Details'!V98="","",IF(_xlfn.XLOOKUP('Bulk Order Details'!V98,RightSleeve[Display],RightSleeve[Use])="Flat",_xlfn.XLOOKUP('Bulk Order Details'!V98,RightSleeve[Display],RightSleeve[Flat]),ROUND(_xlfn.XLOOKUP('Bulk Order Details'!V98,RightSleeve[Display],RightSleeve[Pct])*$E88,2))),"")</f>
        <v/>
      </c>
      <c r="Q88" s="27" t="str">
        <f>IF('Bulk Order Details'!M98="","",SUM(F88:P88))</f>
        <v/>
      </c>
      <c r="R88" s="24" t="str">
        <f t="shared" si="6"/>
        <v/>
      </c>
      <c r="S88" s="23" t="str">
        <f>IFERROR(MIN(IF(Summary!$D$11="Yes",-J88,0),IF(H88&gt;0,-J88,0)),"")</f>
        <v/>
      </c>
      <c r="T88" s="16" t="str">
        <f>IFERROR(IF(Summary!$D$10="Yes",-K88,""),"")</f>
        <v/>
      </c>
      <c r="U88" s="18" t="str">
        <f>IFERROR(IF(Summary!$D$12="Yes",-L88,""),"")</f>
        <v/>
      </c>
      <c r="V88" s="25" t="str">
        <f>IF('Bulk Order Details'!M98="","",SUM(R88:U88))</f>
        <v/>
      </c>
      <c r="W88" s="36" t="str">
        <f>IF('Bulk Order Details'!M98="","",D88+Q88)</f>
        <v/>
      </c>
      <c r="X88" s="37" t="str">
        <f>IF('Bulk Order Details'!M98="","",D88+Q88+V88)</f>
        <v/>
      </c>
      <c r="Y88" s="168" t="str">
        <f t="shared" si="5"/>
        <v/>
      </c>
      <c r="Z88" s="173" t="str">
        <f>IF('Bulk Order Details'!M98="","",MAX(1,'Bulk Order Details'!G98))</f>
        <v/>
      </c>
      <c r="AA88" s="196" t="str">
        <f>IF(Pricing_Details[[#This Row],[Quantity]]="","",Pricing_Details[[#This Row],[Retail Price]]*Pricing_Details[[#This Row],[Quantity]])</f>
        <v/>
      </c>
      <c r="AB88" s="196" t="str">
        <f>IF(Pricing_Details[[#This Row],[Quantity]]="","",Pricing_Details[[#This Row],[Total Discount]]*Pricing_Details[[#This Row],[Quantity]])</f>
        <v/>
      </c>
      <c r="AC88" s="176" t="str">
        <f>IFERROR(ROUND(Pricing_Details[[#This Row],[Actual Price]]*Pricing_Details[[#This Row],[Quantity]],2),"")</f>
        <v/>
      </c>
      <c r="AE88" s="156" t="str">
        <f>IF('Bulk Order Details'!M98="","",VLOOKUP('Bulk Order Details'!K98,Collection[],3)&amp;VLOOKUP('Bulk Order Details'!M98,Collar[],4)&amp;VLOOKUP('Bulk Order Details'!L98,Sleeve[],4))</f>
        <v/>
      </c>
      <c r="AF88" s="156" t="str">
        <f>IF('Bulk Order Details'!M98="","",LOOKUP('Bulk Order Details'!H98,Cut[Display],Cut[Code])&amp;LOOKUP('Bulk Order Details'!I98,#REF!,#REF!)&amp;IF('Bulk Order Details'!J98="","",LOOKUP('Bulk Order Details'!J98,Length[Display],Length[Code])))</f>
        <v/>
      </c>
      <c r="AG88" s="156" t="str">
        <f>IF('Bulk Order Details'!M98="","",IF('Bulk Order Details'!F98="","",'Bulk Order Details'!F98))</f>
        <v/>
      </c>
      <c r="AH88" s="156" t="str">
        <f>IF('Bulk Order Details'!R98="","","-"&amp;LOOKUP('Bulk Order Details'!R98,#REF!,#REF!))</f>
        <v/>
      </c>
      <c r="AI88" s="156" t="str">
        <f>IF('Bulk Order Details'!S98="","","-"&amp;LOOKUP('Bulk Order Details'!S98,#REF!,#REF!))</f>
        <v/>
      </c>
      <c r="AJ88" s="156" t="str">
        <f>IF('Bulk Order Details'!T98="","","-"&amp;LOOKUP('Bulk Order Details'!T98,#REF!,#REF!))</f>
        <v/>
      </c>
      <c r="AK88" s="156" t="str">
        <f>IF('Bulk Order Details'!U98="","","-"&amp;LOOKUP('Bulk Order Details'!U98,#REF!,#REF!))</f>
        <v/>
      </c>
      <c r="AL88" s="156" t="str">
        <f>IF('Bulk Order Details'!V98="","","-"&amp;LOOKUP('Bulk Order Details'!V98,#REF!,#REF!))</f>
        <v/>
      </c>
      <c r="AM88" s="156" t="str">
        <f t="shared" si="7"/>
        <v/>
      </c>
      <c r="AN88" s="156" t="str">
        <f>IF('Bulk Order Details'!N98="","","Na-"&amp;'Bulk Order Details'!N98)</f>
        <v/>
      </c>
      <c r="AO88" s="156" t="str">
        <f>IF('Bulk Order Details'!Q98="","","Fo-"&amp;'Bulk Order Details'!Q98)</f>
        <v/>
      </c>
      <c r="AP88" s="156" t="str">
        <f t="shared" si="8"/>
        <v/>
      </c>
      <c r="AQ88" s="37" t="str">
        <f t="shared" si="9"/>
        <v/>
      </c>
    </row>
    <row r="89" spans="2:43" ht="15" customHeight="1" x14ac:dyDescent="0.2">
      <c r="B89" s="34">
        <f>'Bulk Order Details'!B99</f>
        <v>86</v>
      </c>
      <c r="C89" s="34" t="str">
        <f>IF('Bulk Order Details'!C99="","",'Bulk Order Details'!C99&amp;" "&amp;'Bulk Order Details'!D99)</f>
        <v/>
      </c>
      <c r="D89" s="31" t="str">
        <f>IF('Bulk Order Details'!M99="","",VLOOKUP(1,Price[],3))</f>
        <v/>
      </c>
      <c r="E89" s="29" t="str">
        <f>IF('Bulk Order Details'!M99="","",Summary!$D$9)</f>
        <v/>
      </c>
      <c r="F89" s="16" t="str">
        <f>IF('Bulk Order Details'!I99="","",_xlfn.XLOOKUP('Bulk Order Details'!I99,Size[Display],Size[Price]))</f>
        <v/>
      </c>
      <c r="G89" s="16" t="str">
        <f>IF('Bulk Order Details'!J99="","",_xlfn.XLOOKUP('Bulk Order Details'!J99,Length[Display],Length[Price]))</f>
        <v/>
      </c>
      <c r="H89" s="16" t="str">
        <f>IF('Bulk Order Details'!K99="","",_xlfn.XLOOKUP('Bulk Order Details'!K99,Collection[Display],Collection[Price]))</f>
        <v/>
      </c>
      <c r="I89" s="16" t="str">
        <f>IF('Bulk Order Details'!L99="","",_xlfn.XLOOKUP('Bulk Order Details'!L99,Sleeve[Display],Sleeve[Price]))</f>
        <v/>
      </c>
      <c r="J89" s="16" t="str">
        <f>IF('Bulk Order Details'!M99="","",_xlfn.XLOOKUP('Bulk Order Details'!M99,Collar[Display],Collar[Price]))</f>
        <v/>
      </c>
      <c r="K89" s="16" t="str">
        <f>IF('Bulk Order Details'!N99="","",_xlfn.XLOOKUP("Name",Name[Name],Name[Price]))</f>
        <v/>
      </c>
      <c r="L89" s="18" t="str">
        <f>IFERROR(IF('Bulk Order Details'!R99="","",IF(_xlfn.XLOOKUP('Bulk Order Details'!R99,Logos[Display],Logos[Use])="Flat",_xlfn.XLOOKUP('Bulk Order Details'!R99,Logos[Display],Logos[Flat]),ROUND(_xlfn.XLOOKUP('Bulk Order Details'!R99,Logos[Display],Logos[Pct])*$E89,2))),"")</f>
        <v/>
      </c>
      <c r="M89" s="22" t="str">
        <f>IFERROR(IF('Bulk Order Details'!S99="","",IF(_xlfn.XLOOKUP('Bulk Order Details'!S99,Chest[Display],Chest[Use])="Flat",_xlfn.XLOOKUP('Bulk Order Details'!S99,Chest[Display],Chest[Flat]),ROUND(_xlfn.XLOOKUP('Bulk Order Details'!S99,Chest[Display],Chest[Pct])*$E89,2))),"")</f>
        <v/>
      </c>
      <c r="N89" s="22" t="str">
        <f>IFERROR(IF('Bulk Order Details'!T99="","",IF(_xlfn.XLOOKUP('Bulk Order Details'!T99,Chest[Display],Chest[Use])="Flat",_xlfn.XLOOKUP('Bulk Order Details'!T99,Chest[Display],Chest[Flat]),ROUND(_xlfn.XLOOKUP('Bulk Order Details'!T99,Chest[Display],Chest[Pct])*$E89,2))),"")</f>
        <v/>
      </c>
      <c r="O89" s="22" t="str">
        <f>IFERROR(IF('Bulk Order Details'!U99="","",IF(_xlfn.XLOOKUP('Bulk Order Details'!U99,LeftSleeve[Display],LeftSleeve[Use])="Flat",_xlfn.XLOOKUP('Bulk Order Details'!U99,LeftSleeve[Display],LeftSleeve[Flat]),ROUND(_xlfn.XLOOKUP('Bulk Order Details'!U99,LeftSleeve[Display],LeftSleeve[Pct])*$E89,2))),"")</f>
        <v/>
      </c>
      <c r="P89" s="22" t="str">
        <f>IFERROR(IF('Bulk Order Details'!V99="","",IF(_xlfn.XLOOKUP('Bulk Order Details'!V99,RightSleeve[Display],RightSleeve[Use])="Flat",_xlfn.XLOOKUP('Bulk Order Details'!V99,RightSleeve[Display],RightSleeve[Flat]),ROUND(_xlfn.XLOOKUP('Bulk Order Details'!V99,RightSleeve[Display],RightSleeve[Pct])*$E89,2))),"")</f>
        <v/>
      </c>
      <c r="Q89" s="27" t="str">
        <f>IF('Bulk Order Details'!M99="","",SUM(F89:P89))</f>
        <v/>
      </c>
      <c r="R89" s="24" t="str">
        <f t="shared" si="6"/>
        <v/>
      </c>
      <c r="S89" s="23" t="str">
        <f>IFERROR(MIN(IF(Summary!$D$11="Yes",-J89,0),IF(H89&gt;0,-J89,0)),"")</f>
        <v/>
      </c>
      <c r="T89" s="16" t="str">
        <f>IFERROR(IF(Summary!$D$10="Yes",-K89,""),"")</f>
        <v/>
      </c>
      <c r="U89" s="18" t="str">
        <f>IFERROR(IF(Summary!$D$12="Yes",-L89,""),"")</f>
        <v/>
      </c>
      <c r="V89" s="25" t="str">
        <f>IF('Bulk Order Details'!M99="","",SUM(R89:U89))</f>
        <v/>
      </c>
      <c r="W89" s="36" t="str">
        <f>IF('Bulk Order Details'!M99="","",D89+Q89)</f>
        <v/>
      </c>
      <c r="X89" s="37" t="str">
        <f>IF('Bulk Order Details'!M99="","",D89+Q89+V89)</f>
        <v/>
      </c>
      <c r="Y89" s="168" t="str">
        <f t="shared" si="5"/>
        <v/>
      </c>
      <c r="Z89" s="173" t="str">
        <f>IF('Bulk Order Details'!M99="","",MAX(1,'Bulk Order Details'!G99))</f>
        <v/>
      </c>
      <c r="AA89" s="196" t="str">
        <f>IF(Pricing_Details[[#This Row],[Quantity]]="","",Pricing_Details[[#This Row],[Retail Price]]*Pricing_Details[[#This Row],[Quantity]])</f>
        <v/>
      </c>
      <c r="AB89" s="196" t="str">
        <f>IF(Pricing_Details[[#This Row],[Quantity]]="","",Pricing_Details[[#This Row],[Total Discount]]*Pricing_Details[[#This Row],[Quantity]])</f>
        <v/>
      </c>
      <c r="AC89" s="176" t="str">
        <f>IFERROR(ROUND(Pricing_Details[[#This Row],[Actual Price]]*Pricing_Details[[#This Row],[Quantity]],2),"")</f>
        <v/>
      </c>
      <c r="AE89" s="156" t="str">
        <f>IF('Bulk Order Details'!M99="","",VLOOKUP('Bulk Order Details'!K99,Collection[],3)&amp;VLOOKUP('Bulk Order Details'!M99,Collar[],4)&amp;VLOOKUP('Bulk Order Details'!L99,Sleeve[],4))</f>
        <v/>
      </c>
      <c r="AF89" s="156" t="str">
        <f>IF('Bulk Order Details'!M99="","",LOOKUP('Bulk Order Details'!H99,Cut[Display],Cut[Code])&amp;LOOKUP('Bulk Order Details'!I99,#REF!,#REF!)&amp;IF('Bulk Order Details'!J99="","",LOOKUP('Bulk Order Details'!J99,Length[Display],Length[Code])))</f>
        <v/>
      </c>
      <c r="AG89" s="156" t="str">
        <f>IF('Bulk Order Details'!M99="","",IF('Bulk Order Details'!F99="","",'Bulk Order Details'!F99))</f>
        <v/>
      </c>
      <c r="AH89" s="156" t="str">
        <f>IF('Bulk Order Details'!R99="","","-"&amp;LOOKUP('Bulk Order Details'!R99,#REF!,#REF!))</f>
        <v/>
      </c>
      <c r="AI89" s="156" t="str">
        <f>IF('Bulk Order Details'!S99="","","-"&amp;LOOKUP('Bulk Order Details'!S99,#REF!,#REF!))</f>
        <v/>
      </c>
      <c r="AJ89" s="156" t="str">
        <f>IF('Bulk Order Details'!T99="","","-"&amp;LOOKUP('Bulk Order Details'!T99,#REF!,#REF!))</f>
        <v/>
      </c>
      <c r="AK89" s="156" t="str">
        <f>IF('Bulk Order Details'!U99="","","-"&amp;LOOKUP('Bulk Order Details'!U99,#REF!,#REF!))</f>
        <v/>
      </c>
      <c r="AL89" s="156" t="str">
        <f>IF('Bulk Order Details'!V99="","","-"&amp;LOOKUP('Bulk Order Details'!V99,#REF!,#REF!))</f>
        <v/>
      </c>
      <c r="AM89" s="156" t="str">
        <f t="shared" si="7"/>
        <v/>
      </c>
      <c r="AN89" s="156" t="str">
        <f>IF('Bulk Order Details'!N99="","","Na-"&amp;'Bulk Order Details'!N99)</f>
        <v/>
      </c>
      <c r="AO89" s="156" t="str">
        <f>IF('Bulk Order Details'!Q99="","","Fo-"&amp;'Bulk Order Details'!Q99)</f>
        <v/>
      </c>
      <c r="AP89" s="156" t="str">
        <f t="shared" si="8"/>
        <v/>
      </c>
      <c r="AQ89" s="37" t="str">
        <f t="shared" si="9"/>
        <v/>
      </c>
    </row>
    <row r="90" spans="2:43" ht="15" customHeight="1" x14ac:dyDescent="0.2">
      <c r="B90" s="34">
        <f>'Bulk Order Details'!B100</f>
        <v>87</v>
      </c>
      <c r="C90" s="34" t="str">
        <f>IF('Bulk Order Details'!C100="","",'Bulk Order Details'!C100&amp;" "&amp;'Bulk Order Details'!D100)</f>
        <v/>
      </c>
      <c r="D90" s="31" t="str">
        <f>IF('Bulk Order Details'!M100="","",VLOOKUP(1,Price[],3))</f>
        <v/>
      </c>
      <c r="E90" s="29" t="str">
        <f>IF('Bulk Order Details'!M100="","",Summary!$D$9)</f>
        <v/>
      </c>
      <c r="F90" s="16" t="str">
        <f>IF('Bulk Order Details'!I100="","",_xlfn.XLOOKUP('Bulk Order Details'!I100,Size[Display],Size[Price]))</f>
        <v/>
      </c>
      <c r="G90" s="16" t="str">
        <f>IF('Bulk Order Details'!J100="","",_xlfn.XLOOKUP('Bulk Order Details'!J100,Length[Display],Length[Price]))</f>
        <v/>
      </c>
      <c r="H90" s="16" t="str">
        <f>IF('Bulk Order Details'!K100="","",_xlfn.XLOOKUP('Bulk Order Details'!K100,Collection[Display],Collection[Price]))</f>
        <v/>
      </c>
      <c r="I90" s="16" t="str">
        <f>IF('Bulk Order Details'!L100="","",_xlfn.XLOOKUP('Bulk Order Details'!L100,Sleeve[Display],Sleeve[Price]))</f>
        <v/>
      </c>
      <c r="J90" s="16" t="str">
        <f>IF('Bulk Order Details'!M100="","",_xlfn.XLOOKUP('Bulk Order Details'!M100,Collar[Display],Collar[Price]))</f>
        <v/>
      </c>
      <c r="K90" s="16" t="str">
        <f>IF('Bulk Order Details'!N100="","",_xlfn.XLOOKUP("Name",Name[Name],Name[Price]))</f>
        <v/>
      </c>
      <c r="L90" s="18" t="str">
        <f>IFERROR(IF('Bulk Order Details'!R100="","",IF(_xlfn.XLOOKUP('Bulk Order Details'!R100,Logos[Display],Logos[Use])="Flat",_xlfn.XLOOKUP('Bulk Order Details'!R100,Logos[Display],Logos[Flat]),ROUND(_xlfn.XLOOKUP('Bulk Order Details'!R100,Logos[Display],Logos[Pct])*$E90,2))),"")</f>
        <v/>
      </c>
      <c r="M90" s="22" t="str">
        <f>IFERROR(IF('Bulk Order Details'!S100="","",IF(_xlfn.XLOOKUP('Bulk Order Details'!S100,Chest[Display],Chest[Use])="Flat",_xlfn.XLOOKUP('Bulk Order Details'!S100,Chest[Display],Chest[Flat]),ROUND(_xlfn.XLOOKUP('Bulk Order Details'!S100,Chest[Display],Chest[Pct])*$E90,2))),"")</f>
        <v/>
      </c>
      <c r="N90" s="22" t="str">
        <f>IFERROR(IF('Bulk Order Details'!T100="","",IF(_xlfn.XLOOKUP('Bulk Order Details'!T100,Chest[Display],Chest[Use])="Flat",_xlfn.XLOOKUP('Bulk Order Details'!T100,Chest[Display],Chest[Flat]),ROUND(_xlfn.XLOOKUP('Bulk Order Details'!T100,Chest[Display],Chest[Pct])*$E90,2))),"")</f>
        <v/>
      </c>
      <c r="O90" s="22" t="str">
        <f>IFERROR(IF('Bulk Order Details'!U100="","",IF(_xlfn.XLOOKUP('Bulk Order Details'!U100,LeftSleeve[Display],LeftSleeve[Use])="Flat",_xlfn.XLOOKUP('Bulk Order Details'!U100,LeftSleeve[Display],LeftSleeve[Flat]),ROUND(_xlfn.XLOOKUP('Bulk Order Details'!U100,LeftSleeve[Display],LeftSleeve[Pct])*$E90,2))),"")</f>
        <v/>
      </c>
      <c r="P90" s="22" t="str">
        <f>IFERROR(IF('Bulk Order Details'!V100="","",IF(_xlfn.XLOOKUP('Bulk Order Details'!V100,RightSleeve[Display],RightSleeve[Use])="Flat",_xlfn.XLOOKUP('Bulk Order Details'!V100,RightSleeve[Display],RightSleeve[Flat]),ROUND(_xlfn.XLOOKUP('Bulk Order Details'!V100,RightSleeve[Display],RightSleeve[Pct])*$E90,2))),"")</f>
        <v/>
      </c>
      <c r="Q90" s="27" t="str">
        <f>IF('Bulk Order Details'!M100="","",SUM(F90:P90))</f>
        <v/>
      </c>
      <c r="R90" s="24" t="str">
        <f t="shared" si="6"/>
        <v/>
      </c>
      <c r="S90" s="23" t="str">
        <f>IFERROR(MIN(IF(Summary!$D$11="Yes",-J90,0),IF(H90&gt;0,-J90,0)),"")</f>
        <v/>
      </c>
      <c r="T90" s="16" t="str">
        <f>IFERROR(IF(Summary!$D$10="Yes",-K90,""),"")</f>
        <v/>
      </c>
      <c r="U90" s="18" t="str">
        <f>IFERROR(IF(Summary!$D$12="Yes",-L90,""),"")</f>
        <v/>
      </c>
      <c r="V90" s="25" t="str">
        <f>IF('Bulk Order Details'!M100="","",SUM(R90:U90))</f>
        <v/>
      </c>
      <c r="W90" s="36" t="str">
        <f>IF('Bulk Order Details'!M100="","",D90+Q90)</f>
        <v/>
      </c>
      <c r="X90" s="37" t="str">
        <f>IF('Bulk Order Details'!M100="","",D90+Q90+V90)</f>
        <v/>
      </c>
      <c r="Y90" s="168" t="str">
        <f t="shared" si="5"/>
        <v/>
      </c>
      <c r="Z90" s="173" t="str">
        <f>IF('Bulk Order Details'!M100="","",MAX(1,'Bulk Order Details'!G100))</f>
        <v/>
      </c>
      <c r="AA90" s="196" t="str">
        <f>IF(Pricing_Details[[#This Row],[Quantity]]="","",Pricing_Details[[#This Row],[Retail Price]]*Pricing_Details[[#This Row],[Quantity]])</f>
        <v/>
      </c>
      <c r="AB90" s="196" t="str">
        <f>IF(Pricing_Details[[#This Row],[Quantity]]="","",Pricing_Details[[#This Row],[Total Discount]]*Pricing_Details[[#This Row],[Quantity]])</f>
        <v/>
      </c>
      <c r="AC90" s="176" t="str">
        <f>IFERROR(ROUND(Pricing_Details[[#This Row],[Actual Price]]*Pricing_Details[[#This Row],[Quantity]],2),"")</f>
        <v/>
      </c>
      <c r="AE90" s="156" t="str">
        <f>IF('Bulk Order Details'!M100="","",VLOOKUP('Bulk Order Details'!K100,Collection[],3)&amp;VLOOKUP('Bulk Order Details'!M100,Collar[],4)&amp;VLOOKUP('Bulk Order Details'!L100,Sleeve[],4))</f>
        <v/>
      </c>
      <c r="AF90" s="156" t="str">
        <f>IF('Bulk Order Details'!M100="","",LOOKUP('Bulk Order Details'!H100,Cut[Display],Cut[Code])&amp;LOOKUP('Bulk Order Details'!I100,#REF!,#REF!)&amp;IF('Bulk Order Details'!J100="","",LOOKUP('Bulk Order Details'!J100,Length[Display],Length[Code])))</f>
        <v/>
      </c>
      <c r="AG90" s="156" t="str">
        <f>IF('Bulk Order Details'!M100="","",IF('Bulk Order Details'!F100="","",'Bulk Order Details'!F100))</f>
        <v/>
      </c>
      <c r="AH90" s="156" t="str">
        <f>IF('Bulk Order Details'!R100="","","-"&amp;LOOKUP('Bulk Order Details'!R100,#REF!,#REF!))</f>
        <v/>
      </c>
      <c r="AI90" s="156" t="str">
        <f>IF('Bulk Order Details'!S100="","","-"&amp;LOOKUP('Bulk Order Details'!S100,#REF!,#REF!))</f>
        <v/>
      </c>
      <c r="AJ90" s="156" t="str">
        <f>IF('Bulk Order Details'!T100="","","-"&amp;LOOKUP('Bulk Order Details'!T100,#REF!,#REF!))</f>
        <v/>
      </c>
      <c r="AK90" s="156" t="str">
        <f>IF('Bulk Order Details'!U100="","","-"&amp;LOOKUP('Bulk Order Details'!U100,#REF!,#REF!))</f>
        <v/>
      </c>
      <c r="AL90" s="156" t="str">
        <f>IF('Bulk Order Details'!V100="","","-"&amp;LOOKUP('Bulk Order Details'!V100,#REF!,#REF!))</f>
        <v/>
      </c>
      <c r="AM90" s="156" t="str">
        <f t="shared" si="7"/>
        <v/>
      </c>
      <c r="AN90" s="156" t="str">
        <f>IF('Bulk Order Details'!N100="","","Na-"&amp;'Bulk Order Details'!N100)</f>
        <v/>
      </c>
      <c r="AO90" s="156" t="str">
        <f>IF('Bulk Order Details'!Q100="","","Fo-"&amp;'Bulk Order Details'!Q100)</f>
        <v/>
      </c>
      <c r="AP90" s="156" t="str">
        <f t="shared" si="8"/>
        <v/>
      </c>
      <c r="AQ90" s="37" t="str">
        <f t="shared" si="9"/>
        <v/>
      </c>
    </row>
    <row r="91" spans="2:43" ht="15" customHeight="1" x14ac:dyDescent="0.2">
      <c r="B91" s="34">
        <f>'Bulk Order Details'!B101</f>
        <v>88</v>
      </c>
      <c r="C91" s="34" t="str">
        <f>IF('Bulk Order Details'!C101="","",'Bulk Order Details'!C101&amp;" "&amp;'Bulk Order Details'!D101)</f>
        <v/>
      </c>
      <c r="D91" s="31" t="str">
        <f>IF('Bulk Order Details'!M101="","",VLOOKUP(1,Price[],3))</f>
        <v/>
      </c>
      <c r="E91" s="29" t="str">
        <f>IF('Bulk Order Details'!M101="","",Summary!$D$9)</f>
        <v/>
      </c>
      <c r="F91" s="16" t="str">
        <f>IF('Bulk Order Details'!I101="","",_xlfn.XLOOKUP('Bulk Order Details'!I101,Size[Display],Size[Price]))</f>
        <v/>
      </c>
      <c r="G91" s="16" t="str">
        <f>IF('Bulk Order Details'!J101="","",_xlfn.XLOOKUP('Bulk Order Details'!J101,Length[Display],Length[Price]))</f>
        <v/>
      </c>
      <c r="H91" s="16" t="str">
        <f>IF('Bulk Order Details'!K101="","",_xlfn.XLOOKUP('Bulk Order Details'!K101,Collection[Display],Collection[Price]))</f>
        <v/>
      </c>
      <c r="I91" s="16" t="str">
        <f>IF('Bulk Order Details'!L101="","",_xlfn.XLOOKUP('Bulk Order Details'!L101,Sleeve[Display],Sleeve[Price]))</f>
        <v/>
      </c>
      <c r="J91" s="16" t="str">
        <f>IF('Bulk Order Details'!M101="","",_xlfn.XLOOKUP('Bulk Order Details'!M101,Collar[Display],Collar[Price]))</f>
        <v/>
      </c>
      <c r="K91" s="16" t="str">
        <f>IF('Bulk Order Details'!N101="","",_xlfn.XLOOKUP("Name",Name[Name],Name[Price]))</f>
        <v/>
      </c>
      <c r="L91" s="18" t="str">
        <f>IFERROR(IF('Bulk Order Details'!R101="","",IF(_xlfn.XLOOKUP('Bulk Order Details'!R101,Logos[Display],Logos[Use])="Flat",_xlfn.XLOOKUP('Bulk Order Details'!R101,Logos[Display],Logos[Flat]),ROUND(_xlfn.XLOOKUP('Bulk Order Details'!R101,Logos[Display],Logos[Pct])*$E91,2))),"")</f>
        <v/>
      </c>
      <c r="M91" s="22" t="str">
        <f>IFERROR(IF('Bulk Order Details'!S101="","",IF(_xlfn.XLOOKUP('Bulk Order Details'!S101,Chest[Display],Chest[Use])="Flat",_xlfn.XLOOKUP('Bulk Order Details'!S101,Chest[Display],Chest[Flat]),ROUND(_xlfn.XLOOKUP('Bulk Order Details'!S101,Chest[Display],Chest[Pct])*$E91,2))),"")</f>
        <v/>
      </c>
      <c r="N91" s="22" t="str">
        <f>IFERROR(IF('Bulk Order Details'!T101="","",IF(_xlfn.XLOOKUP('Bulk Order Details'!T101,Chest[Display],Chest[Use])="Flat",_xlfn.XLOOKUP('Bulk Order Details'!T101,Chest[Display],Chest[Flat]),ROUND(_xlfn.XLOOKUP('Bulk Order Details'!T101,Chest[Display],Chest[Pct])*$E91,2))),"")</f>
        <v/>
      </c>
      <c r="O91" s="22" t="str">
        <f>IFERROR(IF('Bulk Order Details'!U101="","",IF(_xlfn.XLOOKUP('Bulk Order Details'!U101,LeftSleeve[Display],LeftSleeve[Use])="Flat",_xlfn.XLOOKUP('Bulk Order Details'!U101,LeftSleeve[Display],LeftSleeve[Flat]),ROUND(_xlfn.XLOOKUP('Bulk Order Details'!U101,LeftSleeve[Display],LeftSleeve[Pct])*$E91,2))),"")</f>
        <v/>
      </c>
      <c r="P91" s="22" t="str">
        <f>IFERROR(IF('Bulk Order Details'!V101="","",IF(_xlfn.XLOOKUP('Bulk Order Details'!V101,RightSleeve[Display],RightSleeve[Use])="Flat",_xlfn.XLOOKUP('Bulk Order Details'!V101,RightSleeve[Display],RightSleeve[Flat]),ROUND(_xlfn.XLOOKUP('Bulk Order Details'!V101,RightSleeve[Display],RightSleeve[Pct])*$E91,2))),"")</f>
        <v/>
      </c>
      <c r="Q91" s="27" t="str">
        <f>IF('Bulk Order Details'!M101="","",SUM(F91:P91))</f>
        <v/>
      </c>
      <c r="R91" s="24" t="str">
        <f t="shared" si="6"/>
        <v/>
      </c>
      <c r="S91" s="23" t="str">
        <f>IFERROR(MIN(IF(Summary!$D$11="Yes",-J91,0),IF(H91&gt;0,-J91,0)),"")</f>
        <v/>
      </c>
      <c r="T91" s="16" t="str">
        <f>IFERROR(IF(Summary!$D$10="Yes",-K91,""),"")</f>
        <v/>
      </c>
      <c r="U91" s="18" t="str">
        <f>IFERROR(IF(Summary!$D$12="Yes",-L91,""),"")</f>
        <v/>
      </c>
      <c r="V91" s="25" t="str">
        <f>IF('Bulk Order Details'!M101="","",SUM(R91:U91))</f>
        <v/>
      </c>
      <c r="W91" s="36" t="str">
        <f>IF('Bulk Order Details'!M101="","",D91+Q91)</f>
        <v/>
      </c>
      <c r="X91" s="37" t="str">
        <f>IF('Bulk Order Details'!M101="","",D91+Q91+V91)</f>
        <v/>
      </c>
      <c r="Y91" s="168" t="str">
        <f t="shared" si="5"/>
        <v/>
      </c>
      <c r="Z91" s="173" t="str">
        <f>IF('Bulk Order Details'!M101="","",MAX(1,'Bulk Order Details'!G101))</f>
        <v/>
      </c>
      <c r="AA91" s="196" t="str">
        <f>IF(Pricing_Details[[#This Row],[Quantity]]="","",Pricing_Details[[#This Row],[Retail Price]]*Pricing_Details[[#This Row],[Quantity]])</f>
        <v/>
      </c>
      <c r="AB91" s="196" t="str">
        <f>IF(Pricing_Details[[#This Row],[Quantity]]="","",Pricing_Details[[#This Row],[Total Discount]]*Pricing_Details[[#This Row],[Quantity]])</f>
        <v/>
      </c>
      <c r="AC91" s="176" t="str">
        <f>IFERROR(ROUND(Pricing_Details[[#This Row],[Actual Price]]*Pricing_Details[[#This Row],[Quantity]],2),"")</f>
        <v/>
      </c>
      <c r="AE91" s="156" t="str">
        <f>IF('Bulk Order Details'!M101="","",VLOOKUP('Bulk Order Details'!K101,Collection[],3)&amp;VLOOKUP('Bulk Order Details'!M101,Collar[],4)&amp;VLOOKUP('Bulk Order Details'!L101,Sleeve[],4))</f>
        <v/>
      </c>
      <c r="AF91" s="156" t="str">
        <f>IF('Bulk Order Details'!M101="","",LOOKUP('Bulk Order Details'!H101,Cut[Display],Cut[Code])&amp;LOOKUP('Bulk Order Details'!I101,#REF!,#REF!)&amp;IF('Bulk Order Details'!J101="","",LOOKUP('Bulk Order Details'!J101,Length[Display],Length[Code])))</f>
        <v/>
      </c>
      <c r="AG91" s="156" t="str">
        <f>IF('Bulk Order Details'!M101="","",IF('Bulk Order Details'!F101="","",'Bulk Order Details'!F101))</f>
        <v/>
      </c>
      <c r="AH91" s="156" t="str">
        <f>IF('Bulk Order Details'!R101="","","-"&amp;LOOKUP('Bulk Order Details'!R101,#REF!,#REF!))</f>
        <v/>
      </c>
      <c r="AI91" s="156" t="str">
        <f>IF('Bulk Order Details'!S101="","","-"&amp;LOOKUP('Bulk Order Details'!S101,#REF!,#REF!))</f>
        <v/>
      </c>
      <c r="AJ91" s="156" t="str">
        <f>IF('Bulk Order Details'!T101="","","-"&amp;LOOKUP('Bulk Order Details'!T101,#REF!,#REF!))</f>
        <v/>
      </c>
      <c r="AK91" s="156" t="str">
        <f>IF('Bulk Order Details'!U101="","","-"&amp;LOOKUP('Bulk Order Details'!U101,#REF!,#REF!))</f>
        <v/>
      </c>
      <c r="AL91" s="156" t="str">
        <f>IF('Bulk Order Details'!V101="","","-"&amp;LOOKUP('Bulk Order Details'!V101,#REF!,#REF!))</f>
        <v/>
      </c>
      <c r="AM91" s="156" t="str">
        <f t="shared" si="7"/>
        <v/>
      </c>
      <c r="AN91" s="156" t="str">
        <f>IF('Bulk Order Details'!N101="","","Na-"&amp;'Bulk Order Details'!N101)</f>
        <v/>
      </c>
      <c r="AO91" s="156" t="str">
        <f>IF('Bulk Order Details'!Q101="","","Fo-"&amp;'Bulk Order Details'!Q101)</f>
        <v/>
      </c>
      <c r="AP91" s="156" t="str">
        <f t="shared" si="8"/>
        <v/>
      </c>
      <c r="AQ91" s="37" t="str">
        <f t="shared" si="9"/>
        <v/>
      </c>
    </row>
    <row r="92" spans="2:43" ht="15" customHeight="1" x14ac:dyDescent="0.2">
      <c r="B92" s="34">
        <f>'Bulk Order Details'!B102</f>
        <v>89</v>
      </c>
      <c r="C92" s="34" t="str">
        <f>IF('Bulk Order Details'!C102="","",'Bulk Order Details'!C102&amp;" "&amp;'Bulk Order Details'!D102)</f>
        <v/>
      </c>
      <c r="D92" s="31" t="str">
        <f>IF('Bulk Order Details'!M102="","",VLOOKUP(1,Price[],3))</f>
        <v/>
      </c>
      <c r="E92" s="29" t="str">
        <f>IF('Bulk Order Details'!M102="","",Summary!$D$9)</f>
        <v/>
      </c>
      <c r="F92" s="16" t="str">
        <f>IF('Bulk Order Details'!I102="","",_xlfn.XLOOKUP('Bulk Order Details'!I102,Size[Display],Size[Price]))</f>
        <v/>
      </c>
      <c r="G92" s="16" t="str">
        <f>IF('Bulk Order Details'!J102="","",_xlfn.XLOOKUP('Bulk Order Details'!J102,Length[Display],Length[Price]))</f>
        <v/>
      </c>
      <c r="H92" s="16" t="str">
        <f>IF('Bulk Order Details'!K102="","",_xlfn.XLOOKUP('Bulk Order Details'!K102,Collection[Display],Collection[Price]))</f>
        <v/>
      </c>
      <c r="I92" s="16" t="str">
        <f>IF('Bulk Order Details'!L102="","",_xlfn.XLOOKUP('Bulk Order Details'!L102,Sleeve[Display],Sleeve[Price]))</f>
        <v/>
      </c>
      <c r="J92" s="16" t="str">
        <f>IF('Bulk Order Details'!M102="","",_xlfn.XLOOKUP('Bulk Order Details'!M102,Collar[Display],Collar[Price]))</f>
        <v/>
      </c>
      <c r="K92" s="16" t="str">
        <f>IF('Bulk Order Details'!N102="","",_xlfn.XLOOKUP("Name",Name[Name],Name[Price]))</f>
        <v/>
      </c>
      <c r="L92" s="18" t="str">
        <f>IFERROR(IF('Bulk Order Details'!R102="","",IF(_xlfn.XLOOKUP('Bulk Order Details'!R102,Logos[Display],Logos[Use])="Flat",_xlfn.XLOOKUP('Bulk Order Details'!R102,Logos[Display],Logos[Flat]),ROUND(_xlfn.XLOOKUP('Bulk Order Details'!R102,Logos[Display],Logos[Pct])*$E92,2))),"")</f>
        <v/>
      </c>
      <c r="M92" s="22" t="str">
        <f>IFERROR(IF('Bulk Order Details'!S102="","",IF(_xlfn.XLOOKUP('Bulk Order Details'!S102,Chest[Display],Chest[Use])="Flat",_xlfn.XLOOKUP('Bulk Order Details'!S102,Chest[Display],Chest[Flat]),ROUND(_xlfn.XLOOKUP('Bulk Order Details'!S102,Chest[Display],Chest[Pct])*$E92,2))),"")</f>
        <v/>
      </c>
      <c r="N92" s="22" t="str">
        <f>IFERROR(IF('Bulk Order Details'!T102="","",IF(_xlfn.XLOOKUP('Bulk Order Details'!T102,Chest[Display],Chest[Use])="Flat",_xlfn.XLOOKUP('Bulk Order Details'!T102,Chest[Display],Chest[Flat]),ROUND(_xlfn.XLOOKUP('Bulk Order Details'!T102,Chest[Display],Chest[Pct])*$E92,2))),"")</f>
        <v/>
      </c>
      <c r="O92" s="22" t="str">
        <f>IFERROR(IF('Bulk Order Details'!U102="","",IF(_xlfn.XLOOKUP('Bulk Order Details'!U102,LeftSleeve[Display],LeftSleeve[Use])="Flat",_xlfn.XLOOKUP('Bulk Order Details'!U102,LeftSleeve[Display],LeftSleeve[Flat]),ROUND(_xlfn.XLOOKUP('Bulk Order Details'!U102,LeftSleeve[Display],LeftSleeve[Pct])*$E92,2))),"")</f>
        <v/>
      </c>
      <c r="P92" s="22" t="str">
        <f>IFERROR(IF('Bulk Order Details'!V102="","",IF(_xlfn.XLOOKUP('Bulk Order Details'!V102,RightSleeve[Display],RightSleeve[Use])="Flat",_xlfn.XLOOKUP('Bulk Order Details'!V102,RightSleeve[Display],RightSleeve[Flat]),ROUND(_xlfn.XLOOKUP('Bulk Order Details'!V102,RightSleeve[Display],RightSleeve[Pct])*$E92,2))),"")</f>
        <v/>
      </c>
      <c r="Q92" s="27" t="str">
        <f>IF('Bulk Order Details'!M102="","",SUM(F92:P92))</f>
        <v/>
      </c>
      <c r="R92" s="24" t="str">
        <f t="shared" si="6"/>
        <v/>
      </c>
      <c r="S92" s="23" t="str">
        <f>IFERROR(MIN(IF(Summary!$D$11="Yes",-J92,0),IF(H92&gt;0,-J92,0)),"")</f>
        <v/>
      </c>
      <c r="T92" s="16" t="str">
        <f>IFERROR(IF(Summary!$D$10="Yes",-K92,""),"")</f>
        <v/>
      </c>
      <c r="U92" s="18" t="str">
        <f>IFERROR(IF(Summary!$D$12="Yes",-L92,""),"")</f>
        <v/>
      </c>
      <c r="V92" s="25" t="str">
        <f>IF('Bulk Order Details'!M102="","",SUM(R92:U92))</f>
        <v/>
      </c>
      <c r="W92" s="36" t="str">
        <f>IF('Bulk Order Details'!M102="","",D92+Q92)</f>
        <v/>
      </c>
      <c r="X92" s="37" t="str">
        <f>IF('Bulk Order Details'!M102="","",D92+Q92+V92)</f>
        <v/>
      </c>
      <c r="Y92" s="168" t="str">
        <f t="shared" si="5"/>
        <v/>
      </c>
      <c r="Z92" s="173" t="str">
        <f>IF('Bulk Order Details'!M102="","",MAX(1,'Bulk Order Details'!G102))</f>
        <v/>
      </c>
      <c r="AA92" s="196" t="str">
        <f>IF(Pricing_Details[[#This Row],[Quantity]]="","",Pricing_Details[[#This Row],[Retail Price]]*Pricing_Details[[#This Row],[Quantity]])</f>
        <v/>
      </c>
      <c r="AB92" s="196" t="str">
        <f>IF(Pricing_Details[[#This Row],[Quantity]]="","",Pricing_Details[[#This Row],[Total Discount]]*Pricing_Details[[#This Row],[Quantity]])</f>
        <v/>
      </c>
      <c r="AC92" s="176" t="str">
        <f>IFERROR(ROUND(Pricing_Details[[#This Row],[Actual Price]]*Pricing_Details[[#This Row],[Quantity]],2),"")</f>
        <v/>
      </c>
      <c r="AE92" s="156" t="str">
        <f>IF('Bulk Order Details'!M102="","",VLOOKUP('Bulk Order Details'!K102,Collection[],3)&amp;VLOOKUP('Bulk Order Details'!M102,Collar[],4)&amp;VLOOKUP('Bulk Order Details'!L102,Sleeve[],4))</f>
        <v/>
      </c>
      <c r="AF92" s="156" t="str">
        <f>IF('Bulk Order Details'!M102="","",LOOKUP('Bulk Order Details'!H102,Cut[Display],Cut[Code])&amp;LOOKUP('Bulk Order Details'!I102,#REF!,#REF!)&amp;IF('Bulk Order Details'!J102="","",LOOKUP('Bulk Order Details'!J102,Length[Display],Length[Code])))</f>
        <v/>
      </c>
      <c r="AG92" s="156" t="str">
        <f>IF('Bulk Order Details'!M102="","",IF('Bulk Order Details'!F102="","",'Bulk Order Details'!F102))</f>
        <v/>
      </c>
      <c r="AH92" s="156" t="str">
        <f>IF('Bulk Order Details'!R102="","","-"&amp;LOOKUP('Bulk Order Details'!R102,#REF!,#REF!))</f>
        <v/>
      </c>
      <c r="AI92" s="156" t="str">
        <f>IF('Bulk Order Details'!S102="","","-"&amp;LOOKUP('Bulk Order Details'!S102,#REF!,#REF!))</f>
        <v/>
      </c>
      <c r="AJ92" s="156" t="str">
        <f>IF('Bulk Order Details'!T102="","","-"&amp;LOOKUP('Bulk Order Details'!T102,#REF!,#REF!))</f>
        <v/>
      </c>
      <c r="AK92" s="156" t="str">
        <f>IF('Bulk Order Details'!U102="","","-"&amp;LOOKUP('Bulk Order Details'!U102,#REF!,#REF!))</f>
        <v/>
      </c>
      <c r="AL92" s="156" t="str">
        <f>IF('Bulk Order Details'!V102="","","-"&amp;LOOKUP('Bulk Order Details'!V102,#REF!,#REF!))</f>
        <v/>
      </c>
      <c r="AM92" s="156" t="str">
        <f t="shared" si="7"/>
        <v/>
      </c>
      <c r="AN92" s="156" t="str">
        <f>IF('Bulk Order Details'!N102="","","Na-"&amp;'Bulk Order Details'!N102)</f>
        <v/>
      </c>
      <c r="AO92" s="156" t="str">
        <f>IF('Bulk Order Details'!Q102="","","Fo-"&amp;'Bulk Order Details'!Q102)</f>
        <v/>
      </c>
      <c r="AP92" s="156" t="str">
        <f t="shared" si="8"/>
        <v/>
      </c>
      <c r="AQ92" s="37" t="str">
        <f t="shared" si="9"/>
        <v/>
      </c>
    </row>
    <row r="93" spans="2:43" ht="15" customHeight="1" x14ac:dyDescent="0.2">
      <c r="B93" s="34">
        <f>'Bulk Order Details'!B103</f>
        <v>90</v>
      </c>
      <c r="C93" s="34" t="str">
        <f>IF('Bulk Order Details'!C103="","",'Bulk Order Details'!C103&amp;" "&amp;'Bulk Order Details'!D103)</f>
        <v/>
      </c>
      <c r="D93" s="31" t="str">
        <f>IF('Bulk Order Details'!M103="","",VLOOKUP(1,Price[],3))</f>
        <v/>
      </c>
      <c r="E93" s="29" t="str">
        <f>IF('Bulk Order Details'!M103="","",Summary!$D$9)</f>
        <v/>
      </c>
      <c r="F93" s="16" t="str">
        <f>IF('Bulk Order Details'!I103="","",_xlfn.XLOOKUP('Bulk Order Details'!I103,Size[Display],Size[Price]))</f>
        <v/>
      </c>
      <c r="G93" s="16" t="str">
        <f>IF('Bulk Order Details'!J103="","",_xlfn.XLOOKUP('Bulk Order Details'!J103,Length[Display],Length[Price]))</f>
        <v/>
      </c>
      <c r="H93" s="16" t="str">
        <f>IF('Bulk Order Details'!K103="","",_xlfn.XLOOKUP('Bulk Order Details'!K103,Collection[Display],Collection[Price]))</f>
        <v/>
      </c>
      <c r="I93" s="16" t="str">
        <f>IF('Bulk Order Details'!L103="","",_xlfn.XLOOKUP('Bulk Order Details'!L103,Sleeve[Display],Sleeve[Price]))</f>
        <v/>
      </c>
      <c r="J93" s="16" t="str">
        <f>IF('Bulk Order Details'!M103="","",_xlfn.XLOOKUP('Bulk Order Details'!M103,Collar[Display],Collar[Price]))</f>
        <v/>
      </c>
      <c r="K93" s="16" t="str">
        <f>IF('Bulk Order Details'!N103="","",_xlfn.XLOOKUP("Name",Name[Name],Name[Price]))</f>
        <v/>
      </c>
      <c r="L93" s="18" t="str">
        <f>IFERROR(IF('Bulk Order Details'!R103="","",IF(_xlfn.XLOOKUP('Bulk Order Details'!R103,Logos[Display],Logos[Use])="Flat",_xlfn.XLOOKUP('Bulk Order Details'!R103,Logos[Display],Logos[Flat]),ROUND(_xlfn.XLOOKUP('Bulk Order Details'!R103,Logos[Display],Logos[Pct])*$E93,2))),"")</f>
        <v/>
      </c>
      <c r="M93" s="22" t="str">
        <f>IFERROR(IF('Bulk Order Details'!S103="","",IF(_xlfn.XLOOKUP('Bulk Order Details'!S103,Chest[Display],Chest[Use])="Flat",_xlfn.XLOOKUP('Bulk Order Details'!S103,Chest[Display],Chest[Flat]),ROUND(_xlfn.XLOOKUP('Bulk Order Details'!S103,Chest[Display],Chest[Pct])*$E93,2))),"")</f>
        <v/>
      </c>
      <c r="N93" s="22" t="str">
        <f>IFERROR(IF('Bulk Order Details'!T103="","",IF(_xlfn.XLOOKUP('Bulk Order Details'!T103,Chest[Display],Chest[Use])="Flat",_xlfn.XLOOKUP('Bulk Order Details'!T103,Chest[Display],Chest[Flat]),ROUND(_xlfn.XLOOKUP('Bulk Order Details'!T103,Chest[Display],Chest[Pct])*$E93,2))),"")</f>
        <v/>
      </c>
      <c r="O93" s="22" t="str">
        <f>IFERROR(IF('Bulk Order Details'!U103="","",IF(_xlfn.XLOOKUP('Bulk Order Details'!U103,LeftSleeve[Display],LeftSleeve[Use])="Flat",_xlfn.XLOOKUP('Bulk Order Details'!U103,LeftSleeve[Display],LeftSleeve[Flat]),ROUND(_xlfn.XLOOKUP('Bulk Order Details'!U103,LeftSleeve[Display],LeftSleeve[Pct])*$E93,2))),"")</f>
        <v/>
      </c>
      <c r="P93" s="22" t="str">
        <f>IFERROR(IF('Bulk Order Details'!V103="","",IF(_xlfn.XLOOKUP('Bulk Order Details'!V103,RightSleeve[Display],RightSleeve[Use])="Flat",_xlfn.XLOOKUP('Bulk Order Details'!V103,RightSleeve[Display],RightSleeve[Flat]),ROUND(_xlfn.XLOOKUP('Bulk Order Details'!V103,RightSleeve[Display],RightSleeve[Pct])*$E93,2))),"")</f>
        <v/>
      </c>
      <c r="Q93" s="27" t="str">
        <f>IF('Bulk Order Details'!M103="","",SUM(F93:P93))</f>
        <v/>
      </c>
      <c r="R93" s="24" t="str">
        <f t="shared" si="6"/>
        <v/>
      </c>
      <c r="S93" s="23" t="str">
        <f>IFERROR(MIN(IF(Summary!$D$11="Yes",-J93,0),IF(H93&gt;0,-J93,0)),"")</f>
        <v/>
      </c>
      <c r="T93" s="16" t="str">
        <f>IFERROR(IF(Summary!$D$10="Yes",-K93,""),"")</f>
        <v/>
      </c>
      <c r="U93" s="18" t="str">
        <f>IFERROR(IF(Summary!$D$12="Yes",-L93,""),"")</f>
        <v/>
      </c>
      <c r="V93" s="25" t="str">
        <f>IF('Bulk Order Details'!M103="","",SUM(R93:U93))</f>
        <v/>
      </c>
      <c r="W93" s="36" t="str">
        <f>IF('Bulk Order Details'!M103="","",D93+Q93)</f>
        <v/>
      </c>
      <c r="X93" s="37" t="str">
        <f>IF('Bulk Order Details'!M103="","",D93+Q93+V93)</f>
        <v/>
      </c>
      <c r="Y93" s="168" t="str">
        <f t="shared" si="5"/>
        <v/>
      </c>
      <c r="Z93" s="173" t="str">
        <f>IF('Bulk Order Details'!M103="","",MAX(1,'Bulk Order Details'!G103))</f>
        <v/>
      </c>
      <c r="AA93" s="196" t="str">
        <f>IF(Pricing_Details[[#This Row],[Quantity]]="","",Pricing_Details[[#This Row],[Retail Price]]*Pricing_Details[[#This Row],[Quantity]])</f>
        <v/>
      </c>
      <c r="AB93" s="196" t="str">
        <f>IF(Pricing_Details[[#This Row],[Quantity]]="","",Pricing_Details[[#This Row],[Total Discount]]*Pricing_Details[[#This Row],[Quantity]])</f>
        <v/>
      </c>
      <c r="AC93" s="176" t="str">
        <f>IFERROR(ROUND(Pricing_Details[[#This Row],[Actual Price]]*Pricing_Details[[#This Row],[Quantity]],2),"")</f>
        <v/>
      </c>
      <c r="AE93" s="156" t="str">
        <f>IF('Bulk Order Details'!M103="","",VLOOKUP('Bulk Order Details'!K103,Collection[],3)&amp;VLOOKUP('Bulk Order Details'!M103,Collar[],4)&amp;VLOOKUP('Bulk Order Details'!L103,Sleeve[],4))</f>
        <v/>
      </c>
      <c r="AF93" s="156" t="str">
        <f>IF('Bulk Order Details'!M103="","",LOOKUP('Bulk Order Details'!H103,Cut[Display],Cut[Code])&amp;LOOKUP('Bulk Order Details'!I103,#REF!,#REF!)&amp;IF('Bulk Order Details'!J103="","",LOOKUP('Bulk Order Details'!J103,Length[Display],Length[Code])))</f>
        <v/>
      </c>
      <c r="AG93" s="156" t="str">
        <f>IF('Bulk Order Details'!M103="","",IF('Bulk Order Details'!F103="","",'Bulk Order Details'!F103))</f>
        <v/>
      </c>
      <c r="AH93" s="156" t="str">
        <f>IF('Bulk Order Details'!R103="","","-"&amp;LOOKUP('Bulk Order Details'!R103,#REF!,#REF!))</f>
        <v/>
      </c>
      <c r="AI93" s="156" t="str">
        <f>IF('Bulk Order Details'!S103="","","-"&amp;LOOKUP('Bulk Order Details'!S103,#REF!,#REF!))</f>
        <v/>
      </c>
      <c r="AJ93" s="156" t="str">
        <f>IF('Bulk Order Details'!T103="","","-"&amp;LOOKUP('Bulk Order Details'!T103,#REF!,#REF!))</f>
        <v/>
      </c>
      <c r="AK93" s="156" t="str">
        <f>IF('Bulk Order Details'!U103="","","-"&amp;LOOKUP('Bulk Order Details'!U103,#REF!,#REF!))</f>
        <v/>
      </c>
      <c r="AL93" s="156" t="str">
        <f>IF('Bulk Order Details'!V103="","","-"&amp;LOOKUP('Bulk Order Details'!V103,#REF!,#REF!))</f>
        <v/>
      </c>
      <c r="AM93" s="156" t="str">
        <f t="shared" si="7"/>
        <v/>
      </c>
      <c r="AN93" s="156" t="str">
        <f>IF('Bulk Order Details'!N103="","","Na-"&amp;'Bulk Order Details'!N103)</f>
        <v/>
      </c>
      <c r="AO93" s="156" t="str">
        <f>IF('Bulk Order Details'!Q103="","","Fo-"&amp;'Bulk Order Details'!Q103)</f>
        <v/>
      </c>
      <c r="AP93" s="156" t="str">
        <f t="shared" si="8"/>
        <v/>
      </c>
      <c r="AQ93" s="37" t="str">
        <f t="shared" si="9"/>
        <v/>
      </c>
    </row>
    <row r="94" spans="2:43" ht="15" customHeight="1" x14ac:dyDescent="0.2">
      <c r="B94" s="34">
        <f>'Bulk Order Details'!B104</f>
        <v>91</v>
      </c>
      <c r="C94" s="34" t="str">
        <f>IF('Bulk Order Details'!C104="","",'Bulk Order Details'!C104&amp;" "&amp;'Bulk Order Details'!D104)</f>
        <v/>
      </c>
      <c r="D94" s="31" t="str">
        <f>IF('Bulk Order Details'!M104="","",VLOOKUP(1,Price[],3))</f>
        <v/>
      </c>
      <c r="E94" s="29" t="str">
        <f>IF('Bulk Order Details'!M104="","",Summary!$D$9)</f>
        <v/>
      </c>
      <c r="F94" s="16" t="str">
        <f>IF('Bulk Order Details'!I104="","",_xlfn.XLOOKUP('Bulk Order Details'!I104,Size[Display],Size[Price]))</f>
        <v/>
      </c>
      <c r="G94" s="16" t="str">
        <f>IF('Bulk Order Details'!J104="","",_xlfn.XLOOKUP('Bulk Order Details'!J104,Length[Display],Length[Price]))</f>
        <v/>
      </c>
      <c r="H94" s="16" t="str">
        <f>IF('Bulk Order Details'!K104="","",_xlfn.XLOOKUP('Bulk Order Details'!K104,Collection[Display],Collection[Price]))</f>
        <v/>
      </c>
      <c r="I94" s="16" t="str">
        <f>IF('Bulk Order Details'!L104="","",_xlfn.XLOOKUP('Bulk Order Details'!L104,Sleeve[Display],Sleeve[Price]))</f>
        <v/>
      </c>
      <c r="J94" s="16" t="str">
        <f>IF('Bulk Order Details'!M104="","",_xlfn.XLOOKUP('Bulk Order Details'!M104,Collar[Display],Collar[Price]))</f>
        <v/>
      </c>
      <c r="K94" s="16" t="str">
        <f>IF('Bulk Order Details'!N104="","",_xlfn.XLOOKUP("Name",Name[Name],Name[Price]))</f>
        <v/>
      </c>
      <c r="L94" s="18" t="str">
        <f>IFERROR(IF('Bulk Order Details'!R104="","",IF(_xlfn.XLOOKUP('Bulk Order Details'!R104,Logos[Display],Logos[Use])="Flat",_xlfn.XLOOKUP('Bulk Order Details'!R104,Logos[Display],Logos[Flat]),ROUND(_xlfn.XLOOKUP('Bulk Order Details'!R104,Logos[Display],Logos[Pct])*$E94,2))),"")</f>
        <v/>
      </c>
      <c r="M94" s="22" t="str">
        <f>IFERROR(IF('Bulk Order Details'!S104="","",IF(_xlfn.XLOOKUP('Bulk Order Details'!S104,Chest[Display],Chest[Use])="Flat",_xlfn.XLOOKUP('Bulk Order Details'!S104,Chest[Display],Chest[Flat]),ROUND(_xlfn.XLOOKUP('Bulk Order Details'!S104,Chest[Display],Chest[Pct])*$E94,2))),"")</f>
        <v/>
      </c>
      <c r="N94" s="22" t="str">
        <f>IFERROR(IF('Bulk Order Details'!T104="","",IF(_xlfn.XLOOKUP('Bulk Order Details'!T104,Chest[Display],Chest[Use])="Flat",_xlfn.XLOOKUP('Bulk Order Details'!T104,Chest[Display],Chest[Flat]),ROUND(_xlfn.XLOOKUP('Bulk Order Details'!T104,Chest[Display],Chest[Pct])*$E94,2))),"")</f>
        <v/>
      </c>
      <c r="O94" s="22" t="str">
        <f>IFERROR(IF('Bulk Order Details'!U104="","",IF(_xlfn.XLOOKUP('Bulk Order Details'!U104,LeftSleeve[Display],LeftSleeve[Use])="Flat",_xlfn.XLOOKUP('Bulk Order Details'!U104,LeftSleeve[Display],LeftSleeve[Flat]),ROUND(_xlfn.XLOOKUP('Bulk Order Details'!U104,LeftSleeve[Display],LeftSleeve[Pct])*$E94,2))),"")</f>
        <v/>
      </c>
      <c r="P94" s="22" t="str">
        <f>IFERROR(IF('Bulk Order Details'!V104="","",IF(_xlfn.XLOOKUP('Bulk Order Details'!V104,RightSleeve[Display],RightSleeve[Use])="Flat",_xlfn.XLOOKUP('Bulk Order Details'!V104,RightSleeve[Display],RightSleeve[Flat]),ROUND(_xlfn.XLOOKUP('Bulk Order Details'!V104,RightSleeve[Display],RightSleeve[Pct])*$E94,2))),"")</f>
        <v/>
      </c>
      <c r="Q94" s="27" t="str">
        <f>IF('Bulk Order Details'!M104="","",SUM(F94:P94))</f>
        <v/>
      </c>
      <c r="R94" s="24" t="str">
        <f t="shared" si="6"/>
        <v/>
      </c>
      <c r="S94" s="23" t="str">
        <f>IFERROR(MIN(IF(Summary!$D$11="Yes",-J94,0),IF(H94&gt;0,-J94,0)),"")</f>
        <v/>
      </c>
      <c r="T94" s="16" t="str">
        <f>IFERROR(IF(Summary!$D$10="Yes",-K94,""),"")</f>
        <v/>
      </c>
      <c r="U94" s="18" t="str">
        <f>IFERROR(IF(Summary!$D$12="Yes",-L94,""),"")</f>
        <v/>
      </c>
      <c r="V94" s="25" t="str">
        <f>IF('Bulk Order Details'!M104="","",SUM(R94:U94))</f>
        <v/>
      </c>
      <c r="W94" s="36" t="str">
        <f>IF('Bulk Order Details'!M104="","",D94+Q94)</f>
        <v/>
      </c>
      <c r="X94" s="37" t="str">
        <f>IF('Bulk Order Details'!M104="","",D94+Q94+V94)</f>
        <v/>
      </c>
      <c r="Y94" s="168" t="str">
        <f t="shared" si="5"/>
        <v/>
      </c>
      <c r="Z94" s="173" t="str">
        <f>IF('Bulk Order Details'!M104="","",MAX(1,'Bulk Order Details'!G104))</f>
        <v/>
      </c>
      <c r="AA94" s="196" t="str">
        <f>IF(Pricing_Details[[#This Row],[Quantity]]="","",Pricing_Details[[#This Row],[Retail Price]]*Pricing_Details[[#This Row],[Quantity]])</f>
        <v/>
      </c>
      <c r="AB94" s="196" t="str">
        <f>IF(Pricing_Details[[#This Row],[Quantity]]="","",Pricing_Details[[#This Row],[Total Discount]]*Pricing_Details[[#This Row],[Quantity]])</f>
        <v/>
      </c>
      <c r="AC94" s="176" t="str">
        <f>IFERROR(ROUND(Pricing_Details[[#This Row],[Actual Price]]*Pricing_Details[[#This Row],[Quantity]],2),"")</f>
        <v/>
      </c>
      <c r="AE94" s="156" t="str">
        <f>IF('Bulk Order Details'!M104="","",VLOOKUP('Bulk Order Details'!K104,Collection[],3)&amp;VLOOKUP('Bulk Order Details'!M104,Collar[],4)&amp;VLOOKUP('Bulk Order Details'!L104,Sleeve[],4))</f>
        <v/>
      </c>
      <c r="AF94" s="156" t="str">
        <f>IF('Bulk Order Details'!M104="","",LOOKUP('Bulk Order Details'!H104,Cut[Display],Cut[Code])&amp;LOOKUP('Bulk Order Details'!I104,#REF!,#REF!)&amp;IF('Bulk Order Details'!J104="","",LOOKUP('Bulk Order Details'!J104,Length[Display],Length[Code])))</f>
        <v/>
      </c>
      <c r="AG94" s="156" t="str">
        <f>IF('Bulk Order Details'!M104="","",IF('Bulk Order Details'!F104="","",'Bulk Order Details'!F104))</f>
        <v/>
      </c>
      <c r="AH94" s="156" t="str">
        <f>IF('Bulk Order Details'!R104="","","-"&amp;LOOKUP('Bulk Order Details'!R104,#REF!,#REF!))</f>
        <v/>
      </c>
      <c r="AI94" s="156" t="str">
        <f>IF('Bulk Order Details'!S104="","","-"&amp;LOOKUP('Bulk Order Details'!S104,#REF!,#REF!))</f>
        <v/>
      </c>
      <c r="AJ94" s="156" t="str">
        <f>IF('Bulk Order Details'!T104="","","-"&amp;LOOKUP('Bulk Order Details'!T104,#REF!,#REF!))</f>
        <v/>
      </c>
      <c r="AK94" s="156" t="str">
        <f>IF('Bulk Order Details'!U104="","","-"&amp;LOOKUP('Bulk Order Details'!U104,#REF!,#REF!))</f>
        <v/>
      </c>
      <c r="AL94" s="156" t="str">
        <f>IF('Bulk Order Details'!V104="","","-"&amp;LOOKUP('Bulk Order Details'!V104,#REF!,#REF!))</f>
        <v/>
      </c>
      <c r="AM94" s="156" t="str">
        <f t="shared" si="7"/>
        <v/>
      </c>
      <c r="AN94" s="156" t="str">
        <f>IF('Bulk Order Details'!N104="","","Na-"&amp;'Bulk Order Details'!N104)</f>
        <v/>
      </c>
      <c r="AO94" s="156" t="str">
        <f>IF('Bulk Order Details'!Q104="","","Fo-"&amp;'Bulk Order Details'!Q104)</f>
        <v/>
      </c>
      <c r="AP94" s="156" t="str">
        <f t="shared" si="8"/>
        <v/>
      </c>
      <c r="AQ94" s="37" t="str">
        <f t="shared" si="9"/>
        <v/>
      </c>
    </row>
    <row r="95" spans="2:43" ht="15" customHeight="1" x14ac:dyDescent="0.2">
      <c r="B95" s="34">
        <f>'Bulk Order Details'!B105</f>
        <v>92</v>
      </c>
      <c r="C95" s="34" t="str">
        <f>IF('Bulk Order Details'!C105="","",'Bulk Order Details'!C105&amp;" "&amp;'Bulk Order Details'!D105)</f>
        <v/>
      </c>
      <c r="D95" s="31" t="str">
        <f>IF('Bulk Order Details'!M105="","",VLOOKUP(1,Price[],3))</f>
        <v/>
      </c>
      <c r="E95" s="29" t="str">
        <f>IF('Bulk Order Details'!M105="","",Summary!$D$9)</f>
        <v/>
      </c>
      <c r="F95" s="16" t="str">
        <f>IF('Bulk Order Details'!I105="","",_xlfn.XLOOKUP('Bulk Order Details'!I105,Size[Display],Size[Price]))</f>
        <v/>
      </c>
      <c r="G95" s="16" t="str">
        <f>IF('Bulk Order Details'!J105="","",_xlfn.XLOOKUP('Bulk Order Details'!J105,Length[Display],Length[Price]))</f>
        <v/>
      </c>
      <c r="H95" s="16" t="str">
        <f>IF('Bulk Order Details'!K105="","",_xlfn.XLOOKUP('Bulk Order Details'!K105,Collection[Display],Collection[Price]))</f>
        <v/>
      </c>
      <c r="I95" s="16" t="str">
        <f>IF('Bulk Order Details'!L105="","",_xlfn.XLOOKUP('Bulk Order Details'!L105,Sleeve[Display],Sleeve[Price]))</f>
        <v/>
      </c>
      <c r="J95" s="16" t="str">
        <f>IF('Bulk Order Details'!M105="","",_xlfn.XLOOKUP('Bulk Order Details'!M105,Collar[Display],Collar[Price]))</f>
        <v/>
      </c>
      <c r="K95" s="16" t="str">
        <f>IF('Bulk Order Details'!N105="","",_xlfn.XLOOKUP("Name",Name[Name],Name[Price]))</f>
        <v/>
      </c>
      <c r="L95" s="18" t="str">
        <f>IFERROR(IF('Bulk Order Details'!R105="","",IF(_xlfn.XLOOKUP('Bulk Order Details'!R105,Logos[Display],Logos[Use])="Flat",_xlfn.XLOOKUP('Bulk Order Details'!R105,Logos[Display],Logos[Flat]),ROUND(_xlfn.XLOOKUP('Bulk Order Details'!R105,Logos[Display],Logos[Pct])*$E95,2))),"")</f>
        <v/>
      </c>
      <c r="M95" s="22" t="str">
        <f>IFERROR(IF('Bulk Order Details'!S105="","",IF(_xlfn.XLOOKUP('Bulk Order Details'!S105,Chest[Display],Chest[Use])="Flat",_xlfn.XLOOKUP('Bulk Order Details'!S105,Chest[Display],Chest[Flat]),ROUND(_xlfn.XLOOKUP('Bulk Order Details'!S105,Chest[Display],Chest[Pct])*$E95,2))),"")</f>
        <v/>
      </c>
      <c r="N95" s="22" t="str">
        <f>IFERROR(IF('Bulk Order Details'!T105="","",IF(_xlfn.XLOOKUP('Bulk Order Details'!T105,Chest[Display],Chest[Use])="Flat",_xlfn.XLOOKUP('Bulk Order Details'!T105,Chest[Display],Chest[Flat]),ROUND(_xlfn.XLOOKUP('Bulk Order Details'!T105,Chest[Display],Chest[Pct])*$E95,2))),"")</f>
        <v/>
      </c>
      <c r="O95" s="22" t="str">
        <f>IFERROR(IF('Bulk Order Details'!U105="","",IF(_xlfn.XLOOKUP('Bulk Order Details'!U105,LeftSleeve[Display],LeftSleeve[Use])="Flat",_xlfn.XLOOKUP('Bulk Order Details'!U105,LeftSleeve[Display],LeftSleeve[Flat]),ROUND(_xlfn.XLOOKUP('Bulk Order Details'!U105,LeftSleeve[Display],LeftSleeve[Pct])*$E95,2))),"")</f>
        <v/>
      </c>
      <c r="P95" s="22" t="str">
        <f>IFERROR(IF('Bulk Order Details'!V105="","",IF(_xlfn.XLOOKUP('Bulk Order Details'!V105,RightSleeve[Display],RightSleeve[Use])="Flat",_xlfn.XLOOKUP('Bulk Order Details'!V105,RightSleeve[Display],RightSleeve[Flat]),ROUND(_xlfn.XLOOKUP('Bulk Order Details'!V105,RightSleeve[Display],RightSleeve[Pct])*$E95,2))),"")</f>
        <v/>
      </c>
      <c r="Q95" s="27" t="str">
        <f>IF('Bulk Order Details'!M105="","",SUM(F95:P95))</f>
        <v/>
      </c>
      <c r="R95" s="24" t="str">
        <f t="shared" si="6"/>
        <v/>
      </c>
      <c r="S95" s="23" t="str">
        <f>IFERROR(MIN(IF(Summary!$D$11="Yes",-J95,0),IF(H95&gt;0,-J95,0)),"")</f>
        <v/>
      </c>
      <c r="T95" s="16" t="str">
        <f>IFERROR(IF(Summary!$D$10="Yes",-K95,""),"")</f>
        <v/>
      </c>
      <c r="U95" s="18" t="str">
        <f>IFERROR(IF(Summary!$D$12="Yes",-L95,""),"")</f>
        <v/>
      </c>
      <c r="V95" s="25" t="str">
        <f>IF('Bulk Order Details'!M105="","",SUM(R95:U95))</f>
        <v/>
      </c>
      <c r="W95" s="36" t="str">
        <f>IF('Bulk Order Details'!M105="","",D95+Q95)</f>
        <v/>
      </c>
      <c r="X95" s="37" t="str">
        <f>IF('Bulk Order Details'!M105="","",D95+Q95+V95)</f>
        <v/>
      </c>
      <c r="Y95" s="168" t="str">
        <f t="shared" si="5"/>
        <v/>
      </c>
      <c r="Z95" s="173" t="str">
        <f>IF('Bulk Order Details'!M105="","",MAX(1,'Bulk Order Details'!G105))</f>
        <v/>
      </c>
      <c r="AA95" s="196" t="str">
        <f>IF(Pricing_Details[[#This Row],[Quantity]]="","",Pricing_Details[[#This Row],[Retail Price]]*Pricing_Details[[#This Row],[Quantity]])</f>
        <v/>
      </c>
      <c r="AB95" s="196" t="str">
        <f>IF(Pricing_Details[[#This Row],[Quantity]]="","",Pricing_Details[[#This Row],[Total Discount]]*Pricing_Details[[#This Row],[Quantity]])</f>
        <v/>
      </c>
      <c r="AC95" s="176" t="str">
        <f>IFERROR(ROUND(Pricing_Details[[#This Row],[Actual Price]]*Pricing_Details[[#This Row],[Quantity]],2),"")</f>
        <v/>
      </c>
      <c r="AE95" s="156" t="str">
        <f>IF('Bulk Order Details'!M105="","",VLOOKUP('Bulk Order Details'!K105,Collection[],3)&amp;VLOOKUP('Bulk Order Details'!M105,Collar[],4)&amp;VLOOKUP('Bulk Order Details'!L105,Sleeve[],4))</f>
        <v/>
      </c>
      <c r="AF95" s="156" t="str">
        <f>IF('Bulk Order Details'!M105="","",LOOKUP('Bulk Order Details'!H105,Cut[Display],Cut[Code])&amp;LOOKUP('Bulk Order Details'!I105,#REF!,#REF!)&amp;IF('Bulk Order Details'!J105="","",LOOKUP('Bulk Order Details'!J105,Length[Display],Length[Code])))</f>
        <v/>
      </c>
      <c r="AG95" s="156" t="str">
        <f>IF('Bulk Order Details'!M105="","",IF('Bulk Order Details'!F105="","",'Bulk Order Details'!F105))</f>
        <v/>
      </c>
      <c r="AH95" s="156" t="str">
        <f>IF('Bulk Order Details'!R105="","","-"&amp;LOOKUP('Bulk Order Details'!R105,#REF!,#REF!))</f>
        <v/>
      </c>
      <c r="AI95" s="156" t="str">
        <f>IF('Bulk Order Details'!S105="","","-"&amp;LOOKUP('Bulk Order Details'!S105,#REF!,#REF!))</f>
        <v/>
      </c>
      <c r="AJ95" s="156" t="str">
        <f>IF('Bulk Order Details'!T105="","","-"&amp;LOOKUP('Bulk Order Details'!T105,#REF!,#REF!))</f>
        <v/>
      </c>
      <c r="AK95" s="156" t="str">
        <f>IF('Bulk Order Details'!U105="","","-"&amp;LOOKUP('Bulk Order Details'!U105,#REF!,#REF!))</f>
        <v/>
      </c>
      <c r="AL95" s="156" t="str">
        <f>IF('Bulk Order Details'!V105="","","-"&amp;LOOKUP('Bulk Order Details'!V105,#REF!,#REF!))</f>
        <v/>
      </c>
      <c r="AM95" s="156" t="str">
        <f t="shared" si="7"/>
        <v/>
      </c>
      <c r="AN95" s="156" t="str">
        <f>IF('Bulk Order Details'!N105="","","Na-"&amp;'Bulk Order Details'!N105)</f>
        <v/>
      </c>
      <c r="AO95" s="156" t="str">
        <f>IF('Bulk Order Details'!Q105="","","Fo-"&amp;'Bulk Order Details'!Q105)</f>
        <v/>
      </c>
      <c r="AP95" s="156" t="str">
        <f t="shared" si="8"/>
        <v/>
      </c>
      <c r="AQ95" s="37" t="str">
        <f t="shared" si="9"/>
        <v/>
      </c>
    </row>
    <row r="96" spans="2:43" ht="15" customHeight="1" x14ac:dyDescent="0.2">
      <c r="B96" s="34">
        <f>'Bulk Order Details'!B106</f>
        <v>93</v>
      </c>
      <c r="C96" s="34" t="str">
        <f>IF('Bulk Order Details'!C106="","",'Bulk Order Details'!C106&amp;" "&amp;'Bulk Order Details'!D106)</f>
        <v/>
      </c>
      <c r="D96" s="31" t="str">
        <f>IF('Bulk Order Details'!M106="","",VLOOKUP(1,Price[],3))</f>
        <v/>
      </c>
      <c r="E96" s="29" t="str">
        <f>IF('Bulk Order Details'!M106="","",Summary!$D$9)</f>
        <v/>
      </c>
      <c r="F96" s="16" t="str">
        <f>IF('Bulk Order Details'!I106="","",_xlfn.XLOOKUP('Bulk Order Details'!I106,Size[Display],Size[Price]))</f>
        <v/>
      </c>
      <c r="G96" s="16" t="str">
        <f>IF('Bulk Order Details'!J106="","",_xlfn.XLOOKUP('Bulk Order Details'!J106,Length[Display],Length[Price]))</f>
        <v/>
      </c>
      <c r="H96" s="16" t="str">
        <f>IF('Bulk Order Details'!K106="","",_xlfn.XLOOKUP('Bulk Order Details'!K106,Collection[Display],Collection[Price]))</f>
        <v/>
      </c>
      <c r="I96" s="16" t="str">
        <f>IF('Bulk Order Details'!L106="","",_xlfn.XLOOKUP('Bulk Order Details'!L106,Sleeve[Display],Sleeve[Price]))</f>
        <v/>
      </c>
      <c r="J96" s="16" t="str">
        <f>IF('Bulk Order Details'!M106="","",_xlfn.XLOOKUP('Bulk Order Details'!M106,Collar[Display],Collar[Price]))</f>
        <v/>
      </c>
      <c r="K96" s="16" t="str">
        <f>IF('Bulk Order Details'!N106="","",_xlfn.XLOOKUP("Name",Name[Name],Name[Price]))</f>
        <v/>
      </c>
      <c r="L96" s="18" t="str">
        <f>IFERROR(IF('Bulk Order Details'!R106="","",IF(_xlfn.XLOOKUP('Bulk Order Details'!R106,Logos[Display],Logos[Use])="Flat",_xlfn.XLOOKUP('Bulk Order Details'!R106,Logos[Display],Logos[Flat]),ROUND(_xlfn.XLOOKUP('Bulk Order Details'!R106,Logos[Display],Logos[Pct])*$E96,2))),"")</f>
        <v/>
      </c>
      <c r="M96" s="22" t="str">
        <f>IFERROR(IF('Bulk Order Details'!S106="","",IF(_xlfn.XLOOKUP('Bulk Order Details'!S106,Chest[Display],Chest[Use])="Flat",_xlfn.XLOOKUP('Bulk Order Details'!S106,Chest[Display],Chest[Flat]),ROUND(_xlfn.XLOOKUP('Bulk Order Details'!S106,Chest[Display],Chest[Pct])*$E96,2))),"")</f>
        <v/>
      </c>
      <c r="N96" s="22" t="str">
        <f>IFERROR(IF('Bulk Order Details'!T106="","",IF(_xlfn.XLOOKUP('Bulk Order Details'!T106,Chest[Display],Chest[Use])="Flat",_xlfn.XLOOKUP('Bulk Order Details'!T106,Chest[Display],Chest[Flat]),ROUND(_xlfn.XLOOKUP('Bulk Order Details'!T106,Chest[Display],Chest[Pct])*$E96,2))),"")</f>
        <v/>
      </c>
      <c r="O96" s="22" t="str">
        <f>IFERROR(IF('Bulk Order Details'!U106="","",IF(_xlfn.XLOOKUP('Bulk Order Details'!U106,LeftSleeve[Display],LeftSleeve[Use])="Flat",_xlfn.XLOOKUP('Bulk Order Details'!U106,LeftSleeve[Display],LeftSleeve[Flat]),ROUND(_xlfn.XLOOKUP('Bulk Order Details'!U106,LeftSleeve[Display],LeftSleeve[Pct])*$E96,2))),"")</f>
        <v/>
      </c>
      <c r="P96" s="22" t="str">
        <f>IFERROR(IF('Bulk Order Details'!V106="","",IF(_xlfn.XLOOKUP('Bulk Order Details'!V106,RightSleeve[Display],RightSleeve[Use])="Flat",_xlfn.XLOOKUP('Bulk Order Details'!V106,RightSleeve[Display],RightSleeve[Flat]),ROUND(_xlfn.XLOOKUP('Bulk Order Details'!V106,RightSleeve[Display],RightSleeve[Pct])*$E96,2))),"")</f>
        <v/>
      </c>
      <c r="Q96" s="27" t="str">
        <f>IF('Bulk Order Details'!M106="","",SUM(F96:P96))</f>
        <v/>
      </c>
      <c r="R96" s="24" t="str">
        <f t="shared" si="6"/>
        <v/>
      </c>
      <c r="S96" s="23" t="str">
        <f>IFERROR(MIN(IF(Summary!$D$11="Yes",-J96,0),IF(H96&gt;0,-J96,0)),"")</f>
        <v/>
      </c>
      <c r="T96" s="16" t="str">
        <f>IFERROR(IF(Summary!$D$10="Yes",-K96,""),"")</f>
        <v/>
      </c>
      <c r="U96" s="18" t="str">
        <f>IFERROR(IF(Summary!$D$12="Yes",-L96,""),"")</f>
        <v/>
      </c>
      <c r="V96" s="25" t="str">
        <f>IF('Bulk Order Details'!M106="","",SUM(R96:U96))</f>
        <v/>
      </c>
      <c r="W96" s="36" t="str">
        <f>IF('Bulk Order Details'!M106="","",D96+Q96)</f>
        <v/>
      </c>
      <c r="X96" s="37" t="str">
        <f>IF('Bulk Order Details'!M106="","",D96+Q96+V96)</f>
        <v/>
      </c>
      <c r="Y96" s="168" t="str">
        <f t="shared" si="5"/>
        <v/>
      </c>
      <c r="Z96" s="173" t="str">
        <f>IF('Bulk Order Details'!M106="","",MAX(1,'Bulk Order Details'!G106))</f>
        <v/>
      </c>
      <c r="AA96" s="196" t="str">
        <f>IF(Pricing_Details[[#This Row],[Quantity]]="","",Pricing_Details[[#This Row],[Retail Price]]*Pricing_Details[[#This Row],[Quantity]])</f>
        <v/>
      </c>
      <c r="AB96" s="196" t="str">
        <f>IF(Pricing_Details[[#This Row],[Quantity]]="","",Pricing_Details[[#This Row],[Total Discount]]*Pricing_Details[[#This Row],[Quantity]])</f>
        <v/>
      </c>
      <c r="AC96" s="176" t="str">
        <f>IFERROR(ROUND(Pricing_Details[[#This Row],[Actual Price]]*Pricing_Details[[#This Row],[Quantity]],2),"")</f>
        <v/>
      </c>
      <c r="AE96" s="156" t="str">
        <f>IF('Bulk Order Details'!M106="","",VLOOKUP('Bulk Order Details'!K106,Collection[],3)&amp;VLOOKUP('Bulk Order Details'!M106,Collar[],4)&amp;VLOOKUP('Bulk Order Details'!L106,Sleeve[],4))</f>
        <v/>
      </c>
      <c r="AF96" s="156" t="str">
        <f>IF('Bulk Order Details'!M106="","",LOOKUP('Bulk Order Details'!H106,Cut[Display],Cut[Code])&amp;LOOKUP('Bulk Order Details'!I106,#REF!,#REF!)&amp;IF('Bulk Order Details'!J106="","",LOOKUP('Bulk Order Details'!J106,Length[Display],Length[Code])))</f>
        <v/>
      </c>
      <c r="AG96" s="156" t="str">
        <f>IF('Bulk Order Details'!M106="","",IF('Bulk Order Details'!F106="","",'Bulk Order Details'!F106))</f>
        <v/>
      </c>
      <c r="AH96" s="156" t="str">
        <f>IF('Bulk Order Details'!R106="","","-"&amp;LOOKUP('Bulk Order Details'!R106,#REF!,#REF!))</f>
        <v/>
      </c>
      <c r="AI96" s="156" t="str">
        <f>IF('Bulk Order Details'!S106="","","-"&amp;LOOKUP('Bulk Order Details'!S106,#REF!,#REF!))</f>
        <v/>
      </c>
      <c r="AJ96" s="156" t="str">
        <f>IF('Bulk Order Details'!T106="","","-"&amp;LOOKUP('Bulk Order Details'!T106,#REF!,#REF!))</f>
        <v/>
      </c>
      <c r="AK96" s="156" t="str">
        <f>IF('Bulk Order Details'!U106="","","-"&amp;LOOKUP('Bulk Order Details'!U106,#REF!,#REF!))</f>
        <v/>
      </c>
      <c r="AL96" s="156" t="str">
        <f>IF('Bulk Order Details'!V106="","","-"&amp;LOOKUP('Bulk Order Details'!V106,#REF!,#REF!))</f>
        <v/>
      </c>
      <c r="AM96" s="156" t="str">
        <f t="shared" si="7"/>
        <v/>
      </c>
      <c r="AN96" s="156" t="str">
        <f>IF('Bulk Order Details'!N106="","","Na-"&amp;'Bulk Order Details'!N106)</f>
        <v/>
      </c>
      <c r="AO96" s="156" t="str">
        <f>IF('Bulk Order Details'!Q106="","","Fo-"&amp;'Bulk Order Details'!Q106)</f>
        <v/>
      </c>
      <c r="AP96" s="156" t="str">
        <f t="shared" si="8"/>
        <v/>
      </c>
      <c r="AQ96" s="37" t="str">
        <f t="shared" si="9"/>
        <v/>
      </c>
    </row>
    <row r="97" spans="2:43" ht="15" customHeight="1" x14ac:dyDescent="0.2">
      <c r="B97" s="34">
        <f>'Bulk Order Details'!B107</f>
        <v>94</v>
      </c>
      <c r="C97" s="34" t="str">
        <f>IF('Bulk Order Details'!C107="","",'Bulk Order Details'!C107&amp;" "&amp;'Bulk Order Details'!D107)</f>
        <v/>
      </c>
      <c r="D97" s="31" t="str">
        <f>IF('Bulk Order Details'!M107="","",VLOOKUP(1,Price[],3))</f>
        <v/>
      </c>
      <c r="E97" s="29" t="str">
        <f>IF('Bulk Order Details'!M107="","",Summary!$D$9)</f>
        <v/>
      </c>
      <c r="F97" s="16" t="str">
        <f>IF('Bulk Order Details'!I107="","",_xlfn.XLOOKUP('Bulk Order Details'!I107,Size[Display],Size[Price]))</f>
        <v/>
      </c>
      <c r="G97" s="16" t="str">
        <f>IF('Bulk Order Details'!J107="","",_xlfn.XLOOKUP('Bulk Order Details'!J107,Length[Display],Length[Price]))</f>
        <v/>
      </c>
      <c r="H97" s="16" t="str">
        <f>IF('Bulk Order Details'!K107="","",_xlfn.XLOOKUP('Bulk Order Details'!K107,Collection[Display],Collection[Price]))</f>
        <v/>
      </c>
      <c r="I97" s="16" t="str">
        <f>IF('Bulk Order Details'!L107="","",_xlfn.XLOOKUP('Bulk Order Details'!L107,Sleeve[Display],Sleeve[Price]))</f>
        <v/>
      </c>
      <c r="J97" s="16" t="str">
        <f>IF('Bulk Order Details'!M107="","",_xlfn.XLOOKUP('Bulk Order Details'!M107,Collar[Display],Collar[Price]))</f>
        <v/>
      </c>
      <c r="K97" s="16" t="str">
        <f>IF('Bulk Order Details'!N107="","",_xlfn.XLOOKUP("Name",Name[Name],Name[Price]))</f>
        <v/>
      </c>
      <c r="L97" s="18" t="str">
        <f>IFERROR(IF('Bulk Order Details'!R107="","",IF(_xlfn.XLOOKUP('Bulk Order Details'!R107,Logos[Display],Logos[Use])="Flat",_xlfn.XLOOKUP('Bulk Order Details'!R107,Logos[Display],Logos[Flat]),ROUND(_xlfn.XLOOKUP('Bulk Order Details'!R107,Logos[Display],Logos[Pct])*$E97,2))),"")</f>
        <v/>
      </c>
      <c r="M97" s="22" t="str">
        <f>IFERROR(IF('Bulk Order Details'!S107="","",IF(_xlfn.XLOOKUP('Bulk Order Details'!S107,Chest[Display],Chest[Use])="Flat",_xlfn.XLOOKUP('Bulk Order Details'!S107,Chest[Display],Chest[Flat]),ROUND(_xlfn.XLOOKUP('Bulk Order Details'!S107,Chest[Display],Chest[Pct])*$E97,2))),"")</f>
        <v/>
      </c>
      <c r="N97" s="22" t="str">
        <f>IFERROR(IF('Bulk Order Details'!T107="","",IF(_xlfn.XLOOKUP('Bulk Order Details'!T107,Chest[Display],Chest[Use])="Flat",_xlfn.XLOOKUP('Bulk Order Details'!T107,Chest[Display],Chest[Flat]),ROUND(_xlfn.XLOOKUP('Bulk Order Details'!T107,Chest[Display],Chest[Pct])*$E97,2))),"")</f>
        <v/>
      </c>
      <c r="O97" s="22" t="str">
        <f>IFERROR(IF('Bulk Order Details'!U107="","",IF(_xlfn.XLOOKUP('Bulk Order Details'!U107,LeftSleeve[Display],LeftSleeve[Use])="Flat",_xlfn.XLOOKUP('Bulk Order Details'!U107,LeftSleeve[Display],LeftSleeve[Flat]),ROUND(_xlfn.XLOOKUP('Bulk Order Details'!U107,LeftSleeve[Display],LeftSleeve[Pct])*$E97,2))),"")</f>
        <v/>
      </c>
      <c r="P97" s="22" t="str">
        <f>IFERROR(IF('Bulk Order Details'!V107="","",IF(_xlfn.XLOOKUP('Bulk Order Details'!V107,RightSleeve[Display],RightSleeve[Use])="Flat",_xlfn.XLOOKUP('Bulk Order Details'!V107,RightSleeve[Display],RightSleeve[Flat]),ROUND(_xlfn.XLOOKUP('Bulk Order Details'!V107,RightSleeve[Display],RightSleeve[Pct])*$E97,2))),"")</f>
        <v/>
      </c>
      <c r="Q97" s="27" t="str">
        <f>IF('Bulk Order Details'!M107="","",SUM(F97:P97))</f>
        <v/>
      </c>
      <c r="R97" s="24" t="str">
        <f t="shared" si="6"/>
        <v/>
      </c>
      <c r="S97" s="23" t="str">
        <f>IFERROR(MIN(IF(Summary!$D$11="Yes",-J97,0),IF(H97&gt;0,-J97,0)),"")</f>
        <v/>
      </c>
      <c r="T97" s="16" t="str">
        <f>IFERROR(IF(Summary!$D$10="Yes",-K97,""),"")</f>
        <v/>
      </c>
      <c r="U97" s="18" t="str">
        <f>IFERROR(IF(Summary!$D$12="Yes",-L97,""),"")</f>
        <v/>
      </c>
      <c r="V97" s="25" t="str">
        <f>IF('Bulk Order Details'!M107="","",SUM(R97:U97))</f>
        <v/>
      </c>
      <c r="W97" s="36" t="str">
        <f>IF('Bulk Order Details'!M107="","",D97+Q97)</f>
        <v/>
      </c>
      <c r="X97" s="37" t="str">
        <f>IF('Bulk Order Details'!M107="","",D97+Q97+V97)</f>
        <v/>
      </c>
      <c r="Y97" s="168" t="str">
        <f t="shared" si="5"/>
        <v/>
      </c>
      <c r="Z97" s="173" t="str">
        <f>IF('Bulk Order Details'!M107="","",MAX(1,'Bulk Order Details'!G107))</f>
        <v/>
      </c>
      <c r="AA97" s="196" t="str">
        <f>IF(Pricing_Details[[#This Row],[Quantity]]="","",Pricing_Details[[#This Row],[Retail Price]]*Pricing_Details[[#This Row],[Quantity]])</f>
        <v/>
      </c>
      <c r="AB97" s="196" t="str">
        <f>IF(Pricing_Details[[#This Row],[Quantity]]="","",Pricing_Details[[#This Row],[Total Discount]]*Pricing_Details[[#This Row],[Quantity]])</f>
        <v/>
      </c>
      <c r="AC97" s="176" t="str">
        <f>IFERROR(ROUND(Pricing_Details[[#This Row],[Actual Price]]*Pricing_Details[[#This Row],[Quantity]],2),"")</f>
        <v/>
      </c>
      <c r="AE97" s="156" t="str">
        <f>IF('Bulk Order Details'!M107="","",VLOOKUP('Bulk Order Details'!K107,Collection[],3)&amp;VLOOKUP('Bulk Order Details'!M107,Collar[],4)&amp;VLOOKUP('Bulk Order Details'!L107,Sleeve[],4))</f>
        <v/>
      </c>
      <c r="AF97" s="156" t="str">
        <f>IF('Bulk Order Details'!M107="","",LOOKUP('Bulk Order Details'!H107,Cut[Display],Cut[Code])&amp;LOOKUP('Bulk Order Details'!I107,#REF!,#REF!)&amp;IF('Bulk Order Details'!J107="","",LOOKUP('Bulk Order Details'!J107,Length[Display],Length[Code])))</f>
        <v/>
      </c>
      <c r="AG97" s="156" t="str">
        <f>IF('Bulk Order Details'!M107="","",IF('Bulk Order Details'!F107="","",'Bulk Order Details'!F107))</f>
        <v/>
      </c>
      <c r="AH97" s="156" t="str">
        <f>IF('Bulk Order Details'!R107="","","-"&amp;LOOKUP('Bulk Order Details'!R107,#REF!,#REF!))</f>
        <v/>
      </c>
      <c r="AI97" s="156" t="str">
        <f>IF('Bulk Order Details'!S107="","","-"&amp;LOOKUP('Bulk Order Details'!S107,#REF!,#REF!))</f>
        <v/>
      </c>
      <c r="AJ97" s="156" t="str">
        <f>IF('Bulk Order Details'!T107="","","-"&amp;LOOKUP('Bulk Order Details'!T107,#REF!,#REF!))</f>
        <v/>
      </c>
      <c r="AK97" s="156" t="str">
        <f>IF('Bulk Order Details'!U107="","","-"&amp;LOOKUP('Bulk Order Details'!U107,#REF!,#REF!))</f>
        <v/>
      </c>
      <c r="AL97" s="156" t="str">
        <f>IF('Bulk Order Details'!V107="","","-"&amp;LOOKUP('Bulk Order Details'!V107,#REF!,#REF!))</f>
        <v/>
      </c>
      <c r="AM97" s="156" t="str">
        <f t="shared" si="7"/>
        <v/>
      </c>
      <c r="AN97" s="156" t="str">
        <f>IF('Bulk Order Details'!N107="","","Na-"&amp;'Bulk Order Details'!N107)</f>
        <v/>
      </c>
      <c r="AO97" s="156" t="str">
        <f>IF('Bulk Order Details'!Q107="","","Fo-"&amp;'Bulk Order Details'!Q107)</f>
        <v/>
      </c>
      <c r="AP97" s="156" t="str">
        <f t="shared" si="8"/>
        <v/>
      </c>
      <c r="AQ97" s="37" t="str">
        <f t="shared" si="9"/>
        <v/>
      </c>
    </row>
    <row r="98" spans="2:43" ht="15" customHeight="1" x14ac:dyDescent="0.2">
      <c r="B98" s="34">
        <f>'Bulk Order Details'!B108</f>
        <v>95</v>
      </c>
      <c r="C98" s="34" t="str">
        <f>IF('Bulk Order Details'!C108="","",'Bulk Order Details'!C108&amp;" "&amp;'Bulk Order Details'!D108)</f>
        <v/>
      </c>
      <c r="D98" s="31" t="str">
        <f>IF('Bulk Order Details'!M108="","",VLOOKUP(1,Price[],3))</f>
        <v/>
      </c>
      <c r="E98" s="29" t="str">
        <f>IF('Bulk Order Details'!M108="","",Summary!$D$9)</f>
        <v/>
      </c>
      <c r="F98" s="16" t="str">
        <f>IF('Bulk Order Details'!I108="","",_xlfn.XLOOKUP('Bulk Order Details'!I108,Size[Display],Size[Price]))</f>
        <v/>
      </c>
      <c r="G98" s="16" t="str">
        <f>IF('Bulk Order Details'!J108="","",_xlfn.XLOOKUP('Bulk Order Details'!J108,Length[Display],Length[Price]))</f>
        <v/>
      </c>
      <c r="H98" s="16" t="str">
        <f>IF('Bulk Order Details'!K108="","",_xlfn.XLOOKUP('Bulk Order Details'!K108,Collection[Display],Collection[Price]))</f>
        <v/>
      </c>
      <c r="I98" s="16" t="str">
        <f>IF('Bulk Order Details'!L108="","",_xlfn.XLOOKUP('Bulk Order Details'!L108,Sleeve[Display],Sleeve[Price]))</f>
        <v/>
      </c>
      <c r="J98" s="16" t="str">
        <f>IF('Bulk Order Details'!M108="","",_xlfn.XLOOKUP('Bulk Order Details'!M108,Collar[Display],Collar[Price]))</f>
        <v/>
      </c>
      <c r="K98" s="16" t="str">
        <f>IF('Bulk Order Details'!N108="","",_xlfn.XLOOKUP("Name",Name[Name],Name[Price]))</f>
        <v/>
      </c>
      <c r="L98" s="18" t="str">
        <f>IFERROR(IF('Bulk Order Details'!R108="","",IF(_xlfn.XLOOKUP('Bulk Order Details'!R108,Logos[Display],Logos[Use])="Flat",_xlfn.XLOOKUP('Bulk Order Details'!R108,Logos[Display],Logos[Flat]),ROUND(_xlfn.XLOOKUP('Bulk Order Details'!R108,Logos[Display],Logos[Pct])*$E98,2))),"")</f>
        <v/>
      </c>
      <c r="M98" s="22" t="str">
        <f>IFERROR(IF('Bulk Order Details'!S108="","",IF(_xlfn.XLOOKUP('Bulk Order Details'!S108,Chest[Display],Chest[Use])="Flat",_xlfn.XLOOKUP('Bulk Order Details'!S108,Chest[Display],Chest[Flat]),ROUND(_xlfn.XLOOKUP('Bulk Order Details'!S108,Chest[Display],Chest[Pct])*$E98,2))),"")</f>
        <v/>
      </c>
      <c r="N98" s="22" t="str">
        <f>IFERROR(IF('Bulk Order Details'!T108="","",IF(_xlfn.XLOOKUP('Bulk Order Details'!T108,Chest[Display],Chest[Use])="Flat",_xlfn.XLOOKUP('Bulk Order Details'!T108,Chest[Display],Chest[Flat]),ROUND(_xlfn.XLOOKUP('Bulk Order Details'!T108,Chest[Display],Chest[Pct])*$E98,2))),"")</f>
        <v/>
      </c>
      <c r="O98" s="22" t="str">
        <f>IFERROR(IF('Bulk Order Details'!U108="","",IF(_xlfn.XLOOKUP('Bulk Order Details'!U108,LeftSleeve[Display],LeftSleeve[Use])="Flat",_xlfn.XLOOKUP('Bulk Order Details'!U108,LeftSleeve[Display],LeftSleeve[Flat]),ROUND(_xlfn.XLOOKUP('Bulk Order Details'!U108,LeftSleeve[Display],LeftSleeve[Pct])*$E98,2))),"")</f>
        <v/>
      </c>
      <c r="P98" s="22" t="str">
        <f>IFERROR(IF('Bulk Order Details'!V108="","",IF(_xlfn.XLOOKUP('Bulk Order Details'!V108,RightSleeve[Display],RightSleeve[Use])="Flat",_xlfn.XLOOKUP('Bulk Order Details'!V108,RightSleeve[Display],RightSleeve[Flat]),ROUND(_xlfn.XLOOKUP('Bulk Order Details'!V108,RightSleeve[Display],RightSleeve[Pct])*$E98,2))),"")</f>
        <v/>
      </c>
      <c r="Q98" s="27" t="str">
        <f>IF('Bulk Order Details'!M108="","",SUM(F98:P98))</f>
        <v/>
      </c>
      <c r="R98" s="24" t="str">
        <f t="shared" si="6"/>
        <v/>
      </c>
      <c r="S98" s="23" t="str">
        <f>IFERROR(MIN(IF(Summary!$D$11="Yes",-J98,0),IF(H98&gt;0,-J98,0)),"")</f>
        <v/>
      </c>
      <c r="T98" s="16" t="str">
        <f>IFERROR(IF(Summary!$D$10="Yes",-K98,""),"")</f>
        <v/>
      </c>
      <c r="U98" s="18" t="str">
        <f>IFERROR(IF(Summary!$D$12="Yes",-L98,""),"")</f>
        <v/>
      </c>
      <c r="V98" s="25" t="str">
        <f>IF('Bulk Order Details'!M108="","",SUM(R98:U98))</f>
        <v/>
      </c>
      <c r="W98" s="36" t="str">
        <f>IF('Bulk Order Details'!M108="","",D98+Q98)</f>
        <v/>
      </c>
      <c r="X98" s="37" t="str">
        <f>IF('Bulk Order Details'!M108="","",D98+Q98+V98)</f>
        <v/>
      </c>
      <c r="Y98" s="168" t="str">
        <f t="shared" si="5"/>
        <v/>
      </c>
      <c r="Z98" s="173" t="str">
        <f>IF('Bulk Order Details'!M108="","",MAX(1,'Bulk Order Details'!G108))</f>
        <v/>
      </c>
      <c r="AA98" s="196" t="str">
        <f>IF(Pricing_Details[[#This Row],[Quantity]]="","",Pricing_Details[[#This Row],[Retail Price]]*Pricing_Details[[#This Row],[Quantity]])</f>
        <v/>
      </c>
      <c r="AB98" s="196" t="str">
        <f>IF(Pricing_Details[[#This Row],[Quantity]]="","",Pricing_Details[[#This Row],[Total Discount]]*Pricing_Details[[#This Row],[Quantity]])</f>
        <v/>
      </c>
      <c r="AC98" s="176" t="str">
        <f>IFERROR(ROUND(Pricing_Details[[#This Row],[Actual Price]]*Pricing_Details[[#This Row],[Quantity]],2),"")</f>
        <v/>
      </c>
      <c r="AE98" s="156" t="str">
        <f>IF('Bulk Order Details'!M108="","",VLOOKUP('Bulk Order Details'!K108,Collection[],3)&amp;VLOOKUP('Bulk Order Details'!M108,Collar[],4)&amp;VLOOKUP('Bulk Order Details'!L108,Sleeve[],4))</f>
        <v/>
      </c>
      <c r="AF98" s="156" t="str">
        <f>IF('Bulk Order Details'!M108="","",LOOKUP('Bulk Order Details'!H108,Cut[Display],Cut[Code])&amp;LOOKUP('Bulk Order Details'!I108,#REF!,#REF!)&amp;IF('Bulk Order Details'!J108="","",LOOKUP('Bulk Order Details'!J108,Length[Display],Length[Code])))</f>
        <v/>
      </c>
      <c r="AG98" s="156" t="str">
        <f>IF('Bulk Order Details'!M108="","",IF('Bulk Order Details'!F108="","",'Bulk Order Details'!F108))</f>
        <v/>
      </c>
      <c r="AH98" s="156" t="str">
        <f>IF('Bulk Order Details'!R108="","","-"&amp;LOOKUP('Bulk Order Details'!R108,#REF!,#REF!))</f>
        <v/>
      </c>
      <c r="AI98" s="156" t="str">
        <f>IF('Bulk Order Details'!S108="","","-"&amp;LOOKUP('Bulk Order Details'!S108,#REF!,#REF!))</f>
        <v/>
      </c>
      <c r="AJ98" s="156" t="str">
        <f>IF('Bulk Order Details'!T108="","","-"&amp;LOOKUP('Bulk Order Details'!T108,#REF!,#REF!))</f>
        <v/>
      </c>
      <c r="AK98" s="156" t="str">
        <f>IF('Bulk Order Details'!U108="","","-"&amp;LOOKUP('Bulk Order Details'!U108,#REF!,#REF!))</f>
        <v/>
      </c>
      <c r="AL98" s="156" t="str">
        <f>IF('Bulk Order Details'!V108="","","-"&amp;LOOKUP('Bulk Order Details'!V108,#REF!,#REF!))</f>
        <v/>
      </c>
      <c r="AM98" s="156" t="str">
        <f t="shared" si="7"/>
        <v/>
      </c>
      <c r="AN98" s="156" t="str">
        <f>IF('Bulk Order Details'!N108="","","Na-"&amp;'Bulk Order Details'!N108)</f>
        <v/>
      </c>
      <c r="AO98" s="156" t="str">
        <f>IF('Bulk Order Details'!Q108="","","Fo-"&amp;'Bulk Order Details'!Q108)</f>
        <v/>
      </c>
      <c r="AP98" s="156" t="str">
        <f t="shared" si="8"/>
        <v/>
      </c>
      <c r="AQ98" s="37" t="str">
        <f t="shared" si="9"/>
        <v/>
      </c>
    </row>
    <row r="99" spans="2:43" ht="15" customHeight="1" x14ac:dyDescent="0.2">
      <c r="B99" s="34">
        <f>'Bulk Order Details'!B109</f>
        <v>96</v>
      </c>
      <c r="C99" s="34" t="str">
        <f>IF('Bulk Order Details'!C109="","",'Bulk Order Details'!C109&amp;" "&amp;'Bulk Order Details'!D109)</f>
        <v/>
      </c>
      <c r="D99" s="31" t="str">
        <f>IF('Bulk Order Details'!M109="","",VLOOKUP(1,Price[],3))</f>
        <v/>
      </c>
      <c r="E99" s="29" t="str">
        <f>IF('Bulk Order Details'!M109="","",Summary!$D$9)</f>
        <v/>
      </c>
      <c r="F99" s="16" t="str">
        <f>IF('Bulk Order Details'!I109="","",_xlfn.XLOOKUP('Bulk Order Details'!I109,Size[Display],Size[Price]))</f>
        <v/>
      </c>
      <c r="G99" s="16" t="str">
        <f>IF('Bulk Order Details'!J109="","",_xlfn.XLOOKUP('Bulk Order Details'!J109,Length[Display],Length[Price]))</f>
        <v/>
      </c>
      <c r="H99" s="16" t="str">
        <f>IF('Bulk Order Details'!K109="","",_xlfn.XLOOKUP('Bulk Order Details'!K109,Collection[Display],Collection[Price]))</f>
        <v/>
      </c>
      <c r="I99" s="16" t="str">
        <f>IF('Bulk Order Details'!L109="","",_xlfn.XLOOKUP('Bulk Order Details'!L109,Sleeve[Display],Sleeve[Price]))</f>
        <v/>
      </c>
      <c r="J99" s="16" t="str">
        <f>IF('Bulk Order Details'!M109="","",_xlfn.XLOOKUP('Bulk Order Details'!M109,Collar[Display],Collar[Price]))</f>
        <v/>
      </c>
      <c r="K99" s="16" t="str">
        <f>IF('Bulk Order Details'!N109="","",_xlfn.XLOOKUP("Name",Name[Name],Name[Price]))</f>
        <v/>
      </c>
      <c r="L99" s="18" t="str">
        <f>IFERROR(IF('Bulk Order Details'!R109="","",IF(_xlfn.XLOOKUP('Bulk Order Details'!R109,Logos[Display],Logos[Use])="Flat",_xlfn.XLOOKUP('Bulk Order Details'!R109,Logos[Display],Logos[Flat]),ROUND(_xlfn.XLOOKUP('Bulk Order Details'!R109,Logos[Display],Logos[Pct])*$E99,2))),"")</f>
        <v/>
      </c>
      <c r="M99" s="22" t="str">
        <f>IFERROR(IF('Bulk Order Details'!S109="","",IF(_xlfn.XLOOKUP('Bulk Order Details'!S109,Chest[Display],Chest[Use])="Flat",_xlfn.XLOOKUP('Bulk Order Details'!S109,Chest[Display],Chest[Flat]),ROUND(_xlfn.XLOOKUP('Bulk Order Details'!S109,Chest[Display],Chest[Pct])*$E99,2))),"")</f>
        <v/>
      </c>
      <c r="N99" s="22" t="str">
        <f>IFERROR(IF('Bulk Order Details'!T109="","",IF(_xlfn.XLOOKUP('Bulk Order Details'!T109,Chest[Display],Chest[Use])="Flat",_xlfn.XLOOKUP('Bulk Order Details'!T109,Chest[Display],Chest[Flat]),ROUND(_xlfn.XLOOKUP('Bulk Order Details'!T109,Chest[Display],Chest[Pct])*$E99,2))),"")</f>
        <v/>
      </c>
      <c r="O99" s="22" t="str">
        <f>IFERROR(IF('Bulk Order Details'!U109="","",IF(_xlfn.XLOOKUP('Bulk Order Details'!U109,LeftSleeve[Display],LeftSleeve[Use])="Flat",_xlfn.XLOOKUP('Bulk Order Details'!U109,LeftSleeve[Display],LeftSleeve[Flat]),ROUND(_xlfn.XLOOKUP('Bulk Order Details'!U109,LeftSleeve[Display],LeftSleeve[Pct])*$E99,2))),"")</f>
        <v/>
      </c>
      <c r="P99" s="22" t="str">
        <f>IFERROR(IF('Bulk Order Details'!V109="","",IF(_xlfn.XLOOKUP('Bulk Order Details'!V109,RightSleeve[Display],RightSleeve[Use])="Flat",_xlfn.XLOOKUP('Bulk Order Details'!V109,RightSleeve[Display],RightSleeve[Flat]),ROUND(_xlfn.XLOOKUP('Bulk Order Details'!V109,RightSleeve[Display],RightSleeve[Pct])*$E99,2))),"")</f>
        <v/>
      </c>
      <c r="Q99" s="27" t="str">
        <f>IF('Bulk Order Details'!M109="","",SUM(F99:P99))</f>
        <v/>
      </c>
      <c r="R99" s="24" t="str">
        <f t="shared" si="6"/>
        <v/>
      </c>
      <c r="S99" s="23" t="str">
        <f>IFERROR(MIN(IF(Summary!$D$11="Yes",-J99,0),IF(H99&gt;0,-J99,0)),"")</f>
        <v/>
      </c>
      <c r="T99" s="16" t="str">
        <f>IFERROR(IF(Summary!$D$10="Yes",-K99,""),"")</f>
        <v/>
      </c>
      <c r="U99" s="18" t="str">
        <f>IFERROR(IF(Summary!$D$12="Yes",-L99,""),"")</f>
        <v/>
      </c>
      <c r="V99" s="25" t="str">
        <f>IF('Bulk Order Details'!M109="","",SUM(R99:U99))</f>
        <v/>
      </c>
      <c r="W99" s="36" t="str">
        <f>IF('Bulk Order Details'!M109="","",D99+Q99)</f>
        <v/>
      </c>
      <c r="X99" s="37" t="str">
        <f>IF('Bulk Order Details'!M109="","",D99+Q99+V99)</f>
        <v/>
      </c>
      <c r="Y99" s="168" t="str">
        <f t="shared" si="5"/>
        <v/>
      </c>
      <c r="Z99" s="173" t="str">
        <f>IF('Bulk Order Details'!M109="","",MAX(1,'Bulk Order Details'!G109))</f>
        <v/>
      </c>
      <c r="AA99" s="196" t="str">
        <f>IF(Pricing_Details[[#This Row],[Quantity]]="","",Pricing_Details[[#This Row],[Retail Price]]*Pricing_Details[[#This Row],[Quantity]])</f>
        <v/>
      </c>
      <c r="AB99" s="196" t="str">
        <f>IF(Pricing_Details[[#This Row],[Quantity]]="","",Pricing_Details[[#This Row],[Total Discount]]*Pricing_Details[[#This Row],[Quantity]])</f>
        <v/>
      </c>
      <c r="AC99" s="176" t="str">
        <f>IFERROR(ROUND(Pricing_Details[[#This Row],[Actual Price]]*Pricing_Details[[#This Row],[Quantity]],2),"")</f>
        <v/>
      </c>
      <c r="AE99" s="156" t="str">
        <f>IF('Bulk Order Details'!M109="","",VLOOKUP('Bulk Order Details'!K109,Collection[],3)&amp;VLOOKUP('Bulk Order Details'!M109,Collar[],4)&amp;VLOOKUP('Bulk Order Details'!L109,Sleeve[],4))</f>
        <v/>
      </c>
      <c r="AF99" s="156" t="str">
        <f>IF('Bulk Order Details'!M109="","",LOOKUP('Bulk Order Details'!H109,Cut[Display],Cut[Code])&amp;LOOKUP('Bulk Order Details'!I109,#REF!,#REF!)&amp;IF('Bulk Order Details'!J109="","",LOOKUP('Bulk Order Details'!J109,Length[Display],Length[Code])))</f>
        <v/>
      </c>
      <c r="AG99" s="156" t="str">
        <f>IF('Bulk Order Details'!M109="","",IF('Bulk Order Details'!F109="","",'Bulk Order Details'!F109))</f>
        <v/>
      </c>
      <c r="AH99" s="156" t="str">
        <f>IF('Bulk Order Details'!R109="","","-"&amp;LOOKUP('Bulk Order Details'!R109,#REF!,#REF!))</f>
        <v/>
      </c>
      <c r="AI99" s="156" t="str">
        <f>IF('Bulk Order Details'!S109="","","-"&amp;LOOKUP('Bulk Order Details'!S109,#REF!,#REF!))</f>
        <v/>
      </c>
      <c r="AJ99" s="156" t="str">
        <f>IF('Bulk Order Details'!T109="","","-"&amp;LOOKUP('Bulk Order Details'!T109,#REF!,#REF!))</f>
        <v/>
      </c>
      <c r="AK99" s="156" t="str">
        <f>IF('Bulk Order Details'!U109="","","-"&amp;LOOKUP('Bulk Order Details'!U109,#REF!,#REF!))</f>
        <v/>
      </c>
      <c r="AL99" s="156" t="str">
        <f>IF('Bulk Order Details'!V109="","","-"&amp;LOOKUP('Bulk Order Details'!V109,#REF!,#REF!))</f>
        <v/>
      </c>
      <c r="AM99" s="156" t="str">
        <f t="shared" si="7"/>
        <v/>
      </c>
      <c r="AN99" s="156" t="str">
        <f>IF('Bulk Order Details'!N109="","","Na-"&amp;'Bulk Order Details'!N109)</f>
        <v/>
      </c>
      <c r="AO99" s="156" t="str">
        <f>IF('Bulk Order Details'!Q109="","","Fo-"&amp;'Bulk Order Details'!Q109)</f>
        <v/>
      </c>
      <c r="AP99" s="156" t="str">
        <f t="shared" si="8"/>
        <v/>
      </c>
      <c r="AQ99" s="37" t="str">
        <f t="shared" si="9"/>
        <v/>
      </c>
    </row>
    <row r="100" spans="2:43" ht="15" customHeight="1" x14ac:dyDescent="0.2">
      <c r="B100" s="34">
        <f>'Bulk Order Details'!B110</f>
        <v>97</v>
      </c>
      <c r="C100" s="34" t="str">
        <f>IF('Bulk Order Details'!C110="","",'Bulk Order Details'!C110&amp;" "&amp;'Bulk Order Details'!D110)</f>
        <v/>
      </c>
      <c r="D100" s="31" t="str">
        <f>IF('Bulk Order Details'!M110="","",VLOOKUP(1,Price[],3))</f>
        <v/>
      </c>
      <c r="E100" s="29" t="str">
        <f>IF('Bulk Order Details'!M110="","",Summary!$D$9)</f>
        <v/>
      </c>
      <c r="F100" s="16" t="str">
        <f>IF('Bulk Order Details'!I110="","",_xlfn.XLOOKUP('Bulk Order Details'!I110,Size[Display],Size[Price]))</f>
        <v/>
      </c>
      <c r="G100" s="16" t="str">
        <f>IF('Bulk Order Details'!J110="","",_xlfn.XLOOKUP('Bulk Order Details'!J110,Length[Display],Length[Price]))</f>
        <v/>
      </c>
      <c r="H100" s="16" t="str">
        <f>IF('Bulk Order Details'!K110="","",_xlfn.XLOOKUP('Bulk Order Details'!K110,Collection[Display],Collection[Price]))</f>
        <v/>
      </c>
      <c r="I100" s="16" t="str">
        <f>IF('Bulk Order Details'!L110="","",_xlfn.XLOOKUP('Bulk Order Details'!L110,Sleeve[Display],Sleeve[Price]))</f>
        <v/>
      </c>
      <c r="J100" s="16" t="str">
        <f>IF('Bulk Order Details'!M110="","",_xlfn.XLOOKUP('Bulk Order Details'!M110,Collar[Display],Collar[Price]))</f>
        <v/>
      </c>
      <c r="K100" s="16" t="str">
        <f>IF('Bulk Order Details'!N110="","",_xlfn.XLOOKUP("Name",Name[Name],Name[Price]))</f>
        <v/>
      </c>
      <c r="L100" s="18" t="str">
        <f>IFERROR(IF('Bulk Order Details'!R110="","",IF(_xlfn.XLOOKUP('Bulk Order Details'!R110,Logos[Display],Logos[Use])="Flat",_xlfn.XLOOKUP('Bulk Order Details'!R110,Logos[Display],Logos[Flat]),ROUND(_xlfn.XLOOKUP('Bulk Order Details'!R110,Logos[Display],Logos[Pct])*$E100,2))),"")</f>
        <v/>
      </c>
      <c r="M100" s="22" t="str">
        <f>IFERROR(IF('Bulk Order Details'!S110="","",IF(_xlfn.XLOOKUP('Bulk Order Details'!S110,Chest[Display],Chest[Use])="Flat",_xlfn.XLOOKUP('Bulk Order Details'!S110,Chest[Display],Chest[Flat]),ROUND(_xlfn.XLOOKUP('Bulk Order Details'!S110,Chest[Display],Chest[Pct])*$E100,2))),"")</f>
        <v/>
      </c>
      <c r="N100" s="22" t="str">
        <f>IFERROR(IF('Bulk Order Details'!T110="","",IF(_xlfn.XLOOKUP('Bulk Order Details'!T110,Chest[Display],Chest[Use])="Flat",_xlfn.XLOOKUP('Bulk Order Details'!T110,Chest[Display],Chest[Flat]),ROUND(_xlfn.XLOOKUP('Bulk Order Details'!T110,Chest[Display],Chest[Pct])*$E100,2))),"")</f>
        <v/>
      </c>
      <c r="O100" s="22" t="str">
        <f>IFERROR(IF('Bulk Order Details'!U110="","",IF(_xlfn.XLOOKUP('Bulk Order Details'!U110,LeftSleeve[Display],LeftSleeve[Use])="Flat",_xlfn.XLOOKUP('Bulk Order Details'!U110,LeftSleeve[Display],LeftSleeve[Flat]),ROUND(_xlfn.XLOOKUP('Bulk Order Details'!U110,LeftSleeve[Display],LeftSleeve[Pct])*$E100,2))),"")</f>
        <v/>
      </c>
      <c r="P100" s="22" t="str">
        <f>IFERROR(IF('Bulk Order Details'!V110="","",IF(_xlfn.XLOOKUP('Bulk Order Details'!V110,RightSleeve[Display],RightSleeve[Use])="Flat",_xlfn.XLOOKUP('Bulk Order Details'!V110,RightSleeve[Display],RightSleeve[Flat]),ROUND(_xlfn.XLOOKUP('Bulk Order Details'!V110,RightSleeve[Display],RightSleeve[Pct])*$E100,2))),"")</f>
        <v/>
      </c>
      <c r="Q100" s="27" t="str">
        <f>IF('Bulk Order Details'!M110="","",SUM(F100:P100))</f>
        <v/>
      </c>
      <c r="R100" s="24" t="str">
        <f t="shared" si="6"/>
        <v/>
      </c>
      <c r="S100" s="23" t="str">
        <f>IFERROR(MIN(IF(Summary!$D$11="Yes",-J100,0),IF(H100&gt;0,-J100,0)),"")</f>
        <v/>
      </c>
      <c r="T100" s="16" t="str">
        <f>IFERROR(IF(Summary!$D$10="Yes",-K100,""),"")</f>
        <v/>
      </c>
      <c r="U100" s="18" t="str">
        <f>IFERROR(IF(Summary!$D$12="Yes",-L100,""),"")</f>
        <v/>
      </c>
      <c r="V100" s="25" t="str">
        <f>IF('Bulk Order Details'!M110="","",SUM(R100:U100))</f>
        <v/>
      </c>
      <c r="W100" s="36" t="str">
        <f>IF('Bulk Order Details'!M110="","",D100+Q100)</f>
        <v/>
      </c>
      <c r="X100" s="37" t="str">
        <f>IF('Bulk Order Details'!M110="","",D100+Q100+V100)</f>
        <v/>
      </c>
      <c r="Y100" s="168" t="str">
        <f t="shared" si="5"/>
        <v/>
      </c>
      <c r="Z100" s="173" t="str">
        <f>IF('Bulk Order Details'!M110="","",MAX(1,'Bulk Order Details'!G110))</f>
        <v/>
      </c>
      <c r="AA100" s="196" t="str">
        <f>IF(Pricing_Details[[#This Row],[Quantity]]="","",Pricing_Details[[#This Row],[Retail Price]]*Pricing_Details[[#This Row],[Quantity]])</f>
        <v/>
      </c>
      <c r="AB100" s="196" t="str">
        <f>IF(Pricing_Details[[#This Row],[Quantity]]="","",Pricing_Details[[#This Row],[Total Discount]]*Pricing_Details[[#This Row],[Quantity]])</f>
        <v/>
      </c>
      <c r="AC100" s="176" t="str">
        <f>IFERROR(ROUND(Pricing_Details[[#This Row],[Actual Price]]*Pricing_Details[[#This Row],[Quantity]],2),"")</f>
        <v/>
      </c>
      <c r="AE100" s="156" t="str">
        <f>IF('Bulk Order Details'!M110="","",VLOOKUP('Bulk Order Details'!K110,Collection[],3)&amp;VLOOKUP('Bulk Order Details'!M110,Collar[],4)&amp;VLOOKUP('Bulk Order Details'!L110,Sleeve[],4))</f>
        <v/>
      </c>
      <c r="AF100" s="156" t="str">
        <f>IF('Bulk Order Details'!M110="","",LOOKUP('Bulk Order Details'!H110,Cut[Display],Cut[Code])&amp;LOOKUP('Bulk Order Details'!I110,#REF!,#REF!)&amp;IF('Bulk Order Details'!J110="","",LOOKUP('Bulk Order Details'!J110,Length[Display],Length[Code])))</f>
        <v/>
      </c>
      <c r="AG100" s="156" t="str">
        <f>IF('Bulk Order Details'!M110="","",IF('Bulk Order Details'!F110="","",'Bulk Order Details'!F110))</f>
        <v/>
      </c>
      <c r="AH100" s="156" t="str">
        <f>IF('Bulk Order Details'!R110="","","-"&amp;LOOKUP('Bulk Order Details'!R110,#REF!,#REF!))</f>
        <v/>
      </c>
      <c r="AI100" s="156" t="str">
        <f>IF('Bulk Order Details'!S110="","","-"&amp;LOOKUP('Bulk Order Details'!S110,#REF!,#REF!))</f>
        <v/>
      </c>
      <c r="AJ100" s="156" t="str">
        <f>IF('Bulk Order Details'!T110="","","-"&amp;LOOKUP('Bulk Order Details'!T110,#REF!,#REF!))</f>
        <v/>
      </c>
      <c r="AK100" s="156" t="str">
        <f>IF('Bulk Order Details'!U110="","","-"&amp;LOOKUP('Bulk Order Details'!U110,#REF!,#REF!))</f>
        <v/>
      </c>
      <c r="AL100" s="156" t="str">
        <f>IF('Bulk Order Details'!V110="","","-"&amp;LOOKUP('Bulk Order Details'!V110,#REF!,#REF!))</f>
        <v/>
      </c>
      <c r="AM100" s="156" t="str">
        <f t="shared" si="7"/>
        <v/>
      </c>
      <c r="AN100" s="156" t="str">
        <f>IF('Bulk Order Details'!N110="","","Na-"&amp;'Bulk Order Details'!N110)</f>
        <v/>
      </c>
      <c r="AO100" s="156" t="str">
        <f>IF('Bulk Order Details'!Q110="","","Fo-"&amp;'Bulk Order Details'!Q110)</f>
        <v/>
      </c>
      <c r="AP100" s="156" t="str">
        <f t="shared" si="8"/>
        <v/>
      </c>
      <c r="AQ100" s="37" t="str">
        <f t="shared" si="9"/>
        <v/>
      </c>
    </row>
    <row r="101" spans="2:43" ht="15" customHeight="1" x14ac:dyDescent="0.2">
      <c r="B101" s="34">
        <f>'Bulk Order Details'!B111</f>
        <v>98</v>
      </c>
      <c r="C101" s="34" t="str">
        <f>IF('Bulk Order Details'!C111="","",'Bulk Order Details'!C111&amp;" "&amp;'Bulk Order Details'!D111)</f>
        <v/>
      </c>
      <c r="D101" s="31" t="str">
        <f>IF('Bulk Order Details'!M111="","",VLOOKUP(1,Price[],3))</f>
        <v/>
      </c>
      <c r="E101" s="29" t="str">
        <f>IF('Bulk Order Details'!M111="","",Summary!$D$9)</f>
        <v/>
      </c>
      <c r="F101" s="16" t="str">
        <f>IF('Bulk Order Details'!I111="","",_xlfn.XLOOKUP('Bulk Order Details'!I111,Size[Display],Size[Price]))</f>
        <v/>
      </c>
      <c r="G101" s="16" t="str">
        <f>IF('Bulk Order Details'!J111="","",_xlfn.XLOOKUP('Bulk Order Details'!J111,Length[Display],Length[Price]))</f>
        <v/>
      </c>
      <c r="H101" s="16" t="str">
        <f>IF('Bulk Order Details'!K111="","",_xlfn.XLOOKUP('Bulk Order Details'!K111,Collection[Display],Collection[Price]))</f>
        <v/>
      </c>
      <c r="I101" s="16" t="str">
        <f>IF('Bulk Order Details'!L111="","",_xlfn.XLOOKUP('Bulk Order Details'!L111,Sleeve[Display],Sleeve[Price]))</f>
        <v/>
      </c>
      <c r="J101" s="16" t="str">
        <f>IF('Bulk Order Details'!M111="","",_xlfn.XLOOKUP('Bulk Order Details'!M111,Collar[Display],Collar[Price]))</f>
        <v/>
      </c>
      <c r="K101" s="16" t="str">
        <f>IF('Bulk Order Details'!N111="","",_xlfn.XLOOKUP("Name",Name[Name],Name[Price]))</f>
        <v/>
      </c>
      <c r="L101" s="18" t="str">
        <f>IFERROR(IF('Bulk Order Details'!R111="","",IF(_xlfn.XLOOKUP('Bulk Order Details'!R111,Logos[Display],Logos[Use])="Flat",_xlfn.XLOOKUP('Bulk Order Details'!R111,Logos[Display],Logos[Flat]),ROUND(_xlfn.XLOOKUP('Bulk Order Details'!R111,Logos[Display],Logos[Pct])*$E101,2))),"")</f>
        <v/>
      </c>
      <c r="M101" s="22" t="str">
        <f>IFERROR(IF('Bulk Order Details'!S111="","",IF(_xlfn.XLOOKUP('Bulk Order Details'!S111,Chest[Display],Chest[Use])="Flat",_xlfn.XLOOKUP('Bulk Order Details'!S111,Chest[Display],Chest[Flat]),ROUND(_xlfn.XLOOKUP('Bulk Order Details'!S111,Chest[Display],Chest[Pct])*$E101,2))),"")</f>
        <v/>
      </c>
      <c r="N101" s="22" t="str">
        <f>IFERROR(IF('Bulk Order Details'!T111="","",IF(_xlfn.XLOOKUP('Bulk Order Details'!T111,Chest[Display],Chest[Use])="Flat",_xlfn.XLOOKUP('Bulk Order Details'!T111,Chest[Display],Chest[Flat]),ROUND(_xlfn.XLOOKUP('Bulk Order Details'!T111,Chest[Display],Chest[Pct])*$E101,2))),"")</f>
        <v/>
      </c>
      <c r="O101" s="22" t="str">
        <f>IFERROR(IF('Bulk Order Details'!U111="","",IF(_xlfn.XLOOKUP('Bulk Order Details'!U111,LeftSleeve[Display],LeftSleeve[Use])="Flat",_xlfn.XLOOKUP('Bulk Order Details'!U111,LeftSleeve[Display],LeftSleeve[Flat]),ROUND(_xlfn.XLOOKUP('Bulk Order Details'!U111,LeftSleeve[Display],LeftSleeve[Pct])*$E101,2))),"")</f>
        <v/>
      </c>
      <c r="P101" s="22" t="str">
        <f>IFERROR(IF('Bulk Order Details'!V111="","",IF(_xlfn.XLOOKUP('Bulk Order Details'!V111,RightSleeve[Display],RightSleeve[Use])="Flat",_xlfn.XLOOKUP('Bulk Order Details'!V111,RightSleeve[Display],RightSleeve[Flat]),ROUND(_xlfn.XLOOKUP('Bulk Order Details'!V111,RightSleeve[Display],RightSleeve[Pct])*$E101,2))),"")</f>
        <v/>
      </c>
      <c r="Q101" s="27" t="str">
        <f>IF('Bulk Order Details'!M111="","",SUM(F101:P101))</f>
        <v/>
      </c>
      <c r="R101" s="24" t="str">
        <f t="shared" si="6"/>
        <v/>
      </c>
      <c r="S101" s="23" t="str">
        <f>IFERROR(MIN(IF(Summary!$D$11="Yes",-J101,0),IF(H101&gt;0,-J101,0)),"")</f>
        <v/>
      </c>
      <c r="T101" s="16" t="str">
        <f>IFERROR(IF(Summary!$D$10="Yes",-K101,""),"")</f>
        <v/>
      </c>
      <c r="U101" s="18" t="str">
        <f>IFERROR(IF(Summary!$D$12="Yes",-L101,""),"")</f>
        <v/>
      </c>
      <c r="V101" s="25" t="str">
        <f>IF('Bulk Order Details'!M111="","",SUM(R101:U101))</f>
        <v/>
      </c>
      <c r="W101" s="36" t="str">
        <f>IF('Bulk Order Details'!M111="","",D101+Q101)</f>
        <v/>
      </c>
      <c r="X101" s="37" t="str">
        <f>IF('Bulk Order Details'!M111="","",D101+Q101+V101)</f>
        <v/>
      </c>
      <c r="Y101" s="168" t="str">
        <f t="shared" si="5"/>
        <v/>
      </c>
      <c r="Z101" s="173" t="str">
        <f>IF('Bulk Order Details'!M111="","",MAX(1,'Bulk Order Details'!G111))</f>
        <v/>
      </c>
      <c r="AA101" s="196" t="str">
        <f>IF(Pricing_Details[[#This Row],[Quantity]]="","",Pricing_Details[[#This Row],[Retail Price]]*Pricing_Details[[#This Row],[Quantity]])</f>
        <v/>
      </c>
      <c r="AB101" s="196" t="str">
        <f>IF(Pricing_Details[[#This Row],[Quantity]]="","",Pricing_Details[[#This Row],[Total Discount]]*Pricing_Details[[#This Row],[Quantity]])</f>
        <v/>
      </c>
      <c r="AC101" s="176" t="str">
        <f>IFERROR(ROUND(Pricing_Details[[#This Row],[Actual Price]]*Pricing_Details[[#This Row],[Quantity]],2),"")</f>
        <v/>
      </c>
      <c r="AE101" s="156" t="str">
        <f>IF('Bulk Order Details'!M111="","",VLOOKUP('Bulk Order Details'!K111,Collection[],3)&amp;VLOOKUP('Bulk Order Details'!M111,Collar[],4)&amp;VLOOKUP('Bulk Order Details'!L111,Sleeve[],4))</f>
        <v/>
      </c>
      <c r="AF101" s="156" t="str">
        <f>IF('Bulk Order Details'!M111="","",LOOKUP('Bulk Order Details'!H111,Cut[Display],Cut[Code])&amp;LOOKUP('Bulk Order Details'!I111,#REF!,#REF!)&amp;IF('Bulk Order Details'!J111="","",LOOKUP('Bulk Order Details'!J111,Length[Display],Length[Code])))</f>
        <v/>
      </c>
      <c r="AG101" s="156" t="str">
        <f>IF('Bulk Order Details'!M111="","",IF('Bulk Order Details'!F111="","",'Bulk Order Details'!F111))</f>
        <v/>
      </c>
      <c r="AH101" s="156" t="str">
        <f>IF('Bulk Order Details'!R111="","","-"&amp;LOOKUP('Bulk Order Details'!R111,#REF!,#REF!))</f>
        <v/>
      </c>
      <c r="AI101" s="156" t="str">
        <f>IF('Bulk Order Details'!S111="","","-"&amp;LOOKUP('Bulk Order Details'!S111,#REF!,#REF!))</f>
        <v/>
      </c>
      <c r="AJ101" s="156" t="str">
        <f>IF('Bulk Order Details'!T111="","","-"&amp;LOOKUP('Bulk Order Details'!T111,#REF!,#REF!))</f>
        <v/>
      </c>
      <c r="AK101" s="156" t="str">
        <f>IF('Bulk Order Details'!U111="","","-"&amp;LOOKUP('Bulk Order Details'!U111,#REF!,#REF!))</f>
        <v/>
      </c>
      <c r="AL101" s="156" t="str">
        <f>IF('Bulk Order Details'!V111="","","-"&amp;LOOKUP('Bulk Order Details'!V111,#REF!,#REF!))</f>
        <v/>
      </c>
      <c r="AM101" s="156" t="str">
        <f t="shared" si="7"/>
        <v/>
      </c>
      <c r="AN101" s="156" t="str">
        <f>IF('Bulk Order Details'!N111="","","Na-"&amp;'Bulk Order Details'!N111)</f>
        <v/>
      </c>
      <c r="AO101" s="156" t="str">
        <f>IF('Bulk Order Details'!Q111="","","Fo-"&amp;'Bulk Order Details'!Q111)</f>
        <v/>
      </c>
      <c r="AP101" s="156" t="str">
        <f t="shared" si="8"/>
        <v/>
      </c>
      <c r="AQ101" s="37" t="str">
        <f t="shared" si="9"/>
        <v/>
      </c>
    </row>
    <row r="102" spans="2:43" ht="15" customHeight="1" x14ac:dyDescent="0.2">
      <c r="B102" s="34">
        <f>'Bulk Order Details'!B112</f>
        <v>99</v>
      </c>
      <c r="C102" s="34" t="str">
        <f>IF('Bulk Order Details'!C112="","",'Bulk Order Details'!C112&amp;" "&amp;'Bulk Order Details'!D112)</f>
        <v/>
      </c>
      <c r="D102" s="31" t="str">
        <f>IF('Bulk Order Details'!M112="","",VLOOKUP(1,Price[],3))</f>
        <v/>
      </c>
      <c r="E102" s="29" t="str">
        <f>IF('Bulk Order Details'!M112="","",Summary!$D$9)</f>
        <v/>
      </c>
      <c r="F102" s="16" t="str">
        <f>IF('Bulk Order Details'!I112="","",_xlfn.XLOOKUP('Bulk Order Details'!I112,Size[Display],Size[Price]))</f>
        <v/>
      </c>
      <c r="G102" s="16" t="str">
        <f>IF('Bulk Order Details'!J112="","",_xlfn.XLOOKUP('Bulk Order Details'!J112,Length[Display],Length[Price]))</f>
        <v/>
      </c>
      <c r="H102" s="16" t="str">
        <f>IF('Bulk Order Details'!K112="","",_xlfn.XLOOKUP('Bulk Order Details'!K112,Collection[Display],Collection[Price]))</f>
        <v/>
      </c>
      <c r="I102" s="16" t="str">
        <f>IF('Bulk Order Details'!L112="","",_xlfn.XLOOKUP('Bulk Order Details'!L112,Sleeve[Display],Sleeve[Price]))</f>
        <v/>
      </c>
      <c r="J102" s="16" t="str">
        <f>IF('Bulk Order Details'!M112="","",_xlfn.XLOOKUP('Bulk Order Details'!M112,Collar[Display],Collar[Price]))</f>
        <v/>
      </c>
      <c r="K102" s="16" t="str">
        <f>IF('Bulk Order Details'!N112="","",_xlfn.XLOOKUP("Name",Name[Name],Name[Price]))</f>
        <v/>
      </c>
      <c r="L102" s="18" t="str">
        <f>IFERROR(IF('Bulk Order Details'!R112="","",IF(_xlfn.XLOOKUP('Bulk Order Details'!R112,Logos[Display],Logos[Use])="Flat",_xlfn.XLOOKUP('Bulk Order Details'!R112,Logos[Display],Logos[Flat]),ROUND(_xlfn.XLOOKUP('Bulk Order Details'!R112,Logos[Display],Logos[Pct])*$E102,2))),"")</f>
        <v/>
      </c>
      <c r="M102" s="22" t="str">
        <f>IFERROR(IF('Bulk Order Details'!S112="","",IF(_xlfn.XLOOKUP('Bulk Order Details'!S112,Chest[Display],Chest[Use])="Flat",_xlfn.XLOOKUP('Bulk Order Details'!S112,Chest[Display],Chest[Flat]),ROUND(_xlfn.XLOOKUP('Bulk Order Details'!S112,Chest[Display],Chest[Pct])*$E102,2))),"")</f>
        <v/>
      </c>
      <c r="N102" s="22" t="str">
        <f>IFERROR(IF('Bulk Order Details'!T112="","",IF(_xlfn.XLOOKUP('Bulk Order Details'!T112,Chest[Display],Chest[Use])="Flat",_xlfn.XLOOKUP('Bulk Order Details'!T112,Chest[Display],Chest[Flat]),ROUND(_xlfn.XLOOKUP('Bulk Order Details'!T112,Chest[Display],Chest[Pct])*$E102,2))),"")</f>
        <v/>
      </c>
      <c r="O102" s="22" t="str">
        <f>IFERROR(IF('Bulk Order Details'!U112="","",IF(_xlfn.XLOOKUP('Bulk Order Details'!U112,LeftSleeve[Display],LeftSleeve[Use])="Flat",_xlfn.XLOOKUP('Bulk Order Details'!U112,LeftSleeve[Display],LeftSleeve[Flat]),ROUND(_xlfn.XLOOKUP('Bulk Order Details'!U112,LeftSleeve[Display],LeftSleeve[Pct])*$E102,2))),"")</f>
        <v/>
      </c>
      <c r="P102" s="22" t="str">
        <f>IFERROR(IF('Bulk Order Details'!V112="","",IF(_xlfn.XLOOKUP('Bulk Order Details'!V112,RightSleeve[Display],RightSleeve[Use])="Flat",_xlfn.XLOOKUP('Bulk Order Details'!V112,RightSleeve[Display],RightSleeve[Flat]),ROUND(_xlfn.XLOOKUP('Bulk Order Details'!V112,RightSleeve[Display],RightSleeve[Pct])*$E102,2))),"")</f>
        <v/>
      </c>
      <c r="Q102" s="27" t="str">
        <f>IF('Bulk Order Details'!M112="","",SUM(F102:P102))</f>
        <v/>
      </c>
      <c r="R102" s="24" t="str">
        <f t="shared" si="6"/>
        <v/>
      </c>
      <c r="S102" s="23" t="str">
        <f>IFERROR(MIN(IF(Summary!$D$11="Yes",-J102,0),IF(H102&gt;0,-J102,0)),"")</f>
        <v/>
      </c>
      <c r="T102" s="16" t="str">
        <f>IFERROR(IF(Summary!$D$10="Yes",-K102,""),"")</f>
        <v/>
      </c>
      <c r="U102" s="18" t="str">
        <f>IFERROR(IF(Summary!$D$12="Yes",-L102,""),"")</f>
        <v/>
      </c>
      <c r="V102" s="25" t="str">
        <f>IF('Bulk Order Details'!M112="","",SUM(R102:U102))</f>
        <v/>
      </c>
      <c r="W102" s="36" t="str">
        <f>IF('Bulk Order Details'!M112="","",D102+Q102)</f>
        <v/>
      </c>
      <c r="X102" s="37" t="str">
        <f>IF('Bulk Order Details'!M112="","",D102+Q102+V102)</f>
        <v/>
      </c>
      <c r="Y102" s="168" t="str">
        <f t="shared" si="5"/>
        <v/>
      </c>
      <c r="Z102" s="173" t="str">
        <f>IF('Bulk Order Details'!M112="","",MAX(1,'Bulk Order Details'!G112))</f>
        <v/>
      </c>
      <c r="AA102" s="196" t="str">
        <f>IF(Pricing_Details[[#This Row],[Quantity]]="","",Pricing_Details[[#This Row],[Retail Price]]*Pricing_Details[[#This Row],[Quantity]])</f>
        <v/>
      </c>
      <c r="AB102" s="196" t="str">
        <f>IF(Pricing_Details[[#This Row],[Quantity]]="","",Pricing_Details[[#This Row],[Total Discount]]*Pricing_Details[[#This Row],[Quantity]])</f>
        <v/>
      </c>
      <c r="AC102" s="176" t="str">
        <f>IFERROR(ROUND(Pricing_Details[[#This Row],[Actual Price]]*Pricing_Details[[#This Row],[Quantity]],2),"")</f>
        <v/>
      </c>
      <c r="AE102" s="156" t="str">
        <f>IF('Bulk Order Details'!M112="","",VLOOKUP('Bulk Order Details'!K112,Collection[],3)&amp;VLOOKUP('Bulk Order Details'!M112,Collar[],4)&amp;VLOOKUP('Bulk Order Details'!L112,Sleeve[],4))</f>
        <v/>
      </c>
      <c r="AF102" s="156" t="str">
        <f>IF('Bulk Order Details'!M112="","",LOOKUP('Bulk Order Details'!H112,Cut[Display],Cut[Code])&amp;LOOKUP('Bulk Order Details'!I112,#REF!,#REF!)&amp;IF('Bulk Order Details'!J112="","",LOOKUP('Bulk Order Details'!J112,Length[Display],Length[Code])))</f>
        <v/>
      </c>
      <c r="AG102" s="156" t="str">
        <f>IF('Bulk Order Details'!M112="","",IF('Bulk Order Details'!F112="","",'Bulk Order Details'!F112))</f>
        <v/>
      </c>
      <c r="AH102" s="156" t="str">
        <f>IF('Bulk Order Details'!R112="","","-"&amp;LOOKUP('Bulk Order Details'!R112,#REF!,#REF!))</f>
        <v/>
      </c>
      <c r="AI102" s="156" t="str">
        <f>IF('Bulk Order Details'!S112="","","-"&amp;LOOKUP('Bulk Order Details'!S112,#REF!,#REF!))</f>
        <v/>
      </c>
      <c r="AJ102" s="156" t="str">
        <f>IF('Bulk Order Details'!T112="","","-"&amp;LOOKUP('Bulk Order Details'!T112,#REF!,#REF!))</f>
        <v/>
      </c>
      <c r="AK102" s="156" t="str">
        <f>IF('Bulk Order Details'!U112="","","-"&amp;LOOKUP('Bulk Order Details'!U112,#REF!,#REF!))</f>
        <v/>
      </c>
      <c r="AL102" s="156" t="str">
        <f>IF('Bulk Order Details'!V112="","","-"&amp;LOOKUP('Bulk Order Details'!V112,#REF!,#REF!))</f>
        <v/>
      </c>
      <c r="AM102" s="156" t="str">
        <f t="shared" si="7"/>
        <v/>
      </c>
      <c r="AN102" s="156" t="str">
        <f>IF('Bulk Order Details'!N112="","","Na-"&amp;'Bulk Order Details'!N112)</f>
        <v/>
      </c>
      <c r="AO102" s="156" t="str">
        <f>IF('Bulk Order Details'!Q112="","","Fo-"&amp;'Bulk Order Details'!Q112)</f>
        <v/>
      </c>
      <c r="AP102" s="156" t="str">
        <f t="shared" si="8"/>
        <v/>
      </c>
      <c r="AQ102" s="37" t="str">
        <f t="shared" si="9"/>
        <v/>
      </c>
    </row>
    <row r="103" spans="2:43" ht="15" customHeight="1" x14ac:dyDescent="0.2">
      <c r="B103" s="34">
        <f>'Bulk Order Details'!B113</f>
        <v>100</v>
      </c>
      <c r="C103" s="34" t="str">
        <f>IF('Bulk Order Details'!C113="","",'Bulk Order Details'!C113&amp;" "&amp;'Bulk Order Details'!D113)</f>
        <v/>
      </c>
      <c r="D103" s="31" t="str">
        <f>IF('Bulk Order Details'!M113="","",VLOOKUP(1,Price[],3))</f>
        <v/>
      </c>
      <c r="E103" s="29" t="str">
        <f>IF('Bulk Order Details'!M113="","",Summary!$D$9)</f>
        <v/>
      </c>
      <c r="F103" s="16" t="str">
        <f>IF('Bulk Order Details'!I113="","",_xlfn.XLOOKUP('Bulk Order Details'!I113,Size[Display],Size[Price]))</f>
        <v/>
      </c>
      <c r="G103" s="16" t="str">
        <f>IF('Bulk Order Details'!J113="","",_xlfn.XLOOKUP('Bulk Order Details'!J113,Length[Display],Length[Price]))</f>
        <v/>
      </c>
      <c r="H103" s="16" t="str">
        <f>IF('Bulk Order Details'!K113="","",_xlfn.XLOOKUP('Bulk Order Details'!K113,Collection[Display],Collection[Price]))</f>
        <v/>
      </c>
      <c r="I103" s="16" t="str">
        <f>IF('Bulk Order Details'!L113="","",_xlfn.XLOOKUP('Bulk Order Details'!L113,Sleeve[Display],Sleeve[Price]))</f>
        <v/>
      </c>
      <c r="J103" s="16" t="str">
        <f>IF('Bulk Order Details'!M113="","",_xlfn.XLOOKUP('Bulk Order Details'!M113,Collar[Display],Collar[Price]))</f>
        <v/>
      </c>
      <c r="K103" s="16" t="str">
        <f>IF('Bulk Order Details'!N113="","",_xlfn.XLOOKUP("Name",Name[Name],Name[Price]))</f>
        <v/>
      </c>
      <c r="L103" s="18" t="str">
        <f>IFERROR(IF('Bulk Order Details'!R113="","",IF(_xlfn.XLOOKUP('Bulk Order Details'!R113,Logos[Display],Logos[Use])="Flat",_xlfn.XLOOKUP('Bulk Order Details'!R113,Logos[Display],Logos[Flat]),ROUND(_xlfn.XLOOKUP('Bulk Order Details'!R113,Logos[Display],Logos[Pct])*$E103,2))),"")</f>
        <v/>
      </c>
      <c r="M103" s="22" t="str">
        <f>IFERROR(IF('Bulk Order Details'!S113="","",IF(_xlfn.XLOOKUP('Bulk Order Details'!S113,Chest[Display],Chest[Use])="Flat",_xlfn.XLOOKUP('Bulk Order Details'!S113,Chest[Display],Chest[Flat]),ROUND(_xlfn.XLOOKUP('Bulk Order Details'!S113,Chest[Display],Chest[Pct])*$E103,2))),"")</f>
        <v/>
      </c>
      <c r="N103" s="22" t="str">
        <f>IFERROR(IF('Bulk Order Details'!T113="","",IF(_xlfn.XLOOKUP('Bulk Order Details'!T113,Chest[Display],Chest[Use])="Flat",_xlfn.XLOOKUP('Bulk Order Details'!T113,Chest[Display],Chest[Flat]),ROUND(_xlfn.XLOOKUP('Bulk Order Details'!T113,Chest[Display],Chest[Pct])*$E103,2))),"")</f>
        <v/>
      </c>
      <c r="O103" s="22" t="str">
        <f>IFERROR(IF('Bulk Order Details'!U113="","",IF(_xlfn.XLOOKUP('Bulk Order Details'!U113,LeftSleeve[Display],LeftSleeve[Use])="Flat",_xlfn.XLOOKUP('Bulk Order Details'!U113,LeftSleeve[Display],LeftSleeve[Flat]),ROUND(_xlfn.XLOOKUP('Bulk Order Details'!U113,LeftSleeve[Display],LeftSleeve[Pct])*$E103,2))),"")</f>
        <v/>
      </c>
      <c r="P103" s="22" t="str">
        <f>IFERROR(IF('Bulk Order Details'!V113="","",IF(_xlfn.XLOOKUP('Bulk Order Details'!V113,RightSleeve[Display],RightSleeve[Use])="Flat",_xlfn.XLOOKUP('Bulk Order Details'!V113,RightSleeve[Display],RightSleeve[Flat]),ROUND(_xlfn.XLOOKUP('Bulk Order Details'!V113,RightSleeve[Display],RightSleeve[Pct])*$E103,2))),"")</f>
        <v/>
      </c>
      <c r="Q103" s="27" t="str">
        <f>IF('Bulk Order Details'!M113="","",SUM(F103:P103))</f>
        <v/>
      </c>
      <c r="R103" s="24" t="str">
        <f t="shared" si="6"/>
        <v/>
      </c>
      <c r="S103" s="23" t="str">
        <f>IFERROR(MIN(IF(Summary!$D$11="Yes",-J103,0),IF(H103&gt;0,-J103,0)),"")</f>
        <v/>
      </c>
      <c r="T103" s="16" t="str">
        <f>IFERROR(IF(Summary!$D$10="Yes",-K103,""),"")</f>
        <v/>
      </c>
      <c r="U103" s="18" t="str">
        <f>IFERROR(IF(Summary!$D$12="Yes",-L103,""),"")</f>
        <v/>
      </c>
      <c r="V103" s="25" t="str">
        <f>IF('Bulk Order Details'!M113="","",SUM(R103:U103))</f>
        <v/>
      </c>
      <c r="W103" s="36" t="str">
        <f>IF('Bulk Order Details'!M113="","",D103+Q103)</f>
        <v/>
      </c>
      <c r="X103" s="37" t="str">
        <f>IF('Bulk Order Details'!M113="","",D103+Q103+V103)</f>
        <v/>
      </c>
      <c r="Y103" s="168" t="str">
        <f t="shared" si="5"/>
        <v/>
      </c>
      <c r="Z103" s="173" t="str">
        <f>IF('Bulk Order Details'!M113="","",MAX(1,'Bulk Order Details'!G113))</f>
        <v/>
      </c>
      <c r="AA103" s="196" t="str">
        <f>IF(Pricing_Details[[#This Row],[Quantity]]="","",Pricing_Details[[#This Row],[Retail Price]]*Pricing_Details[[#This Row],[Quantity]])</f>
        <v/>
      </c>
      <c r="AB103" s="196" t="str">
        <f>IF(Pricing_Details[[#This Row],[Quantity]]="","",Pricing_Details[[#This Row],[Total Discount]]*Pricing_Details[[#This Row],[Quantity]])</f>
        <v/>
      </c>
      <c r="AC103" s="176" t="str">
        <f>IFERROR(ROUND(Pricing_Details[[#This Row],[Actual Price]]*Pricing_Details[[#This Row],[Quantity]],2),"")</f>
        <v/>
      </c>
      <c r="AE103" s="156" t="str">
        <f>IF('Bulk Order Details'!M113="","",VLOOKUP('Bulk Order Details'!K113,Collection[],3)&amp;VLOOKUP('Bulk Order Details'!M113,Collar[],4)&amp;VLOOKUP('Bulk Order Details'!L113,Sleeve[],4))</f>
        <v/>
      </c>
      <c r="AF103" s="156" t="str">
        <f>IF('Bulk Order Details'!M113="","",LOOKUP('Bulk Order Details'!H113,Cut[Display],Cut[Code])&amp;LOOKUP('Bulk Order Details'!I113,#REF!,#REF!)&amp;IF('Bulk Order Details'!J113="","",LOOKUP('Bulk Order Details'!J113,Length[Display],Length[Code])))</f>
        <v/>
      </c>
      <c r="AG103" s="156" t="str">
        <f>IF('Bulk Order Details'!M113="","",IF('Bulk Order Details'!F113="","",'Bulk Order Details'!F113))</f>
        <v/>
      </c>
      <c r="AH103" s="156" t="str">
        <f>IF('Bulk Order Details'!R113="","","-"&amp;LOOKUP('Bulk Order Details'!R113,#REF!,#REF!))</f>
        <v/>
      </c>
      <c r="AI103" s="156" t="str">
        <f>IF('Bulk Order Details'!S113="","","-"&amp;LOOKUP('Bulk Order Details'!S113,#REF!,#REF!))</f>
        <v/>
      </c>
      <c r="AJ103" s="156" t="str">
        <f>IF('Bulk Order Details'!T113="","","-"&amp;LOOKUP('Bulk Order Details'!T113,#REF!,#REF!))</f>
        <v/>
      </c>
      <c r="AK103" s="156" t="str">
        <f>IF('Bulk Order Details'!U113="","","-"&amp;LOOKUP('Bulk Order Details'!U113,#REF!,#REF!))</f>
        <v/>
      </c>
      <c r="AL103" s="156" t="str">
        <f>IF('Bulk Order Details'!V113="","","-"&amp;LOOKUP('Bulk Order Details'!V113,#REF!,#REF!))</f>
        <v/>
      </c>
      <c r="AM103" s="156" t="str">
        <f t="shared" si="7"/>
        <v/>
      </c>
      <c r="AN103" s="156" t="str">
        <f>IF('Bulk Order Details'!N113="","","Na-"&amp;'Bulk Order Details'!N113)</f>
        <v/>
      </c>
      <c r="AO103" s="156" t="str">
        <f>IF('Bulk Order Details'!Q113="","","Fo-"&amp;'Bulk Order Details'!Q113)</f>
        <v/>
      </c>
      <c r="AP103" s="156" t="str">
        <f t="shared" si="8"/>
        <v/>
      </c>
      <c r="AQ103" s="37" t="str">
        <f t="shared" si="9"/>
        <v/>
      </c>
    </row>
    <row r="104" spans="2:43" ht="15" customHeight="1" x14ac:dyDescent="0.2">
      <c r="B104" s="34">
        <f>'Bulk Order Details'!B114</f>
        <v>101</v>
      </c>
      <c r="C104" s="34" t="str">
        <f>IF('Bulk Order Details'!C114="","",'Bulk Order Details'!C114&amp;" "&amp;'Bulk Order Details'!D114)</f>
        <v/>
      </c>
      <c r="D104" s="31" t="str">
        <f>IF('Bulk Order Details'!M114="","",VLOOKUP(1,Price[],3))</f>
        <v/>
      </c>
      <c r="E104" s="29" t="str">
        <f>IF('Bulk Order Details'!M114="","",Summary!$D$9)</f>
        <v/>
      </c>
      <c r="F104" s="16" t="str">
        <f>IF('Bulk Order Details'!I114="","",_xlfn.XLOOKUP('Bulk Order Details'!I114,Size[Display],Size[Price]))</f>
        <v/>
      </c>
      <c r="G104" s="16" t="str">
        <f>IF('Bulk Order Details'!J114="","",_xlfn.XLOOKUP('Bulk Order Details'!J114,Length[Display],Length[Price]))</f>
        <v/>
      </c>
      <c r="H104" s="16" t="str">
        <f>IF('Bulk Order Details'!K114="","",_xlfn.XLOOKUP('Bulk Order Details'!K114,Collection[Display],Collection[Price]))</f>
        <v/>
      </c>
      <c r="I104" s="16" t="str">
        <f>IF('Bulk Order Details'!L114="","",_xlfn.XLOOKUP('Bulk Order Details'!L114,Sleeve[Display],Sleeve[Price]))</f>
        <v/>
      </c>
      <c r="J104" s="16" t="str">
        <f>IF('Bulk Order Details'!M114="","",_xlfn.XLOOKUP('Bulk Order Details'!M114,Collar[Display],Collar[Price]))</f>
        <v/>
      </c>
      <c r="K104" s="16" t="str">
        <f>IF('Bulk Order Details'!N114="","",_xlfn.XLOOKUP("Name",Name[Name],Name[Price]))</f>
        <v/>
      </c>
      <c r="L104" s="18" t="str">
        <f>IFERROR(IF('Bulk Order Details'!R114="","",IF(_xlfn.XLOOKUP('Bulk Order Details'!R114,Logos[Display],Logos[Use])="Flat",_xlfn.XLOOKUP('Bulk Order Details'!R114,Logos[Display],Logos[Flat]),ROUND(_xlfn.XLOOKUP('Bulk Order Details'!R114,Logos[Display],Logos[Pct])*$E104,2))),"")</f>
        <v/>
      </c>
      <c r="M104" s="22" t="str">
        <f>IFERROR(IF('Bulk Order Details'!S114="","",IF(_xlfn.XLOOKUP('Bulk Order Details'!S114,Chest[Display],Chest[Use])="Flat",_xlfn.XLOOKUP('Bulk Order Details'!S114,Chest[Display],Chest[Flat]),ROUND(_xlfn.XLOOKUP('Bulk Order Details'!S114,Chest[Display],Chest[Pct])*$E104,2))),"")</f>
        <v/>
      </c>
      <c r="N104" s="22" t="str">
        <f>IFERROR(IF('Bulk Order Details'!T114="","",IF(_xlfn.XLOOKUP('Bulk Order Details'!T114,Chest[Display],Chest[Use])="Flat",_xlfn.XLOOKUP('Bulk Order Details'!T114,Chest[Display],Chest[Flat]),ROUND(_xlfn.XLOOKUP('Bulk Order Details'!T114,Chest[Display],Chest[Pct])*$E104,2))),"")</f>
        <v/>
      </c>
      <c r="O104" s="22" t="str">
        <f>IFERROR(IF('Bulk Order Details'!U114="","",IF(_xlfn.XLOOKUP('Bulk Order Details'!U114,LeftSleeve[Display],LeftSleeve[Use])="Flat",_xlfn.XLOOKUP('Bulk Order Details'!U114,LeftSleeve[Display],LeftSleeve[Flat]),ROUND(_xlfn.XLOOKUP('Bulk Order Details'!U114,LeftSleeve[Display],LeftSleeve[Pct])*$E104,2))),"")</f>
        <v/>
      </c>
      <c r="P104" s="22" t="str">
        <f>IFERROR(IF('Bulk Order Details'!V114="","",IF(_xlfn.XLOOKUP('Bulk Order Details'!V114,RightSleeve[Display],RightSleeve[Use])="Flat",_xlfn.XLOOKUP('Bulk Order Details'!V114,RightSleeve[Display],RightSleeve[Flat]),ROUND(_xlfn.XLOOKUP('Bulk Order Details'!V114,RightSleeve[Display],RightSleeve[Pct])*$E104,2))),"")</f>
        <v/>
      </c>
      <c r="Q104" s="27" t="str">
        <f>IF('Bulk Order Details'!M114="","",SUM(F104:P104))</f>
        <v/>
      </c>
      <c r="R104" s="24" t="str">
        <f t="shared" si="6"/>
        <v/>
      </c>
      <c r="S104" s="23" t="str">
        <f>IFERROR(MIN(IF(Summary!$D$11="Yes",-J104,0),IF(H104&gt;0,-J104,0)),"")</f>
        <v/>
      </c>
      <c r="T104" s="16" t="str">
        <f>IFERROR(IF(Summary!$D$10="Yes",-K104,""),"")</f>
        <v/>
      </c>
      <c r="U104" s="18" t="str">
        <f>IFERROR(IF(Summary!$D$12="Yes",-L104,""),"")</f>
        <v/>
      </c>
      <c r="V104" s="25" t="str">
        <f>IF('Bulk Order Details'!M114="","",SUM(R104:U104))</f>
        <v/>
      </c>
      <c r="W104" s="36" t="str">
        <f>IF('Bulk Order Details'!M114="","",D104+Q104)</f>
        <v/>
      </c>
      <c r="X104" s="37" t="str">
        <f>IF('Bulk Order Details'!M114="","",D104+Q104+V104)</f>
        <v/>
      </c>
      <c r="Y104" s="168" t="str">
        <f t="shared" si="5"/>
        <v/>
      </c>
      <c r="Z104" s="173" t="str">
        <f>IF('Bulk Order Details'!M114="","",MAX(1,'Bulk Order Details'!G114))</f>
        <v/>
      </c>
      <c r="AA104" s="196" t="str">
        <f>IF(Pricing_Details[[#This Row],[Quantity]]="","",Pricing_Details[[#This Row],[Retail Price]]*Pricing_Details[[#This Row],[Quantity]])</f>
        <v/>
      </c>
      <c r="AB104" s="196" t="str">
        <f>IF(Pricing_Details[[#This Row],[Quantity]]="","",Pricing_Details[[#This Row],[Total Discount]]*Pricing_Details[[#This Row],[Quantity]])</f>
        <v/>
      </c>
      <c r="AC104" s="176" t="str">
        <f>IFERROR(ROUND(Pricing_Details[[#This Row],[Actual Price]]*Pricing_Details[[#This Row],[Quantity]],2),"")</f>
        <v/>
      </c>
      <c r="AE104" s="156" t="str">
        <f>IF('Bulk Order Details'!M114="","",VLOOKUP('Bulk Order Details'!K114,Collection[],3)&amp;VLOOKUP('Bulk Order Details'!M114,Collar[],4)&amp;VLOOKUP('Bulk Order Details'!L114,Sleeve[],4))</f>
        <v/>
      </c>
      <c r="AF104" s="156" t="str">
        <f>IF('Bulk Order Details'!M114="","",LOOKUP('Bulk Order Details'!H114,Cut[Display],Cut[Code])&amp;LOOKUP('Bulk Order Details'!I114,#REF!,#REF!)&amp;IF('Bulk Order Details'!J114="","",LOOKUP('Bulk Order Details'!J114,Length[Display],Length[Code])))</f>
        <v/>
      </c>
      <c r="AG104" s="156" t="str">
        <f>IF('Bulk Order Details'!M114="","",IF('Bulk Order Details'!F114="","",'Bulk Order Details'!F114))</f>
        <v/>
      </c>
      <c r="AH104" s="156" t="str">
        <f>IF('Bulk Order Details'!R114="","","-"&amp;LOOKUP('Bulk Order Details'!R114,#REF!,#REF!))</f>
        <v/>
      </c>
      <c r="AI104" s="156" t="str">
        <f>IF('Bulk Order Details'!S114="","","-"&amp;LOOKUP('Bulk Order Details'!S114,#REF!,#REF!))</f>
        <v/>
      </c>
      <c r="AJ104" s="156" t="str">
        <f>IF('Bulk Order Details'!T114="","","-"&amp;LOOKUP('Bulk Order Details'!T114,#REF!,#REF!))</f>
        <v/>
      </c>
      <c r="AK104" s="156" t="str">
        <f>IF('Bulk Order Details'!U114="","","-"&amp;LOOKUP('Bulk Order Details'!U114,#REF!,#REF!))</f>
        <v/>
      </c>
      <c r="AL104" s="156" t="str">
        <f>IF('Bulk Order Details'!V114="","","-"&amp;LOOKUP('Bulk Order Details'!V114,#REF!,#REF!))</f>
        <v/>
      </c>
      <c r="AM104" s="156" t="str">
        <f t="shared" si="7"/>
        <v/>
      </c>
      <c r="AN104" s="156" t="str">
        <f>IF('Bulk Order Details'!N114="","","Na-"&amp;'Bulk Order Details'!N114)</f>
        <v/>
      </c>
      <c r="AO104" s="156" t="str">
        <f>IF('Bulk Order Details'!Q114="","","Fo-"&amp;'Bulk Order Details'!Q114)</f>
        <v/>
      </c>
      <c r="AP104" s="156" t="str">
        <f t="shared" si="8"/>
        <v/>
      </c>
      <c r="AQ104" s="37" t="str">
        <f t="shared" si="9"/>
        <v/>
      </c>
    </row>
    <row r="105" spans="2:43" ht="15" customHeight="1" x14ac:dyDescent="0.2">
      <c r="B105" s="34">
        <f>'Bulk Order Details'!B115</f>
        <v>102</v>
      </c>
      <c r="C105" s="34" t="str">
        <f>IF('Bulk Order Details'!C115="","",'Bulk Order Details'!C115&amp;" "&amp;'Bulk Order Details'!D115)</f>
        <v/>
      </c>
      <c r="D105" s="31" t="str">
        <f>IF('Bulk Order Details'!M115="","",VLOOKUP(1,Price[],3))</f>
        <v/>
      </c>
      <c r="E105" s="29" t="str">
        <f>IF('Bulk Order Details'!M115="","",Summary!$D$9)</f>
        <v/>
      </c>
      <c r="F105" s="16" t="str">
        <f>IF('Bulk Order Details'!I115="","",_xlfn.XLOOKUP('Bulk Order Details'!I115,Size[Display],Size[Price]))</f>
        <v/>
      </c>
      <c r="G105" s="16" t="str">
        <f>IF('Bulk Order Details'!J115="","",_xlfn.XLOOKUP('Bulk Order Details'!J115,Length[Display],Length[Price]))</f>
        <v/>
      </c>
      <c r="H105" s="16" t="str">
        <f>IF('Bulk Order Details'!K115="","",_xlfn.XLOOKUP('Bulk Order Details'!K115,Collection[Display],Collection[Price]))</f>
        <v/>
      </c>
      <c r="I105" s="16" t="str">
        <f>IF('Bulk Order Details'!L115="","",_xlfn.XLOOKUP('Bulk Order Details'!L115,Sleeve[Display],Sleeve[Price]))</f>
        <v/>
      </c>
      <c r="J105" s="16" t="str">
        <f>IF('Bulk Order Details'!M115="","",_xlfn.XLOOKUP('Bulk Order Details'!M115,Collar[Display],Collar[Price]))</f>
        <v/>
      </c>
      <c r="K105" s="16" t="str">
        <f>IF('Bulk Order Details'!N115="","",_xlfn.XLOOKUP("Name",Name[Name],Name[Price]))</f>
        <v/>
      </c>
      <c r="L105" s="18" t="str">
        <f>IFERROR(IF('Bulk Order Details'!R115="","",IF(_xlfn.XLOOKUP('Bulk Order Details'!R115,Logos[Display],Logos[Use])="Flat",_xlfn.XLOOKUP('Bulk Order Details'!R115,Logos[Display],Logos[Flat]),ROUND(_xlfn.XLOOKUP('Bulk Order Details'!R115,Logos[Display],Logos[Pct])*$E105,2))),"")</f>
        <v/>
      </c>
      <c r="M105" s="22" t="str">
        <f>IFERROR(IF('Bulk Order Details'!S115="","",IF(_xlfn.XLOOKUP('Bulk Order Details'!S115,Chest[Display],Chest[Use])="Flat",_xlfn.XLOOKUP('Bulk Order Details'!S115,Chest[Display],Chest[Flat]),ROUND(_xlfn.XLOOKUP('Bulk Order Details'!S115,Chest[Display],Chest[Pct])*$E105,2))),"")</f>
        <v/>
      </c>
      <c r="N105" s="22" t="str">
        <f>IFERROR(IF('Bulk Order Details'!T115="","",IF(_xlfn.XLOOKUP('Bulk Order Details'!T115,Chest[Display],Chest[Use])="Flat",_xlfn.XLOOKUP('Bulk Order Details'!T115,Chest[Display],Chest[Flat]),ROUND(_xlfn.XLOOKUP('Bulk Order Details'!T115,Chest[Display],Chest[Pct])*$E105,2))),"")</f>
        <v/>
      </c>
      <c r="O105" s="22" t="str">
        <f>IFERROR(IF('Bulk Order Details'!U115="","",IF(_xlfn.XLOOKUP('Bulk Order Details'!U115,LeftSleeve[Display],LeftSleeve[Use])="Flat",_xlfn.XLOOKUP('Bulk Order Details'!U115,LeftSleeve[Display],LeftSleeve[Flat]),ROUND(_xlfn.XLOOKUP('Bulk Order Details'!U115,LeftSleeve[Display],LeftSleeve[Pct])*$E105,2))),"")</f>
        <v/>
      </c>
      <c r="P105" s="22" t="str">
        <f>IFERROR(IF('Bulk Order Details'!V115="","",IF(_xlfn.XLOOKUP('Bulk Order Details'!V115,RightSleeve[Display],RightSleeve[Use])="Flat",_xlfn.XLOOKUP('Bulk Order Details'!V115,RightSleeve[Display],RightSleeve[Flat]),ROUND(_xlfn.XLOOKUP('Bulk Order Details'!V115,RightSleeve[Display],RightSleeve[Pct])*$E105,2))),"")</f>
        <v/>
      </c>
      <c r="Q105" s="27" t="str">
        <f>IF('Bulk Order Details'!M115="","",SUM(F105:P105))</f>
        <v/>
      </c>
      <c r="R105" s="24" t="str">
        <f t="shared" si="6"/>
        <v/>
      </c>
      <c r="S105" s="23" t="str">
        <f>IFERROR(MIN(IF(Summary!$D$11="Yes",-J105,0),IF(H105&gt;0,-J105,0)),"")</f>
        <v/>
      </c>
      <c r="T105" s="16" t="str">
        <f>IFERROR(IF(Summary!$D$10="Yes",-K105,""),"")</f>
        <v/>
      </c>
      <c r="U105" s="18" t="str">
        <f>IFERROR(IF(Summary!$D$12="Yes",-L105,""),"")</f>
        <v/>
      </c>
      <c r="V105" s="25" t="str">
        <f>IF('Bulk Order Details'!M115="","",SUM(R105:U105))</f>
        <v/>
      </c>
      <c r="W105" s="36" t="str">
        <f>IF('Bulk Order Details'!M115="","",D105+Q105)</f>
        <v/>
      </c>
      <c r="X105" s="37" t="str">
        <f>IF('Bulk Order Details'!M115="","",D105+Q105+V105)</f>
        <v/>
      </c>
      <c r="Y105" s="168" t="str">
        <f t="shared" si="5"/>
        <v/>
      </c>
      <c r="Z105" s="173" t="str">
        <f>IF('Bulk Order Details'!M115="","",MAX(1,'Bulk Order Details'!G115))</f>
        <v/>
      </c>
      <c r="AA105" s="196" t="str">
        <f>IF(Pricing_Details[[#This Row],[Quantity]]="","",Pricing_Details[[#This Row],[Retail Price]]*Pricing_Details[[#This Row],[Quantity]])</f>
        <v/>
      </c>
      <c r="AB105" s="196" t="str">
        <f>IF(Pricing_Details[[#This Row],[Quantity]]="","",Pricing_Details[[#This Row],[Total Discount]]*Pricing_Details[[#This Row],[Quantity]])</f>
        <v/>
      </c>
      <c r="AC105" s="176" t="str">
        <f>IFERROR(ROUND(Pricing_Details[[#This Row],[Actual Price]]*Pricing_Details[[#This Row],[Quantity]],2),"")</f>
        <v/>
      </c>
      <c r="AE105" s="156" t="str">
        <f>IF('Bulk Order Details'!M115="","",VLOOKUP('Bulk Order Details'!K115,Collection[],3)&amp;VLOOKUP('Bulk Order Details'!M115,Collar[],4)&amp;VLOOKUP('Bulk Order Details'!L115,Sleeve[],4))</f>
        <v/>
      </c>
      <c r="AF105" s="156" t="str">
        <f>IF('Bulk Order Details'!M115="","",LOOKUP('Bulk Order Details'!H115,Cut[Display],Cut[Code])&amp;LOOKUP('Bulk Order Details'!I115,#REF!,#REF!)&amp;IF('Bulk Order Details'!J115="","",LOOKUP('Bulk Order Details'!J115,Length[Display],Length[Code])))</f>
        <v/>
      </c>
      <c r="AG105" s="156" t="str">
        <f>IF('Bulk Order Details'!M115="","",IF('Bulk Order Details'!F115="","",'Bulk Order Details'!F115))</f>
        <v/>
      </c>
      <c r="AH105" s="156" t="str">
        <f>IF('Bulk Order Details'!R115="","","-"&amp;LOOKUP('Bulk Order Details'!R115,#REF!,#REF!))</f>
        <v/>
      </c>
      <c r="AI105" s="156" t="str">
        <f>IF('Bulk Order Details'!S115="","","-"&amp;LOOKUP('Bulk Order Details'!S115,#REF!,#REF!))</f>
        <v/>
      </c>
      <c r="AJ105" s="156" t="str">
        <f>IF('Bulk Order Details'!T115="","","-"&amp;LOOKUP('Bulk Order Details'!T115,#REF!,#REF!))</f>
        <v/>
      </c>
      <c r="AK105" s="156" t="str">
        <f>IF('Bulk Order Details'!U115="","","-"&amp;LOOKUP('Bulk Order Details'!U115,#REF!,#REF!))</f>
        <v/>
      </c>
      <c r="AL105" s="156" t="str">
        <f>IF('Bulk Order Details'!V115="","","-"&amp;LOOKUP('Bulk Order Details'!V115,#REF!,#REF!))</f>
        <v/>
      </c>
      <c r="AM105" s="156" t="str">
        <f t="shared" si="7"/>
        <v/>
      </c>
      <c r="AN105" s="156" t="str">
        <f>IF('Bulk Order Details'!N115="","","Na-"&amp;'Bulk Order Details'!N115)</f>
        <v/>
      </c>
      <c r="AO105" s="156" t="str">
        <f>IF('Bulk Order Details'!Q115="","","Fo-"&amp;'Bulk Order Details'!Q115)</f>
        <v/>
      </c>
      <c r="AP105" s="156" t="str">
        <f t="shared" si="8"/>
        <v/>
      </c>
      <c r="AQ105" s="37" t="str">
        <f t="shared" si="9"/>
        <v/>
      </c>
    </row>
    <row r="106" spans="2:43" ht="15" customHeight="1" x14ac:dyDescent="0.2">
      <c r="B106" s="34">
        <f>'Bulk Order Details'!B116</f>
        <v>103</v>
      </c>
      <c r="C106" s="34" t="str">
        <f>IF('Bulk Order Details'!C116="","",'Bulk Order Details'!C116&amp;" "&amp;'Bulk Order Details'!D116)</f>
        <v/>
      </c>
      <c r="D106" s="31" t="str">
        <f>IF('Bulk Order Details'!M116="","",VLOOKUP(1,Price[],3))</f>
        <v/>
      </c>
      <c r="E106" s="29" t="str">
        <f>IF('Bulk Order Details'!M116="","",Summary!$D$9)</f>
        <v/>
      </c>
      <c r="F106" s="16" t="str">
        <f>IF('Bulk Order Details'!I116="","",_xlfn.XLOOKUP('Bulk Order Details'!I116,Size[Display],Size[Price]))</f>
        <v/>
      </c>
      <c r="G106" s="16" t="str">
        <f>IF('Bulk Order Details'!J116="","",_xlfn.XLOOKUP('Bulk Order Details'!J116,Length[Display],Length[Price]))</f>
        <v/>
      </c>
      <c r="H106" s="16" t="str">
        <f>IF('Bulk Order Details'!K116="","",_xlfn.XLOOKUP('Bulk Order Details'!K116,Collection[Display],Collection[Price]))</f>
        <v/>
      </c>
      <c r="I106" s="16" t="str">
        <f>IF('Bulk Order Details'!L116="","",_xlfn.XLOOKUP('Bulk Order Details'!L116,Sleeve[Display],Sleeve[Price]))</f>
        <v/>
      </c>
      <c r="J106" s="16" t="str">
        <f>IF('Bulk Order Details'!M116="","",_xlfn.XLOOKUP('Bulk Order Details'!M116,Collar[Display],Collar[Price]))</f>
        <v/>
      </c>
      <c r="K106" s="16" t="str">
        <f>IF('Bulk Order Details'!N116="","",_xlfn.XLOOKUP("Name",Name[Name],Name[Price]))</f>
        <v/>
      </c>
      <c r="L106" s="18" t="str">
        <f>IFERROR(IF('Bulk Order Details'!R116="","",IF(_xlfn.XLOOKUP('Bulk Order Details'!R116,Logos[Display],Logos[Use])="Flat",_xlfn.XLOOKUP('Bulk Order Details'!R116,Logos[Display],Logos[Flat]),ROUND(_xlfn.XLOOKUP('Bulk Order Details'!R116,Logos[Display],Logos[Pct])*$E106,2))),"")</f>
        <v/>
      </c>
      <c r="M106" s="22" t="str">
        <f>IFERROR(IF('Bulk Order Details'!S116="","",IF(_xlfn.XLOOKUP('Bulk Order Details'!S116,Chest[Display],Chest[Use])="Flat",_xlfn.XLOOKUP('Bulk Order Details'!S116,Chest[Display],Chest[Flat]),ROUND(_xlfn.XLOOKUP('Bulk Order Details'!S116,Chest[Display],Chest[Pct])*$E106,2))),"")</f>
        <v/>
      </c>
      <c r="N106" s="22" t="str">
        <f>IFERROR(IF('Bulk Order Details'!T116="","",IF(_xlfn.XLOOKUP('Bulk Order Details'!T116,Chest[Display],Chest[Use])="Flat",_xlfn.XLOOKUP('Bulk Order Details'!T116,Chest[Display],Chest[Flat]),ROUND(_xlfn.XLOOKUP('Bulk Order Details'!T116,Chest[Display],Chest[Pct])*$E106,2))),"")</f>
        <v/>
      </c>
      <c r="O106" s="22" t="str">
        <f>IFERROR(IF('Bulk Order Details'!U116="","",IF(_xlfn.XLOOKUP('Bulk Order Details'!U116,LeftSleeve[Display],LeftSleeve[Use])="Flat",_xlfn.XLOOKUP('Bulk Order Details'!U116,LeftSleeve[Display],LeftSleeve[Flat]),ROUND(_xlfn.XLOOKUP('Bulk Order Details'!U116,LeftSleeve[Display],LeftSleeve[Pct])*$E106,2))),"")</f>
        <v/>
      </c>
      <c r="P106" s="22" t="str">
        <f>IFERROR(IF('Bulk Order Details'!V116="","",IF(_xlfn.XLOOKUP('Bulk Order Details'!V116,RightSleeve[Display],RightSleeve[Use])="Flat",_xlfn.XLOOKUP('Bulk Order Details'!V116,RightSleeve[Display],RightSleeve[Flat]),ROUND(_xlfn.XLOOKUP('Bulk Order Details'!V116,RightSleeve[Display],RightSleeve[Pct])*$E106,2))),"")</f>
        <v/>
      </c>
      <c r="Q106" s="27" t="str">
        <f>IF('Bulk Order Details'!M116="","",SUM(F106:P106))</f>
        <v/>
      </c>
      <c r="R106" s="24" t="str">
        <f t="shared" si="6"/>
        <v/>
      </c>
      <c r="S106" s="23" t="str">
        <f>IFERROR(MIN(IF(Summary!$D$11="Yes",-J106,0),IF(H106&gt;0,-J106,0)),"")</f>
        <v/>
      </c>
      <c r="T106" s="16" t="str">
        <f>IFERROR(IF(Summary!$D$10="Yes",-K106,""),"")</f>
        <v/>
      </c>
      <c r="U106" s="18" t="str">
        <f>IFERROR(IF(Summary!$D$12="Yes",-L106,""),"")</f>
        <v/>
      </c>
      <c r="V106" s="25" t="str">
        <f>IF('Bulk Order Details'!M116="","",SUM(R106:U106))</f>
        <v/>
      </c>
      <c r="W106" s="36" t="str">
        <f>IF('Bulk Order Details'!M116="","",D106+Q106)</f>
        <v/>
      </c>
      <c r="X106" s="37" t="str">
        <f>IF('Bulk Order Details'!M116="","",D106+Q106+V106)</f>
        <v/>
      </c>
      <c r="Y106" s="168" t="str">
        <f t="shared" si="5"/>
        <v/>
      </c>
      <c r="Z106" s="173" t="str">
        <f>IF('Bulk Order Details'!M116="","",MAX(1,'Bulk Order Details'!G116))</f>
        <v/>
      </c>
      <c r="AA106" s="196" t="str">
        <f>IF(Pricing_Details[[#This Row],[Quantity]]="","",Pricing_Details[[#This Row],[Retail Price]]*Pricing_Details[[#This Row],[Quantity]])</f>
        <v/>
      </c>
      <c r="AB106" s="196" t="str">
        <f>IF(Pricing_Details[[#This Row],[Quantity]]="","",Pricing_Details[[#This Row],[Total Discount]]*Pricing_Details[[#This Row],[Quantity]])</f>
        <v/>
      </c>
      <c r="AC106" s="176" t="str">
        <f>IFERROR(ROUND(Pricing_Details[[#This Row],[Actual Price]]*Pricing_Details[[#This Row],[Quantity]],2),"")</f>
        <v/>
      </c>
      <c r="AE106" s="156" t="str">
        <f>IF('Bulk Order Details'!M116="","",VLOOKUP('Bulk Order Details'!K116,Collection[],3)&amp;VLOOKUP('Bulk Order Details'!M116,Collar[],4)&amp;VLOOKUP('Bulk Order Details'!L116,Sleeve[],4))</f>
        <v/>
      </c>
      <c r="AF106" s="156" t="str">
        <f>IF('Bulk Order Details'!M116="","",LOOKUP('Bulk Order Details'!H116,Cut[Display],Cut[Code])&amp;LOOKUP('Bulk Order Details'!I116,#REF!,#REF!)&amp;IF('Bulk Order Details'!J116="","",LOOKUP('Bulk Order Details'!J116,Length[Display],Length[Code])))</f>
        <v/>
      </c>
      <c r="AG106" s="156" t="str">
        <f>IF('Bulk Order Details'!M116="","",IF('Bulk Order Details'!F116="","",'Bulk Order Details'!F116))</f>
        <v/>
      </c>
      <c r="AH106" s="156" t="str">
        <f>IF('Bulk Order Details'!R116="","","-"&amp;LOOKUP('Bulk Order Details'!R116,#REF!,#REF!))</f>
        <v/>
      </c>
      <c r="AI106" s="156" t="str">
        <f>IF('Bulk Order Details'!S116="","","-"&amp;LOOKUP('Bulk Order Details'!S116,#REF!,#REF!))</f>
        <v/>
      </c>
      <c r="AJ106" s="156" t="str">
        <f>IF('Bulk Order Details'!T116="","","-"&amp;LOOKUP('Bulk Order Details'!T116,#REF!,#REF!))</f>
        <v/>
      </c>
      <c r="AK106" s="156" t="str">
        <f>IF('Bulk Order Details'!U116="","","-"&amp;LOOKUP('Bulk Order Details'!U116,#REF!,#REF!))</f>
        <v/>
      </c>
      <c r="AL106" s="156" t="str">
        <f>IF('Bulk Order Details'!V116="","","-"&amp;LOOKUP('Bulk Order Details'!V116,#REF!,#REF!))</f>
        <v/>
      </c>
      <c r="AM106" s="156" t="str">
        <f t="shared" si="7"/>
        <v/>
      </c>
      <c r="AN106" s="156" t="str">
        <f>IF('Bulk Order Details'!N116="","","Na-"&amp;'Bulk Order Details'!N116)</f>
        <v/>
      </c>
      <c r="AO106" s="156" t="str">
        <f>IF('Bulk Order Details'!Q116="","","Fo-"&amp;'Bulk Order Details'!Q116)</f>
        <v/>
      </c>
      <c r="AP106" s="156" t="str">
        <f t="shared" si="8"/>
        <v/>
      </c>
      <c r="AQ106" s="37" t="str">
        <f t="shared" si="9"/>
        <v/>
      </c>
    </row>
    <row r="107" spans="2:43" ht="15" customHeight="1" x14ac:dyDescent="0.2">
      <c r="B107" s="34">
        <f>'Bulk Order Details'!B117</f>
        <v>104</v>
      </c>
      <c r="C107" s="34" t="str">
        <f>IF('Bulk Order Details'!C117="","",'Bulk Order Details'!C117&amp;" "&amp;'Bulk Order Details'!D117)</f>
        <v/>
      </c>
      <c r="D107" s="31" t="str">
        <f>IF('Bulk Order Details'!M117="","",VLOOKUP(1,Price[],3))</f>
        <v/>
      </c>
      <c r="E107" s="29" t="str">
        <f>IF('Bulk Order Details'!M117="","",Summary!$D$9)</f>
        <v/>
      </c>
      <c r="F107" s="16" t="str">
        <f>IF('Bulk Order Details'!I117="","",_xlfn.XLOOKUP('Bulk Order Details'!I117,Size[Display],Size[Price]))</f>
        <v/>
      </c>
      <c r="G107" s="16" t="str">
        <f>IF('Bulk Order Details'!J117="","",_xlfn.XLOOKUP('Bulk Order Details'!J117,Length[Display],Length[Price]))</f>
        <v/>
      </c>
      <c r="H107" s="16" t="str">
        <f>IF('Bulk Order Details'!K117="","",_xlfn.XLOOKUP('Bulk Order Details'!K117,Collection[Display],Collection[Price]))</f>
        <v/>
      </c>
      <c r="I107" s="16" t="str">
        <f>IF('Bulk Order Details'!L117="","",_xlfn.XLOOKUP('Bulk Order Details'!L117,Sleeve[Display],Sleeve[Price]))</f>
        <v/>
      </c>
      <c r="J107" s="16" t="str">
        <f>IF('Bulk Order Details'!M117="","",_xlfn.XLOOKUP('Bulk Order Details'!M117,Collar[Display],Collar[Price]))</f>
        <v/>
      </c>
      <c r="K107" s="16" t="str">
        <f>IF('Bulk Order Details'!N117="","",_xlfn.XLOOKUP("Name",Name[Name],Name[Price]))</f>
        <v/>
      </c>
      <c r="L107" s="18" t="str">
        <f>IFERROR(IF('Bulk Order Details'!R117="","",IF(_xlfn.XLOOKUP('Bulk Order Details'!R117,Logos[Display],Logos[Use])="Flat",_xlfn.XLOOKUP('Bulk Order Details'!R117,Logos[Display],Logos[Flat]),ROUND(_xlfn.XLOOKUP('Bulk Order Details'!R117,Logos[Display],Logos[Pct])*$E107,2))),"")</f>
        <v/>
      </c>
      <c r="M107" s="22" t="str">
        <f>IFERROR(IF('Bulk Order Details'!S117="","",IF(_xlfn.XLOOKUP('Bulk Order Details'!S117,Chest[Display],Chest[Use])="Flat",_xlfn.XLOOKUP('Bulk Order Details'!S117,Chest[Display],Chest[Flat]),ROUND(_xlfn.XLOOKUP('Bulk Order Details'!S117,Chest[Display],Chest[Pct])*$E107,2))),"")</f>
        <v/>
      </c>
      <c r="N107" s="22" t="str">
        <f>IFERROR(IF('Bulk Order Details'!T117="","",IF(_xlfn.XLOOKUP('Bulk Order Details'!T117,Chest[Display],Chest[Use])="Flat",_xlfn.XLOOKUP('Bulk Order Details'!T117,Chest[Display],Chest[Flat]),ROUND(_xlfn.XLOOKUP('Bulk Order Details'!T117,Chest[Display],Chest[Pct])*$E107,2))),"")</f>
        <v/>
      </c>
      <c r="O107" s="22" t="str">
        <f>IFERROR(IF('Bulk Order Details'!U117="","",IF(_xlfn.XLOOKUP('Bulk Order Details'!U117,LeftSleeve[Display],LeftSleeve[Use])="Flat",_xlfn.XLOOKUP('Bulk Order Details'!U117,LeftSleeve[Display],LeftSleeve[Flat]),ROUND(_xlfn.XLOOKUP('Bulk Order Details'!U117,LeftSleeve[Display],LeftSleeve[Pct])*$E107,2))),"")</f>
        <v/>
      </c>
      <c r="P107" s="22" t="str">
        <f>IFERROR(IF('Bulk Order Details'!V117="","",IF(_xlfn.XLOOKUP('Bulk Order Details'!V117,RightSleeve[Display],RightSleeve[Use])="Flat",_xlfn.XLOOKUP('Bulk Order Details'!V117,RightSleeve[Display],RightSleeve[Flat]),ROUND(_xlfn.XLOOKUP('Bulk Order Details'!V117,RightSleeve[Display],RightSleeve[Pct])*$E107,2))),"")</f>
        <v/>
      </c>
      <c r="Q107" s="27" t="str">
        <f>IF('Bulk Order Details'!M117="","",SUM(F107:P107))</f>
        <v/>
      </c>
      <c r="R107" s="24" t="str">
        <f t="shared" si="6"/>
        <v/>
      </c>
      <c r="S107" s="23" t="str">
        <f>IFERROR(MIN(IF(Summary!$D$11="Yes",-J107,0),IF(H107&gt;0,-J107,0)),"")</f>
        <v/>
      </c>
      <c r="T107" s="16" t="str">
        <f>IFERROR(IF(Summary!$D$10="Yes",-K107,""),"")</f>
        <v/>
      </c>
      <c r="U107" s="18" t="str">
        <f>IFERROR(IF(Summary!$D$12="Yes",-L107,""),"")</f>
        <v/>
      </c>
      <c r="V107" s="25" t="str">
        <f>IF('Bulk Order Details'!M117="","",SUM(R107:U107))</f>
        <v/>
      </c>
      <c r="W107" s="36" t="str">
        <f>IF('Bulk Order Details'!M117="","",D107+Q107)</f>
        <v/>
      </c>
      <c r="X107" s="37" t="str">
        <f>IF('Bulk Order Details'!M117="","",D107+Q107+V107)</f>
        <v/>
      </c>
      <c r="Y107" s="168" t="str">
        <f t="shared" si="5"/>
        <v/>
      </c>
      <c r="Z107" s="173" t="str">
        <f>IF('Bulk Order Details'!M117="","",MAX(1,'Bulk Order Details'!G117))</f>
        <v/>
      </c>
      <c r="AA107" s="196" t="str">
        <f>IF(Pricing_Details[[#This Row],[Quantity]]="","",Pricing_Details[[#This Row],[Retail Price]]*Pricing_Details[[#This Row],[Quantity]])</f>
        <v/>
      </c>
      <c r="AB107" s="196" t="str">
        <f>IF(Pricing_Details[[#This Row],[Quantity]]="","",Pricing_Details[[#This Row],[Total Discount]]*Pricing_Details[[#This Row],[Quantity]])</f>
        <v/>
      </c>
      <c r="AC107" s="176" t="str">
        <f>IFERROR(ROUND(Pricing_Details[[#This Row],[Actual Price]]*Pricing_Details[[#This Row],[Quantity]],2),"")</f>
        <v/>
      </c>
      <c r="AE107" s="156" t="str">
        <f>IF('Bulk Order Details'!M117="","",VLOOKUP('Bulk Order Details'!K117,Collection[],3)&amp;VLOOKUP('Bulk Order Details'!M117,Collar[],4)&amp;VLOOKUP('Bulk Order Details'!L117,Sleeve[],4))</f>
        <v/>
      </c>
      <c r="AF107" s="156" t="str">
        <f>IF('Bulk Order Details'!M117="","",LOOKUP('Bulk Order Details'!H117,Cut[Display],Cut[Code])&amp;LOOKUP('Bulk Order Details'!I117,#REF!,#REF!)&amp;IF('Bulk Order Details'!J117="","",LOOKUP('Bulk Order Details'!J117,Length[Display],Length[Code])))</f>
        <v/>
      </c>
      <c r="AG107" s="156" t="str">
        <f>IF('Bulk Order Details'!M117="","",IF('Bulk Order Details'!F117="","",'Bulk Order Details'!F117))</f>
        <v/>
      </c>
      <c r="AH107" s="156" t="str">
        <f>IF('Bulk Order Details'!R117="","","-"&amp;LOOKUP('Bulk Order Details'!R117,#REF!,#REF!))</f>
        <v/>
      </c>
      <c r="AI107" s="156" t="str">
        <f>IF('Bulk Order Details'!S117="","","-"&amp;LOOKUP('Bulk Order Details'!S117,#REF!,#REF!))</f>
        <v/>
      </c>
      <c r="AJ107" s="156" t="str">
        <f>IF('Bulk Order Details'!T117="","","-"&amp;LOOKUP('Bulk Order Details'!T117,#REF!,#REF!))</f>
        <v/>
      </c>
      <c r="AK107" s="156" t="str">
        <f>IF('Bulk Order Details'!U117="","","-"&amp;LOOKUP('Bulk Order Details'!U117,#REF!,#REF!))</f>
        <v/>
      </c>
      <c r="AL107" s="156" t="str">
        <f>IF('Bulk Order Details'!V117="","","-"&amp;LOOKUP('Bulk Order Details'!V117,#REF!,#REF!))</f>
        <v/>
      </c>
      <c r="AM107" s="156" t="str">
        <f t="shared" si="7"/>
        <v/>
      </c>
      <c r="AN107" s="156" t="str">
        <f>IF('Bulk Order Details'!N117="","","Na-"&amp;'Bulk Order Details'!N117)</f>
        <v/>
      </c>
      <c r="AO107" s="156" t="str">
        <f>IF('Bulk Order Details'!Q117="","","Fo-"&amp;'Bulk Order Details'!Q117)</f>
        <v/>
      </c>
      <c r="AP107" s="156" t="str">
        <f t="shared" si="8"/>
        <v/>
      </c>
      <c r="AQ107" s="37" t="str">
        <f t="shared" si="9"/>
        <v/>
      </c>
    </row>
    <row r="108" spans="2:43" ht="15" customHeight="1" x14ac:dyDescent="0.2">
      <c r="B108" s="34">
        <f>'Bulk Order Details'!B118</f>
        <v>105</v>
      </c>
      <c r="C108" s="34" t="str">
        <f>IF('Bulk Order Details'!C118="","",'Bulk Order Details'!C118&amp;" "&amp;'Bulk Order Details'!D118)</f>
        <v/>
      </c>
      <c r="D108" s="31" t="str">
        <f>IF('Bulk Order Details'!M118="","",VLOOKUP(1,Price[],3))</f>
        <v/>
      </c>
      <c r="E108" s="29" t="str">
        <f>IF('Bulk Order Details'!M118="","",Summary!$D$9)</f>
        <v/>
      </c>
      <c r="F108" s="16" t="str">
        <f>IF('Bulk Order Details'!I118="","",_xlfn.XLOOKUP('Bulk Order Details'!I118,Size[Display],Size[Price]))</f>
        <v/>
      </c>
      <c r="G108" s="16" t="str">
        <f>IF('Bulk Order Details'!J118="","",_xlfn.XLOOKUP('Bulk Order Details'!J118,Length[Display],Length[Price]))</f>
        <v/>
      </c>
      <c r="H108" s="16" t="str">
        <f>IF('Bulk Order Details'!K118="","",_xlfn.XLOOKUP('Bulk Order Details'!K118,Collection[Display],Collection[Price]))</f>
        <v/>
      </c>
      <c r="I108" s="16" t="str">
        <f>IF('Bulk Order Details'!L118="","",_xlfn.XLOOKUP('Bulk Order Details'!L118,Sleeve[Display],Sleeve[Price]))</f>
        <v/>
      </c>
      <c r="J108" s="16" t="str">
        <f>IF('Bulk Order Details'!M118="","",_xlfn.XLOOKUP('Bulk Order Details'!M118,Collar[Display],Collar[Price]))</f>
        <v/>
      </c>
      <c r="K108" s="16" t="str">
        <f>IF('Bulk Order Details'!N118="","",_xlfn.XLOOKUP("Name",Name[Name],Name[Price]))</f>
        <v/>
      </c>
      <c r="L108" s="18" t="str">
        <f>IFERROR(IF('Bulk Order Details'!R118="","",IF(_xlfn.XLOOKUP('Bulk Order Details'!R118,Logos[Display],Logos[Use])="Flat",_xlfn.XLOOKUP('Bulk Order Details'!R118,Logos[Display],Logos[Flat]),ROUND(_xlfn.XLOOKUP('Bulk Order Details'!R118,Logos[Display],Logos[Pct])*$E108,2))),"")</f>
        <v/>
      </c>
      <c r="M108" s="22" t="str">
        <f>IFERROR(IF('Bulk Order Details'!S118="","",IF(_xlfn.XLOOKUP('Bulk Order Details'!S118,Chest[Display],Chest[Use])="Flat",_xlfn.XLOOKUP('Bulk Order Details'!S118,Chest[Display],Chest[Flat]),ROUND(_xlfn.XLOOKUP('Bulk Order Details'!S118,Chest[Display],Chest[Pct])*$E108,2))),"")</f>
        <v/>
      </c>
      <c r="N108" s="22" t="str">
        <f>IFERROR(IF('Bulk Order Details'!T118="","",IF(_xlfn.XLOOKUP('Bulk Order Details'!T118,Chest[Display],Chest[Use])="Flat",_xlfn.XLOOKUP('Bulk Order Details'!T118,Chest[Display],Chest[Flat]),ROUND(_xlfn.XLOOKUP('Bulk Order Details'!T118,Chest[Display],Chest[Pct])*$E108,2))),"")</f>
        <v/>
      </c>
      <c r="O108" s="22" t="str">
        <f>IFERROR(IF('Bulk Order Details'!U118="","",IF(_xlfn.XLOOKUP('Bulk Order Details'!U118,LeftSleeve[Display],LeftSleeve[Use])="Flat",_xlfn.XLOOKUP('Bulk Order Details'!U118,LeftSleeve[Display],LeftSleeve[Flat]),ROUND(_xlfn.XLOOKUP('Bulk Order Details'!U118,LeftSleeve[Display],LeftSleeve[Pct])*$E108,2))),"")</f>
        <v/>
      </c>
      <c r="P108" s="22" t="str">
        <f>IFERROR(IF('Bulk Order Details'!V118="","",IF(_xlfn.XLOOKUP('Bulk Order Details'!V118,RightSleeve[Display],RightSleeve[Use])="Flat",_xlfn.XLOOKUP('Bulk Order Details'!V118,RightSleeve[Display],RightSleeve[Flat]),ROUND(_xlfn.XLOOKUP('Bulk Order Details'!V118,RightSleeve[Display],RightSleeve[Pct])*$E108,2))),"")</f>
        <v/>
      </c>
      <c r="Q108" s="27" t="str">
        <f>IF('Bulk Order Details'!M118="","",SUM(F108:P108))</f>
        <v/>
      </c>
      <c r="R108" s="24" t="str">
        <f t="shared" si="6"/>
        <v/>
      </c>
      <c r="S108" s="23" t="str">
        <f>IFERROR(MIN(IF(Summary!$D$11="Yes",-J108,0),IF(H108&gt;0,-J108,0)),"")</f>
        <v/>
      </c>
      <c r="T108" s="16" t="str">
        <f>IFERROR(IF(Summary!$D$10="Yes",-K108,""),"")</f>
        <v/>
      </c>
      <c r="U108" s="18" t="str">
        <f>IFERROR(IF(Summary!$D$12="Yes",-L108,""),"")</f>
        <v/>
      </c>
      <c r="V108" s="25" t="str">
        <f>IF('Bulk Order Details'!M118="","",SUM(R108:U108))</f>
        <v/>
      </c>
      <c r="W108" s="36" t="str">
        <f>IF('Bulk Order Details'!M118="","",D108+Q108)</f>
        <v/>
      </c>
      <c r="X108" s="37" t="str">
        <f>IF('Bulk Order Details'!M118="","",D108+Q108+V108)</f>
        <v/>
      </c>
      <c r="Y108" s="168" t="str">
        <f t="shared" si="5"/>
        <v/>
      </c>
      <c r="Z108" s="173" t="str">
        <f>IF('Bulk Order Details'!M118="","",MAX(1,'Bulk Order Details'!G118))</f>
        <v/>
      </c>
      <c r="AA108" s="196" t="str">
        <f>IF(Pricing_Details[[#This Row],[Quantity]]="","",Pricing_Details[[#This Row],[Retail Price]]*Pricing_Details[[#This Row],[Quantity]])</f>
        <v/>
      </c>
      <c r="AB108" s="196" t="str">
        <f>IF(Pricing_Details[[#This Row],[Quantity]]="","",Pricing_Details[[#This Row],[Total Discount]]*Pricing_Details[[#This Row],[Quantity]])</f>
        <v/>
      </c>
      <c r="AC108" s="176" t="str">
        <f>IFERROR(ROUND(Pricing_Details[[#This Row],[Actual Price]]*Pricing_Details[[#This Row],[Quantity]],2),"")</f>
        <v/>
      </c>
      <c r="AE108" s="156" t="str">
        <f>IF('Bulk Order Details'!M118="","",VLOOKUP('Bulk Order Details'!K118,Collection[],3)&amp;VLOOKUP('Bulk Order Details'!M118,Collar[],4)&amp;VLOOKUP('Bulk Order Details'!L118,Sleeve[],4))</f>
        <v/>
      </c>
      <c r="AF108" s="156" t="str">
        <f>IF('Bulk Order Details'!M118="","",LOOKUP('Bulk Order Details'!H118,Cut[Display],Cut[Code])&amp;LOOKUP('Bulk Order Details'!I118,#REF!,#REF!)&amp;IF('Bulk Order Details'!J118="","",LOOKUP('Bulk Order Details'!J118,Length[Display],Length[Code])))</f>
        <v/>
      </c>
      <c r="AG108" s="156" t="str">
        <f>IF('Bulk Order Details'!M118="","",IF('Bulk Order Details'!F118="","",'Bulk Order Details'!F118))</f>
        <v/>
      </c>
      <c r="AH108" s="156" t="str">
        <f>IF('Bulk Order Details'!R118="","","-"&amp;LOOKUP('Bulk Order Details'!R118,#REF!,#REF!))</f>
        <v/>
      </c>
      <c r="AI108" s="156" t="str">
        <f>IF('Bulk Order Details'!S118="","","-"&amp;LOOKUP('Bulk Order Details'!S118,#REF!,#REF!))</f>
        <v/>
      </c>
      <c r="AJ108" s="156" t="str">
        <f>IF('Bulk Order Details'!T118="","","-"&amp;LOOKUP('Bulk Order Details'!T118,#REF!,#REF!))</f>
        <v/>
      </c>
      <c r="AK108" s="156" t="str">
        <f>IF('Bulk Order Details'!U118="","","-"&amp;LOOKUP('Bulk Order Details'!U118,#REF!,#REF!))</f>
        <v/>
      </c>
      <c r="AL108" s="156" t="str">
        <f>IF('Bulk Order Details'!V118="","","-"&amp;LOOKUP('Bulk Order Details'!V118,#REF!,#REF!))</f>
        <v/>
      </c>
      <c r="AM108" s="156" t="str">
        <f t="shared" si="7"/>
        <v/>
      </c>
      <c r="AN108" s="156" t="str">
        <f>IF('Bulk Order Details'!N118="","","Na-"&amp;'Bulk Order Details'!N118)</f>
        <v/>
      </c>
      <c r="AO108" s="156" t="str">
        <f>IF('Bulk Order Details'!Q118="","","Fo-"&amp;'Bulk Order Details'!Q118)</f>
        <v/>
      </c>
      <c r="AP108" s="156" t="str">
        <f t="shared" si="8"/>
        <v/>
      </c>
      <c r="AQ108" s="37" t="str">
        <f t="shared" si="9"/>
        <v/>
      </c>
    </row>
    <row r="109" spans="2:43" ht="15" customHeight="1" x14ac:dyDescent="0.2">
      <c r="B109" s="34">
        <f>'Bulk Order Details'!B119</f>
        <v>106</v>
      </c>
      <c r="C109" s="34" t="str">
        <f>IF('Bulk Order Details'!C119="","",'Bulk Order Details'!C119&amp;" "&amp;'Bulk Order Details'!D119)</f>
        <v/>
      </c>
      <c r="D109" s="31" t="str">
        <f>IF('Bulk Order Details'!M119="","",VLOOKUP(1,Price[],3))</f>
        <v/>
      </c>
      <c r="E109" s="29" t="str">
        <f>IF('Bulk Order Details'!M119="","",Summary!$D$9)</f>
        <v/>
      </c>
      <c r="F109" s="16" t="str">
        <f>IF('Bulk Order Details'!I119="","",_xlfn.XLOOKUP('Bulk Order Details'!I119,Size[Display],Size[Price]))</f>
        <v/>
      </c>
      <c r="G109" s="16" t="str">
        <f>IF('Bulk Order Details'!J119="","",_xlfn.XLOOKUP('Bulk Order Details'!J119,Length[Display],Length[Price]))</f>
        <v/>
      </c>
      <c r="H109" s="16" t="str">
        <f>IF('Bulk Order Details'!K119="","",_xlfn.XLOOKUP('Bulk Order Details'!K119,Collection[Display],Collection[Price]))</f>
        <v/>
      </c>
      <c r="I109" s="16" t="str">
        <f>IF('Bulk Order Details'!L119="","",_xlfn.XLOOKUP('Bulk Order Details'!L119,Sleeve[Display],Sleeve[Price]))</f>
        <v/>
      </c>
      <c r="J109" s="16" t="str">
        <f>IF('Bulk Order Details'!M119="","",_xlfn.XLOOKUP('Bulk Order Details'!M119,Collar[Display],Collar[Price]))</f>
        <v/>
      </c>
      <c r="K109" s="16" t="str">
        <f>IF('Bulk Order Details'!N119="","",_xlfn.XLOOKUP("Name",Name[Name],Name[Price]))</f>
        <v/>
      </c>
      <c r="L109" s="18" t="str">
        <f>IFERROR(IF('Bulk Order Details'!R119="","",IF(_xlfn.XLOOKUP('Bulk Order Details'!R119,Logos[Display],Logos[Use])="Flat",_xlfn.XLOOKUP('Bulk Order Details'!R119,Logos[Display],Logos[Flat]),ROUND(_xlfn.XLOOKUP('Bulk Order Details'!R119,Logos[Display],Logos[Pct])*$E109,2))),"")</f>
        <v/>
      </c>
      <c r="M109" s="22" t="str">
        <f>IFERROR(IF('Bulk Order Details'!S119="","",IF(_xlfn.XLOOKUP('Bulk Order Details'!S119,Chest[Display],Chest[Use])="Flat",_xlfn.XLOOKUP('Bulk Order Details'!S119,Chest[Display],Chest[Flat]),ROUND(_xlfn.XLOOKUP('Bulk Order Details'!S119,Chest[Display],Chest[Pct])*$E109,2))),"")</f>
        <v/>
      </c>
      <c r="N109" s="22" t="str">
        <f>IFERROR(IF('Bulk Order Details'!T119="","",IF(_xlfn.XLOOKUP('Bulk Order Details'!T119,Chest[Display],Chest[Use])="Flat",_xlfn.XLOOKUP('Bulk Order Details'!T119,Chest[Display],Chest[Flat]),ROUND(_xlfn.XLOOKUP('Bulk Order Details'!T119,Chest[Display],Chest[Pct])*$E109,2))),"")</f>
        <v/>
      </c>
      <c r="O109" s="22" t="str">
        <f>IFERROR(IF('Bulk Order Details'!U119="","",IF(_xlfn.XLOOKUP('Bulk Order Details'!U119,LeftSleeve[Display],LeftSleeve[Use])="Flat",_xlfn.XLOOKUP('Bulk Order Details'!U119,LeftSleeve[Display],LeftSleeve[Flat]),ROUND(_xlfn.XLOOKUP('Bulk Order Details'!U119,LeftSleeve[Display],LeftSleeve[Pct])*$E109,2))),"")</f>
        <v/>
      </c>
      <c r="P109" s="22" t="str">
        <f>IFERROR(IF('Bulk Order Details'!V119="","",IF(_xlfn.XLOOKUP('Bulk Order Details'!V119,RightSleeve[Display],RightSleeve[Use])="Flat",_xlfn.XLOOKUP('Bulk Order Details'!V119,RightSleeve[Display],RightSleeve[Flat]),ROUND(_xlfn.XLOOKUP('Bulk Order Details'!V119,RightSleeve[Display],RightSleeve[Pct])*$E109,2))),"")</f>
        <v/>
      </c>
      <c r="Q109" s="27" t="str">
        <f>IF('Bulk Order Details'!M119="","",SUM(F109:P109))</f>
        <v/>
      </c>
      <c r="R109" s="24" t="str">
        <f t="shared" si="6"/>
        <v/>
      </c>
      <c r="S109" s="23" t="str">
        <f>IFERROR(MIN(IF(Summary!$D$11="Yes",-J109,0),IF(H109&gt;0,-J109,0)),"")</f>
        <v/>
      </c>
      <c r="T109" s="16" t="str">
        <f>IFERROR(IF(Summary!$D$10="Yes",-K109,""),"")</f>
        <v/>
      </c>
      <c r="U109" s="18" t="str">
        <f>IFERROR(IF(Summary!$D$12="Yes",-L109,""),"")</f>
        <v/>
      </c>
      <c r="V109" s="25" t="str">
        <f>IF('Bulk Order Details'!M119="","",SUM(R109:U109))</f>
        <v/>
      </c>
      <c r="W109" s="36" t="str">
        <f>IF('Bulk Order Details'!M119="","",D109+Q109)</f>
        <v/>
      </c>
      <c r="X109" s="37" t="str">
        <f>IF('Bulk Order Details'!M119="","",D109+Q109+V109)</f>
        <v/>
      </c>
      <c r="Y109" s="168" t="str">
        <f t="shared" si="5"/>
        <v/>
      </c>
      <c r="Z109" s="173" t="str">
        <f>IF('Bulk Order Details'!M119="","",MAX(1,'Bulk Order Details'!G119))</f>
        <v/>
      </c>
      <c r="AA109" s="196" t="str">
        <f>IF(Pricing_Details[[#This Row],[Quantity]]="","",Pricing_Details[[#This Row],[Retail Price]]*Pricing_Details[[#This Row],[Quantity]])</f>
        <v/>
      </c>
      <c r="AB109" s="196" t="str">
        <f>IF(Pricing_Details[[#This Row],[Quantity]]="","",Pricing_Details[[#This Row],[Total Discount]]*Pricing_Details[[#This Row],[Quantity]])</f>
        <v/>
      </c>
      <c r="AC109" s="176" t="str">
        <f>IFERROR(ROUND(Pricing_Details[[#This Row],[Actual Price]]*Pricing_Details[[#This Row],[Quantity]],2),"")</f>
        <v/>
      </c>
      <c r="AE109" s="156" t="str">
        <f>IF('Bulk Order Details'!M119="","",VLOOKUP('Bulk Order Details'!K119,Collection[],3)&amp;VLOOKUP('Bulk Order Details'!M119,Collar[],4)&amp;VLOOKUP('Bulk Order Details'!L119,Sleeve[],4))</f>
        <v/>
      </c>
      <c r="AF109" s="156" t="str">
        <f>IF('Bulk Order Details'!M119="","",LOOKUP('Bulk Order Details'!H119,Cut[Display],Cut[Code])&amp;LOOKUP('Bulk Order Details'!I119,#REF!,#REF!)&amp;IF('Bulk Order Details'!J119="","",LOOKUP('Bulk Order Details'!J119,Length[Display],Length[Code])))</f>
        <v/>
      </c>
      <c r="AG109" s="156" t="str">
        <f>IF('Bulk Order Details'!M119="","",IF('Bulk Order Details'!F119="","",'Bulk Order Details'!F119))</f>
        <v/>
      </c>
      <c r="AH109" s="156" t="str">
        <f>IF('Bulk Order Details'!R119="","","-"&amp;LOOKUP('Bulk Order Details'!R119,#REF!,#REF!))</f>
        <v/>
      </c>
      <c r="AI109" s="156" t="str">
        <f>IF('Bulk Order Details'!S119="","","-"&amp;LOOKUP('Bulk Order Details'!S119,#REF!,#REF!))</f>
        <v/>
      </c>
      <c r="AJ109" s="156" t="str">
        <f>IF('Bulk Order Details'!T119="","","-"&amp;LOOKUP('Bulk Order Details'!T119,#REF!,#REF!))</f>
        <v/>
      </c>
      <c r="AK109" s="156" t="str">
        <f>IF('Bulk Order Details'!U119="","","-"&amp;LOOKUP('Bulk Order Details'!U119,#REF!,#REF!))</f>
        <v/>
      </c>
      <c r="AL109" s="156" t="str">
        <f>IF('Bulk Order Details'!V119="","","-"&amp;LOOKUP('Bulk Order Details'!V119,#REF!,#REF!))</f>
        <v/>
      </c>
      <c r="AM109" s="156" t="str">
        <f t="shared" si="7"/>
        <v/>
      </c>
      <c r="AN109" s="156" t="str">
        <f>IF('Bulk Order Details'!N119="","","Na-"&amp;'Bulk Order Details'!N119)</f>
        <v/>
      </c>
      <c r="AO109" s="156" t="str">
        <f>IF('Bulk Order Details'!Q119="","","Fo-"&amp;'Bulk Order Details'!Q119)</f>
        <v/>
      </c>
      <c r="AP109" s="156" t="str">
        <f t="shared" si="8"/>
        <v/>
      </c>
      <c r="AQ109" s="37" t="str">
        <f t="shared" si="9"/>
        <v/>
      </c>
    </row>
    <row r="110" spans="2:43" ht="15" customHeight="1" x14ac:dyDescent="0.2">
      <c r="B110" s="34">
        <f>'Bulk Order Details'!B120</f>
        <v>107</v>
      </c>
      <c r="C110" s="34" t="str">
        <f>IF('Bulk Order Details'!C120="","",'Bulk Order Details'!C120&amp;" "&amp;'Bulk Order Details'!D120)</f>
        <v/>
      </c>
      <c r="D110" s="31" t="str">
        <f>IF('Bulk Order Details'!M120="","",VLOOKUP(1,Price[],3))</f>
        <v/>
      </c>
      <c r="E110" s="29" t="str">
        <f>IF('Bulk Order Details'!M120="","",Summary!$D$9)</f>
        <v/>
      </c>
      <c r="F110" s="16" t="str">
        <f>IF('Bulk Order Details'!I120="","",_xlfn.XLOOKUP('Bulk Order Details'!I120,Size[Display],Size[Price]))</f>
        <v/>
      </c>
      <c r="G110" s="16" t="str">
        <f>IF('Bulk Order Details'!J120="","",_xlfn.XLOOKUP('Bulk Order Details'!J120,Length[Display],Length[Price]))</f>
        <v/>
      </c>
      <c r="H110" s="16" t="str">
        <f>IF('Bulk Order Details'!K120="","",_xlfn.XLOOKUP('Bulk Order Details'!K120,Collection[Display],Collection[Price]))</f>
        <v/>
      </c>
      <c r="I110" s="16" t="str">
        <f>IF('Bulk Order Details'!L120="","",_xlfn.XLOOKUP('Bulk Order Details'!L120,Sleeve[Display],Sleeve[Price]))</f>
        <v/>
      </c>
      <c r="J110" s="16" t="str">
        <f>IF('Bulk Order Details'!M120="","",_xlfn.XLOOKUP('Bulk Order Details'!M120,Collar[Display],Collar[Price]))</f>
        <v/>
      </c>
      <c r="K110" s="16" t="str">
        <f>IF('Bulk Order Details'!N120="","",_xlfn.XLOOKUP("Name",Name[Name],Name[Price]))</f>
        <v/>
      </c>
      <c r="L110" s="18" t="str">
        <f>IFERROR(IF('Bulk Order Details'!R120="","",IF(_xlfn.XLOOKUP('Bulk Order Details'!R120,Logos[Display],Logos[Use])="Flat",_xlfn.XLOOKUP('Bulk Order Details'!R120,Logos[Display],Logos[Flat]),ROUND(_xlfn.XLOOKUP('Bulk Order Details'!R120,Logos[Display],Logos[Pct])*$E110,2))),"")</f>
        <v/>
      </c>
      <c r="M110" s="22" t="str">
        <f>IFERROR(IF('Bulk Order Details'!S120="","",IF(_xlfn.XLOOKUP('Bulk Order Details'!S120,Chest[Display],Chest[Use])="Flat",_xlfn.XLOOKUP('Bulk Order Details'!S120,Chest[Display],Chest[Flat]),ROUND(_xlfn.XLOOKUP('Bulk Order Details'!S120,Chest[Display],Chest[Pct])*$E110,2))),"")</f>
        <v/>
      </c>
      <c r="N110" s="22" t="str">
        <f>IFERROR(IF('Bulk Order Details'!T120="","",IF(_xlfn.XLOOKUP('Bulk Order Details'!T120,Chest[Display],Chest[Use])="Flat",_xlfn.XLOOKUP('Bulk Order Details'!T120,Chest[Display],Chest[Flat]),ROUND(_xlfn.XLOOKUP('Bulk Order Details'!T120,Chest[Display],Chest[Pct])*$E110,2))),"")</f>
        <v/>
      </c>
      <c r="O110" s="22" t="str">
        <f>IFERROR(IF('Bulk Order Details'!U120="","",IF(_xlfn.XLOOKUP('Bulk Order Details'!U120,LeftSleeve[Display],LeftSleeve[Use])="Flat",_xlfn.XLOOKUP('Bulk Order Details'!U120,LeftSleeve[Display],LeftSleeve[Flat]),ROUND(_xlfn.XLOOKUP('Bulk Order Details'!U120,LeftSleeve[Display],LeftSleeve[Pct])*$E110,2))),"")</f>
        <v/>
      </c>
      <c r="P110" s="22" t="str">
        <f>IFERROR(IF('Bulk Order Details'!V120="","",IF(_xlfn.XLOOKUP('Bulk Order Details'!V120,RightSleeve[Display],RightSleeve[Use])="Flat",_xlfn.XLOOKUP('Bulk Order Details'!V120,RightSleeve[Display],RightSleeve[Flat]),ROUND(_xlfn.XLOOKUP('Bulk Order Details'!V120,RightSleeve[Display],RightSleeve[Pct])*$E110,2))),"")</f>
        <v/>
      </c>
      <c r="Q110" s="27" t="str">
        <f>IF('Bulk Order Details'!M120="","",SUM(F110:P110))</f>
        <v/>
      </c>
      <c r="R110" s="24" t="str">
        <f t="shared" si="6"/>
        <v/>
      </c>
      <c r="S110" s="23" t="str">
        <f>IFERROR(MIN(IF(Summary!$D$11="Yes",-J110,0),IF(H110&gt;0,-J110,0)),"")</f>
        <v/>
      </c>
      <c r="T110" s="16" t="str">
        <f>IFERROR(IF(Summary!$D$10="Yes",-K110,""),"")</f>
        <v/>
      </c>
      <c r="U110" s="18" t="str">
        <f>IFERROR(IF(Summary!$D$12="Yes",-L110,""),"")</f>
        <v/>
      </c>
      <c r="V110" s="25" t="str">
        <f>IF('Bulk Order Details'!M120="","",SUM(R110:U110))</f>
        <v/>
      </c>
      <c r="W110" s="36" t="str">
        <f>IF('Bulk Order Details'!M120="","",D110+Q110)</f>
        <v/>
      </c>
      <c r="X110" s="37" t="str">
        <f>IF('Bulk Order Details'!M120="","",D110+Q110+V110)</f>
        <v/>
      </c>
      <c r="Y110" s="168" t="str">
        <f t="shared" si="5"/>
        <v/>
      </c>
      <c r="Z110" s="173" t="str">
        <f>IF('Bulk Order Details'!M120="","",MAX(1,'Bulk Order Details'!G120))</f>
        <v/>
      </c>
      <c r="AA110" s="196" t="str">
        <f>IF(Pricing_Details[[#This Row],[Quantity]]="","",Pricing_Details[[#This Row],[Retail Price]]*Pricing_Details[[#This Row],[Quantity]])</f>
        <v/>
      </c>
      <c r="AB110" s="196" t="str">
        <f>IF(Pricing_Details[[#This Row],[Quantity]]="","",Pricing_Details[[#This Row],[Total Discount]]*Pricing_Details[[#This Row],[Quantity]])</f>
        <v/>
      </c>
      <c r="AC110" s="176" t="str">
        <f>IFERROR(ROUND(Pricing_Details[[#This Row],[Actual Price]]*Pricing_Details[[#This Row],[Quantity]],2),"")</f>
        <v/>
      </c>
      <c r="AE110" s="156" t="str">
        <f>IF('Bulk Order Details'!M120="","",VLOOKUP('Bulk Order Details'!K120,Collection[],3)&amp;VLOOKUP('Bulk Order Details'!M120,Collar[],4)&amp;VLOOKUP('Bulk Order Details'!L120,Sleeve[],4))</f>
        <v/>
      </c>
      <c r="AF110" s="156" t="str">
        <f>IF('Bulk Order Details'!M120="","",LOOKUP('Bulk Order Details'!H120,Cut[Display],Cut[Code])&amp;LOOKUP('Bulk Order Details'!I120,#REF!,#REF!)&amp;IF('Bulk Order Details'!J120="","",LOOKUP('Bulk Order Details'!J120,Length[Display],Length[Code])))</f>
        <v/>
      </c>
      <c r="AG110" s="156" t="str">
        <f>IF('Bulk Order Details'!M120="","",IF('Bulk Order Details'!F120="","",'Bulk Order Details'!F120))</f>
        <v/>
      </c>
      <c r="AH110" s="156" t="str">
        <f>IF('Bulk Order Details'!R120="","","-"&amp;LOOKUP('Bulk Order Details'!R120,#REF!,#REF!))</f>
        <v/>
      </c>
      <c r="AI110" s="156" t="str">
        <f>IF('Bulk Order Details'!S120="","","-"&amp;LOOKUP('Bulk Order Details'!S120,#REF!,#REF!))</f>
        <v/>
      </c>
      <c r="AJ110" s="156" t="str">
        <f>IF('Bulk Order Details'!T120="","","-"&amp;LOOKUP('Bulk Order Details'!T120,#REF!,#REF!))</f>
        <v/>
      </c>
      <c r="AK110" s="156" t="str">
        <f>IF('Bulk Order Details'!U120="","","-"&amp;LOOKUP('Bulk Order Details'!U120,#REF!,#REF!))</f>
        <v/>
      </c>
      <c r="AL110" s="156" t="str">
        <f>IF('Bulk Order Details'!V120="","","-"&amp;LOOKUP('Bulk Order Details'!V120,#REF!,#REF!))</f>
        <v/>
      </c>
      <c r="AM110" s="156" t="str">
        <f t="shared" si="7"/>
        <v/>
      </c>
      <c r="AN110" s="156" t="str">
        <f>IF('Bulk Order Details'!N120="","","Na-"&amp;'Bulk Order Details'!N120)</f>
        <v/>
      </c>
      <c r="AO110" s="156" t="str">
        <f>IF('Bulk Order Details'!Q120="","","Fo-"&amp;'Bulk Order Details'!Q120)</f>
        <v/>
      </c>
      <c r="AP110" s="156" t="str">
        <f t="shared" si="8"/>
        <v/>
      </c>
      <c r="AQ110" s="37" t="str">
        <f t="shared" si="9"/>
        <v/>
      </c>
    </row>
    <row r="111" spans="2:43" ht="15" customHeight="1" x14ac:dyDescent="0.2">
      <c r="B111" s="34">
        <f>'Bulk Order Details'!B121</f>
        <v>108</v>
      </c>
      <c r="C111" s="34" t="str">
        <f>IF('Bulk Order Details'!C121="","",'Bulk Order Details'!C121&amp;" "&amp;'Bulk Order Details'!D121)</f>
        <v/>
      </c>
      <c r="D111" s="31" t="str">
        <f>IF('Bulk Order Details'!M121="","",VLOOKUP(1,Price[],3))</f>
        <v/>
      </c>
      <c r="E111" s="29" t="str">
        <f>IF('Bulk Order Details'!M121="","",Summary!$D$9)</f>
        <v/>
      </c>
      <c r="F111" s="16" t="str">
        <f>IF('Bulk Order Details'!I121="","",_xlfn.XLOOKUP('Bulk Order Details'!I121,Size[Display],Size[Price]))</f>
        <v/>
      </c>
      <c r="G111" s="16" t="str">
        <f>IF('Bulk Order Details'!J121="","",_xlfn.XLOOKUP('Bulk Order Details'!J121,Length[Display],Length[Price]))</f>
        <v/>
      </c>
      <c r="H111" s="16" t="str">
        <f>IF('Bulk Order Details'!K121="","",_xlfn.XLOOKUP('Bulk Order Details'!K121,Collection[Display],Collection[Price]))</f>
        <v/>
      </c>
      <c r="I111" s="16" t="str">
        <f>IF('Bulk Order Details'!L121="","",_xlfn.XLOOKUP('Bulk Order Details'!L121,Sleeve[Display],Sleeve[Price]))</f>
        <v/>
      </c>
      <c r="J111" s="16" t="str">
        <f>IF('Bulk Order Details'!M121="","",_xlfn.XLOOKUP('Bulk Order Details'!M121,Collar[Display],Collar[Price]))</f>
        <v/>
      </c>
      <c r="K111" s="16" t="str">
        <f>IF('Bulk Order Details'!N121="","",_xlfn.XLOOKUP("Name",Name[Name],Name[Price]))</f>
        <v/>
      </c>
      <c r="L111" s="18" t="str">
        <f>IFERROR(IF('Bulk Order Details'!R121="","",IF(_xlfn.XLOOKUP('Bulk Order Details'!R121,Logos[Display],Logos[Use])="Flat",_xlfn.XLOOKUP('Bulk Order Details'!R121,Logos[Display],Logos[Flat]),ROUND(_xlfn.XLOOKUP('Bulk Order Details'!R121,Logos[Display],Logos[Pct])*$E111,2))),"")</f>
        <v/>
      </c>
      <c r="M111" s="22" t="str">
        <f>IFERROR(IF('Bulk Order Details'!S121="","",IF(_xlfn.XLOOKUP('Bulk Order Details'!S121,Chest[Display],Chest[Use])="Flat",_xlfn.XLOOKUP('Bulk Order Details'!S121,Chest[Display],Chest[Flat]),ROUND(_xlfn.XLOOKUP('Bulk Order Details'!S121,Chest[Display],Chest[Pct])*$E111,2))),"")</f>
        <v/>
      </c>
      <c r="N111" s="22" t="str">
        <f>IFERROR(IF('Bulk Order Details'!T121="","",IF(_xlfn.XLOOKUP('Bulk Order Details'!T121,Chest[Display],Chest[Use])="Flat",_xlfn.XLOOKUP('Bulk Order Details'!T121,Chest[Display],Chest[Flat]),ROUND(_xlfn.XLOOKUP('Bulk Order Details'!T121,Chest[Display],Chest[Pct])*$E111,2))),"")</f>
        <v/>
      </c>
      <c r="O111" s="22" t="str">
        <f>IFERROR(IF('Bulk Order Details'!U121="","",IF(_xlfn.XLOOKUP('Bulk Order Details'!U121,LeftSleeve[Display],LeftSleeve[Use])="Flat",_xlfn.XLOOKUP('Bulk Order Details'!U121,LeftSleeve[Display],LeftSleeve[Flat]),ROUND(_xlfn.XLOOKUP('Bulk Order Details'!U121,LeftSleeve[Display],LeftSleeve[Pct])*$E111,2))),"")</f>
        <v/>
      </c>
      <c r="P111" s="22" t="str">
        <f>IFERROR(IF('Bulk Order Details'!V121="","",IF(_xlfn.XLOOKUP('Bulk Order Details'!V121,RightSleeve[Display],RightSleeve[Use])="Flat",_xlfn.XLOOKUP('Bulk Order Details'!V121,RightSleeve[Display],RightSleeve[Flat]),ROUND(_xlfn.XLOOKUP('Bulk Order Details'!V121,RightSleeve[Display],RightSleeve[Pct])*$E111,2))),"")</f>
        <v/>
      </c>
      <c r="Q111" s="27" t="str">
        <f>IF('Bulk Order Details'!M121="","",SUM(F111:P111))</f>
        <v/>
      </c>
      <c r="R111" s="24" t="str">
        <f t="shared" si="6"/>
        <v/>
      </c>
      <c r="S111" s="23" t="str">
        <f>IFERROR(MIN(IF(Summary!$D$11="Yes",-J111,0),IF(H111&gt;0,-J111,0)),"")</f>
        <v/>
      </c>
      <c r="T111" s="16" t="str">
        <f>IFERROR(IF(Summary!$D$10="Yes",-K111,""),"")</f>
        <v/>
      </c>
      <c r="U111" s="18" t="str">
        <f>IFERROR(IF(Summary!$D$12="Yes",-L111,""),"")</f>
        <v/>
      </c>
      <c r="V111" s="25" t="str">
        <f>IF('Bulk Order Details'!M121="","",SUM(R111:U111))</f>
        <v/>
      </c>
      <c r="W111" s="36" t="str">
        <f>IF('Bulk Order Details'!M121="","",D111+Q111)</f>
        <v/>
      </c>
      <c r="X111" s="37" t="str">
        <f>IF('Bulk Order Details'!M121="","",D111+Q111+V111)</f>
        <v/>
      </c>
      <c r="Y111" s="168" t="str">
        <f t="shared" si="5"/>
        <v/>
      </c>
      <c r="Z111" s="173" t="str">
        <f>IF('Bulk Order Details'!M121="","",MAX(1,'Bulk Order Details'!G121))</f>
        <v/>
      </c>
      <c r="AA111" s="196" t="str">
        <f>IF(Pricing_Details[[#This Row],[Quantity]]="","",Pricing_Details[[#This Row],[Retail Price]]*Pricing_Details[[#This Row],[Quantity]])</f>
        <v/>
      </c>
      <c r="AB111" s="196" t="str">
        <f>IF(Pricing_Details[[#This Row],[Quantity]]="","",Pricing_Details[[#This Row],[Total Discount]]*Pricing_Details[[#This Row],[Quantity]])</f>
        <v/>
      </c>
      <c r="AC111" s="176" t="str">
        <f>IFERROR(ROUND(Pricing_Details[[#This Row],[Actual Price]]*Pricing_Details[[#This Row],[Quantity]],2),"")</f>
        <v/>
      </c>
      <c r="AE111" s="156" t="str">
        <f>IF('Bulk Order Details'!M121="","",VLOOKUP('Bulk Order Details'!K121,Collection[],3)&amp;VLOOKUP('Bulk Order Details'!M121,Collar[],4)&amp;VLOOKUP('Bulk Order Details'!L121,Sleeve[],4))</f>
        <v/>
      </c>
      <c r="AF111" s="156" t="str">
        <f>IF('Bulk Order Details'!M121="","",LOOKUP('Bulk Order Details'!H121,Cut[Display],Cut[Code])&amp;LOOKUP('Bulk Order Details'!I121,#REF!,#REF!)&amp;IF('Bulk Order Details'!J121="","",LOOKUP('Bulk Order Details'!J121,Length[Display],Length[Code])))</f>
        <v/>
      </c>
      <c r="AG111" s="156" t="str">
        <f>IF('Bulk Order Details'!M121="","",IF('Bulk Order Details'!F121="","",'Bulk Order Details'!F121))</f>
        <v/>
      </c>
      <c r="AH111" s="156" t="str">
        <f>IF('Bulk Order Details'!R121="","","-"&amp;LOOKUP('Bulk Order Details'!R121,#REF!,#REF!))</f>
        <v/>
      </c>
      <c r="AI111" s="156" t="str">
        <f>IF('Bulk Order Details'!S121="","","-"&amp;LOOKUP('Bulk Order Details'!S121,#REF!,#REF!))</f>
        <v/>
      </c>
      <c r="AJ111" s="156" t="str">
        <f>IF('Bulk Order Details'!T121="","","-"&amp;LOOKUP('Bulk Order Details'!T121,#REF!,#REF!))</f>
        <v/>
      </c>
      <c r="AK111" s="156" t="str">
        <f>IF('Bulk Order Details'!U121="","","-"&amp;LOOKUP('Bulk Order Details'!U121,#REF!,#REF!))</f>
        <v/>
      </c>
      <c r="AL111" s="156" t="str">
        <f>IF('Bulk Order Details'!V121="","","-"&amp;LOOKUP('Bulk Order Details'!V121,#REF!,#REF!))</f>
        <v/>
      </c>
      <c r="AM111" s="156" t="str">
        <f t="shared" si="7"/>
        <v/>
      </c>
      <c r="AN111" s="156" t="str">
        <f>IF('Bulk Order Details'!N121="","","Na-"&amp;'Bulk Order Details'!N121)</f>
        <v/>
      </c>
      <c r="AO111" s="156" t="str">
        <f>IF('Bulk Order Details'!Q121="","","Fo-"&amp;'Bulk Order Details'!Q121)</f>
        <v/>
      </c>
      <c r="AP111" s="156" t="str">
        <f t="shared" si="8"/>
        <v/>
      </c>
      <c r="AQ111" s="37" t="str">
        <f t="shared" si="9"/>
        <v/>
      </c>
    </row>
    <row r="112" spans="2:43" ht="15" customHeight="1" x14ac:dyDescent="0.2">
      <c r="B112" s="34">
        <f>'Bulk Order Details'!B122</f>
        <v>109</v>
      </c>
      <c r="C112" s="34" t="str">
        <f>IF('Bulk Order Details'!C122="","",'Bulk Order Details'!C122&amp;" "&amp;'Bulk Order Details'!D122)</f>
        <v/>
      </c>
      <c r="D112" s="31" t="str">
        <f>IF('Bulk Order Details'!M122="","",VLOOKUP(1,Price[],3))</f>
        <v/>
      </c>
      <c r="E112" s="29" t="str">
        <f>IF('Bulk Order Details'!M122="","",Summary!$D$9)</f>
        <v/>
      </c>
      <c r="F112" s="16" t="str">
        <f>IF('Bulk Order Details'!I122="","",_xlfn.XLOOKUP('Bulk Order Details'!I122,Size[Display],Size[Price]))</f>
        <v/>
      </c>
      <c r="G112" s="16" t="str">
        <f>IF('Bulk Order Details'!J122="","",_xlfn.XLOOKUP('Bulk Order Details'!J122,Length[Display],Length[Price]))</f>
        <v/>
      </c>
      <c r="H112" s="16" t="str">
        <f>IF('Bulk Order Details'!K122="","",_xlfn.XLOOKUP('Bulk Order Details'!K122,Collection[Display],Collection[Price]))</f>
        <v/>
      </c>
      <c r="I112" s="16" t="str">
        <f>IF('Bulk Order Details'!L122="","",_xlfn.XLOOKUP('Bulk Order Details'!L122,Sleeve[Display],Sleeve[Price]))</f>
        <v/>
      </c>
      <c r="J112" s="16" t="str">
        <f>IF('Bulk Order Details'!M122="","",_xlfn.XLOOKUP('Bulk Order Details'!M122,Collar[Display],Collar[Price]))</f>
        <v/>
      </c>
      <c r="K112" s="16" t="str">
        <f>IF('Bulk Order Details'!N122="","",_xlfn.XLOOKUP("Name",Name[Name],Name[Price]))</f>
        <v/>
      </c>
      <c r="L112" s="18" t="str">
        <f>IFERROR(IF('Bulk Order Details'!R122="","",IF(_xlfn.XLOOKUP('Bulk Order Details'!R122,Logos[Display],Logos[Use])="Flat",_xlfn.XLOOKUP('Bulk Order Details'!R122,Logos[Display],Logos[Flat]),ROUND(_xlfn.XLOOKUP('Bulk Order Details'!R122,Logos[Display],Logos[Pct])*$E112,2))),"")</f>
        <v/>
      </c>
      <c r="M112" s="22" t="str">
        <f>IFERROR(IF('Bulk Order Details'!S122="","",IF(_xlfn.XLOOKUP('Bulk Order Details'!S122,Chest[Display],Chest[Use])="Flat",_xlfn.XLOOKUP('Bulk Order Details'!S122,Chest[Display],Chest[Flat]),ROUND(_xlfn.XLOOKUP('Bulk Order Details'!S122,Chest[Display],Chest[Pct])*$E112,2))),"")</f>
        <v/>
      </c>
      <c r="N112" s="22" t="str">
        <f>IFERROR(IF('Bulk Order Details'!T122="","",IF(_xlfn.XLOOKUP('Bulk Order Details'!T122,Chest[Display],Chest[Use])="Flat",_xlfn.XLOOKUP('Bulk Order Details'!T122,Chest[Display],Chest[Flat]),ROUND(_xlfn.XLOOKUP('Bulk Order Details'!T122,Chest[Display],Chest[Pct])*$E112,2))),"")</f>
        <v/>
      </c>
      <c r="O112" s="22" t="str">
        <f>IFERROR(IF('Bulk Order Details'!U122="","",IF(_xlfn.XLOOKUP('Bulk Order Details'!U122,LeftSleeve[Display],LeftSleeve[Use])="Flat",_xlfn.XLOOKUP('Bulk Order Details'!U122,LeftSleeve[Display],LeftSleeve[Flat]),ROUND(_xlfn.XLOOKUP('Bulk Order Details'!U122,LeftSleeve[Display],LeftSleeve[Pct])*$E112,2))),"")</f>
        <v/>
      </c>
      <c r="P112" s="22" t="str">
        <f>IFERROR(IF('Bulk Order Details'!V122="","",IF(_xlfn.XLOOKUP('Bulk Order Details'!V122,RightSleeve[Display],RightSleeve[Use])="Flat",_xlfn.XLOOKUP('Bulk Order Details'!V122,RightSleeve[Display],RightSleeve[Flat]),ROUND(_xlfn.XLOOKUP('Bulk Order Details'!V122,RightSleeve[Display],RightSleeve[Pct])*$E112,2))),"")</f>
        <v/>
      </c>
      <c r="Q112" s="27" t="str">
        <f>IF('Bulk Order Details'!M122="","",SUM(F112:P112))</f>
        <v/>
      </c>
      <c r="R112" s="24" t="str">
        <f t="shared" si="6"/>
        <v/>
      </c>
      <c r="S112" s="23" t="str">
        <f>IFERROR(MIN(IF(Summary!$D$11="Yes",-J112,0),IF(H112&gt;0,-J112,0)),"")</f>
        <v/>
      </c>
      <c r="T112" s="16" t="str">
        <f>IFERROR(IF(Summary!$D$10="Yes",-K112,""),"")</f>
        <v/>
      </c>
      <c r="U112" s="18" t="str">
        <f>IFERROR(IF(Summary!$D$12="Yes",-L112,""),"")</f>
        <v/>
      </c>
      <c r="V112" s="25" t="str">
        <f>IF('Bulk Order Details'!M122="","",SUM(R112:U112))</f>
        <v/>
      </c>
      <c r="W112" s="36" t="str">
        <f>IF('Bulk Order Details'!M122="","",D112+Q112)</f>
        <v/>
      </c>
      <c r="X112" s="37" t="str">
        <f>IF('Bulk Order Details'!M122="","",D112+Q112+V112)</f>
        <v/>
      </c>
      <c r="Y112" s="168" t="str">
        <f t="shared" si="5"/>
        <v/>
      </c>
      <c r="Z112" s="173" t="str">
        <f>IF('Bulk Order Details'!M122="","",MAX(1,'Bulk Order Details'!G122))</f>
        <v/>
      </c>
      <c r="AA112" s="196" t="str">
        <f>IF(Pricing_Details[[#This Row],[Quantity]]="","",Pricing_Details[[#This Row],[Retail Price]]*Pricing_Details[[#This Row],[Quantity]])</f>
        <v/>
      </c>
      <c r="AB112" s="196" t="str">
        <f>IF(Pricing_Details[[#This Row],[Quantity]]="","",Pricing_Details[[#This Row],[Total Discount]]*Pricing_Details[[#This Row],[Quantity]])</f>
        <v/>
      </c>
      <c r="AC112" s="176" t="str">
        <f>IFERROR(ROUND(Pricing_Details[[#This Row],[Actual Price]]*Pricing_Details[[#This Row],[Quantity]],2),"")</f>
        <v/>
      </c>
      <c r="AE112" s="156" t="str">
        <f>IF('Bulk Order Details'!M122="","",VLOOKUP('Bulk Order Details'!K122,Collection[],3)&amp;VLOOKUP('Bulk Order Details'!M122,Collar[],4)&amp;VLOOKUP('Bulk Order Details'!L122,Sleeve[],4))</f>
        <v/>
      </c>
      <c r="AF112" s="156" t="str">
        <f>IF('Bulk Order Details'!M122="","",LOOKUP('Bulk Order Details'!H122,Cut[Display],Cut[Code])&amp;LOOKUP('Bulk Order Details'!I122,#REF!,#REF!)&amp;IF('Bulk Order Details'!J122="","",LOOKUP('Bulk Order Details'!J122,Length[Display],Length[Code])))</f>
        <v/>
      </c>
      <c r="AG112" s="156" t="str">
        <f>IF('Bulk Order Details'!M122="","",IF('Bulk Order Details'!F122="","",'Bulk Order Details'!F122))</f>
        <v/>
      </c>
      <c r="AH112" s="156" t="str">
        <f>IF('Bulk Order Details'!R122="","","-"&amp;LOOKUP('Bulk Order Details'!R122,#REF!,#REF!))</f>
        <v/>
      </c>
      <c r="AI112" s="156" t="str">
        <f>IF('Bulk Order Details'!S122="","","-"&amp;LOOKUP('Bulk Order Details'!S122,#REF!,#REF!))</f>
        <v/>
      </c>
      <c r="AJ112" s="156" t="str">
        <f>IF('Bulk Order Details'!T122="","","-"&amp;LOOKUP('Bulk Order Details'!T122,#REF!,#REF!))</f>
        <v/>
      </c>
      <c r="AK112" s="156" t="str">
        <f>IF('Bulk Order Details'!U122="","","-"&amp;LOOKUP('Bulk Order Details'!U122,#REF!,#REF!))</f>
        <v/>
      </c>
      <c r="AL112" s="156" t="str">
        <f>IF('Bulk Order Details'!V122="","","-"&amp;LOOKUP('Bulk Order Details'!V122,#REF!,#REF!))</f>
        <v/>
      </c>
      <c r="AM112" s="156" t="str">
        <f t="shared" si="7"/>
        <v/>
      </c>
      <c r="AN112" s="156" t="str">
        <f>IF('Bulk Order Details'!N122="","","Na-"&amp;'Bulk Order Details'!N122)</f>
        <v/>
      </c>
      <c r="AO112" s="156" t="str">
        <f>IF('Bulk Order Details'!Q122="","","Fo-"&amp;'Bulk Order Details'!Q122)</f>
        <v/>
      </c>
      <c r="AP112" s="156" t="str">
        <f t="shared" si="8"/>
        <v/>
      </c>
      <c r="AQ112" s="37" t="str">
        <f t="shared" si="9"/>
        <v/>
      </c>
    </row>
    <row r="113" spans="2:43" ht="15" customHeight="1" x14ac:dyDescent="0.2">
      <c r="B113" s="34">
        <f>'Bulk Order Details'!B123</f>
        <v>110</v>
      </c>
      <c r="C113" s="34" t="str">
        <f>IF('Bulk Order Details'!C123="","",'Bulk Order Details'!C123&amp;" "&amp;'Bulk Order Details'!D123)</f>
        <v/>
      </c>
      <c r="D113" s="31" t="str">
        <f>IF('Bulk Order Details'!M123="","",VLOOKUP(1,Price[],3))</f>
        <v/>
      </c>
      <c r="E113" s="29" t="str">
        <f>IF('Bulk Order Details'!M123="","",Summary!$D$9)</f>
        <v/>
      </c>
      <c r="F113" s="16" t="str">
        <f>IF('Bulk Order Details'!I123="","",_xlfn.XLOOKUP('Bulk Order Details'!I123,Size[Display],Size[Price]))</f>
        <v/>
      </c>
      <c r="G113" s="16" t="str">
        <f>IF('Bulk Order Details'!J123="","",_xlfn.XLOOKUP('Bulk Order Details'!J123,Length[Display],Length[Price]))</f>
        <v/>
      </c>
      <c r="H113" s="16" t="str">
        <f>IF('Bulk Order Details'!K123="","",_xlfn.XLOOKUP('Bulk Order Details'!K123,Collection[Display],Collection[Price]))</f>
        <v/>
      </c>
      <c r="I113" s="16" t="str">
        <f>IF('Bulk Order Details'!L123="","",_xlfn.XLOOKUP('Bulk Order Details'!L123,Sleeve[Display],Sleeve[Price]))</f>
        <v/>
      </c>
      <c r="J113" s="16" t="str">
        <f>IF('Bulk Order Details'!M123="","",_xlfn.XLOOKUP('Bulk Order Details'!M123,Collar[Display],Collar[Price]))</f>
        <v/>
      </c>
      <c r="K113" s="16" t="str">
        <f>IF('Bulk Order Details'!N123="","",_xlfn.XLOOKUP("Name",Name[Name],Name[Price]))</f>
        <v/>
      </c>
      <c r="L113" s="18" t="str">
        <f>IFERROR(IF('Bulk Order Details'!R123="","",IF(_xlfn.XLOOKUP('Bulk Order Details'!R123,Logos[Display],Logos[Use])="Flat",_xlfn.XLOOKUP('Bulk Order Details'!R123,Logos[Display],Logos[Flat]),ROUND(_xlfn.XLOOKUP('Bulk Order Details'!R123,Logos[Display],Logos[Pct])*$E113,2))),"")</f>
        <v/>
      </c>
      <c r="M113" s="22" t="str">
        <f>IFERROR(IF('Bulk Order Details'!S123="","",IF(_xlfn.XLOOKUP('Bulk Order Details'!S123,Chest[Display],Chest[Use])="Flat",_xlfn.XLOOKUP('Bulk Order Details'!S123,Chest[Display],Chest[Flat]),ROUND(_xlfn.XLOOKUP('Bulk Order Details'!S123,Chest[Display],Chest[Pct])*$E113,2))),"")</f>
        <v/>
      </c>
      <c r="N113" s="22" t="str">
        <f>IFERROR(IF('Bulk Order Details'!T123="","",IF(_xlfn.XLOOKUP('Bulk Order Details'!T123,Chest[Display],Chest[Use])="Flat",_xlfn.XLOOKUP('Bulk Order Details'!T123,Chest[Display],Chest[Flat]),ROUND(_xlfn.XLOOKUP('Bulk Order Details'!T123,Chest[Display],Chest[Pct])*$E113,2))),"")</f>
        <v/>
      </c>
      <c r="O113" s="22" t="str">
        <f>IFERROR(IF('Bulk Order Details'!U123="","",IF(_xlfn.XLOOKUP('Bulk Order Details'!U123,LeftSleeve[Display],LeftSleeve[Use])="Flat",_xlfn.XLOOKUP('Bulk Order Details'!U123,LeftSleeve[Display],LeftSleeve[Flat]),ROUND(_xlfn.XLOOKUP('Bulk Order Details'!U123,LeftSleeve[Display],LeftSleeve[Pct])*$E113,2))),"")</f>
        <v/>
      </c>
      <c r="P113" s="22" t="str">
        <f>IFERROR(IF('Bulk Order Details'!V123="","",IF(_xlfn.XLOOKUP('Bulk Order Details'!V123,RightSleeve[Display],RightSleeve[Use])="Flat",_xlfn.XLOOKUP('Bulk Order Details'!V123,RightSleeve[Display],RightSleeve[Flat]),ROUND(_xlfn.XLOOKUP('Bulk Order Details'!V123,RightSleeve[Display],RightSleeve[Pct])*$E113,2))),"")</f>
        <v/>
      </c>
      <c r="Q113" s="27" t="str">
        <f>IF('Bulk Order Details'!M123="","",SUM(F113:P113))</f>
        <v/>
      </c>
      <c r="R113" s="24" t="str">
        <f t="shared" si="6"/>
        <v/>
      </c>
      <c r="S113" s="23" t="str">
        <f>IFERROR(MIN(IF(Summary!$D$11="Yes",-J113,0),IF(H113&gt;0,-J113,0)),"")</f>
        <v/>
      </c>
      <c r="T113" s="16" t="str">
        <f>IFERROR(IF(Summary!$D$10="Yes",-K113,""),"")</f>
        <v/>
      </c>
      <c r="U113" s="18" t="str">
        <f>IFERROR(IF(Summary!$D$12="Yes",-L113,""),"")</f>
        <v/>
      </c>
      <c r="V113" s="25" t="str">
        <f>IF('Bulk Order Details'!M123="","",SUM(R113:U113))</f>
        <v/>
      </c>
      <c r="W113" s="36" t="str">
        <f>IF('Bulk Order Details'!M123="","",D113+Q113)</f>
        <v/>
      </c>
      <c r="X113" s="37" t="str">
        <f>IF('Bulk Order Details'!M123="","",D113+Q113+V113)</f>
        <v/>
      </c>
      <c r="Y113" s="168" t="str">
        <f t="shared" si="5"/>
        <v/>
      </c>
      <c r="Z113" s="173" t="str">
        <f>IF('Bulk Order Details'!M123="","",MAX(1,'Bulk Order Details'!G123))</f>
        <v/>
      </c>
      <c r="AA113" s="196" t="str">
        <f>IF(Pricing_Details[[#This Row],[Quantity]]="","",Pricing_Details[[#This Row],[Retail Price]]*Pricing_Details[[#This Row],[Quantity]])</f>
        <v/>
      </c>
      <c r="AB113" s="196" t="str">
        <f>IF(Pricing_Details[[#This Row],[Quantity]]="","",Pricing_Details[[#This Row],[Total Discount]]*Pricing_Details[[#This Row],[Quantity]])</f>
        <v/>
      </c>
      <c r="AC113" s="176" t="str">
        <f>IFERROR(ROUND(Pricing_Details[[#This Row],[Actual Price]]*Pricing_Details[[#This Row],[Quantity]],2),"")</f>
        <v/>
      </c>
      <c r="AE113" s="156" t="str">
        <f>IF('Bulk Order Details'!M123="","",VLOOKUP('Bulk Order Details'!K123,Collection[],3)&amp;VLOOKUP('Bulk Order Details'!M123,Collar[],4)&amp;VLOOKUP('Bulk Order Details'!L123,Sleeve[],4))</f>
        <v/>
      </c>
      <c r="AF113" s="156" t="str">
        <f>IF('Bulk Order Details'!M123="","",LOOKUP('Bulk Order Details'!H123,Cut[Display],Cut[Code])&amp;LOOKUP('Bulk Order Details'!I123,#REF!,#REF!)&amp;IF('Bulk Order Details'!J123="","",LOOKUP('Bulk Order Details'!J123,Length[Display],Length[Code])))</f>
        <v/>
      </c>
      <c r="AG113" s="156" t="str">
        <f>IF('Bulk Order Details'!M123="","",IF('Bulk Order Details'!F123="","",'Bulk Order Details'!F123))</f>
        <v/>
      </c>
      <c r="AH113" s="156" t="str">
        <f>IF('Bulk Order Details'!R123="","","-"&amp;LOOKUP('Bulk Order Details'!R123,#REF!,#REF!))</f>
        <v/>
      </c>
      <c r="AI113" s="156" t="str">
        <f>IF('Bulk Order Details'!S123="","","-"&amp;LOOKUP('Bulk Order Details'!S123,#REF!,#REF!))</f>
        <v/>
      </c>
      <c r="AJ113" s="156" t="str">
        <f>IF('Bulk Order Details'!T123="","","-"&amp;LOOKUP('Bulk Order Details'!T123,#REF!,#REF!))</f>
        <v/>
      </c>
      <c r="AK113" s="156" t="str">
        <f>IF('Bulk Order Details'!U123="","","-"&amp;LOOKUP('Bulk Order Details'!U123,#REF!,#REF!))</f>
        <v/>
      </c>
      <c r="AL113" s="156" t="str">
        <f>IF('Bulk Order Details'!V123="","","-"&amp;LOOKUP('Bulk Order Details'!V123,#REF!,#REF!))</f>
        <v/>
      </c>
      <c r="AM113" s="156" t="str">
        <f t="shared" si="7"/>
        <v/>
      </c>
      <c r="AN113" s="156" t="str">
        <f>IF('Bulk Order Details'!N123="","","Na-"&amp;'Bulk Order Details'!N123)</f>
        <v/>
      </c>
      <c r="AO113" s="156" t="str">
        <f>IF('Bulk Order Details'!Q123="","","Fo-"&amp;'Bulk Order Details'!Q123)</f>
        <v/>
      </c>
      <c r="AP113" s="156" t="str">
        <f t="shared" si="8"/>
        <v/>
      </c>
      <c r="AQ113" s="37" t="str">
        <f t="shared" si="9"/>
        <v/>
      </c>
    </row>
    <row r="114" spans="2:43" ht="15" customHeight="1" x14ac:dyDescent="0.2">
      <c r="B114" s="34">
        <f>'Bulk Order Details'!B124</f>
        <v>111</v>
      </c>
      <c r="C114" s="34" t="str">
        <f>IF('Bulk Order Details'!C124="","",'Bulk Order Details'!C124&amp;" "&amp;'Bulk Order Details'!D124)</f>
        <v/>
      </c>
      <c r="D114" s="31" t="str">
        <f>IF('Bulk Order Details'!M124="","",VLOOKUP(1,Price[],3))</f>
        <v/>
      </c>
      <c r="E114" s="29" t="str">
        <f>IF('Bulk Order Details'!M124="","",Summary!$D$9)</f>
        <v/>
      </c>
      <c r="F114" s="16" t="str">
        <f>IF('Bulk Order Details'!I124="","",_xlfn.XLOOKUP('Bulk Order Details'!I124,Size[Display],Size[Price]))</f>
        <v/>
      </c>
      <c r="G114" s="16" t="str">
        <f>IF('Bulk Order Details'!J124="","",_xlfn.XLOOKUP('Bulk Order Details'!J124,Length[Display],Length[Price]))</f>
        <v/>
      </c>
      <c r="H114" s="16" t="str">
        <f>IF('Bulk Order Details'!K124="","",_xlfn.XLOOKUP('Bulk Order Details'!K124,Collection[Display],Collection[Price]))</f>
        <v/>
      </c>
      <c r="I114" s="16" t="str">
        <f>IF('Bulk Order Details'!L124="","",_xlfn.XLOOKUP('Bulk Order Details'!L124,Sleeve[Display],Sleeve[Price]))</f>
        <v/>
      </c>
      <c r="J114" s="16" t="str">
        <f>IF('Bulk Order Details'!M124="","",_xlfn.XLOOKUP('Bulk Order Details'!M124,Collar[Display],Collar[Price]))</f>
        <v/>
      </c>
      <c r="K114" s="16" t="str">
        <f>IF('Bulk Order Details'!N124="","",_xlfn.XLOOKUP("Name",Name[Name],Name[Price]))</f>
        <v/>
      </c>
      <c r="L114" s="18" t="str">
        <f>IFERROR(IF('Bulk Order Details'!R124="","",IF(_xlfn.XLOOKUP('Bulk Order Details'!R124,Logos[Display],Logos[Use])="Flat",_xlfn.XLOOKUP('Bulk Order Details'!R124,Logos[Display],Logos[Flat]),ROUND(_xlfn.XLOOKUP('Bulk Order Details'!R124,Logos[Display],Logos[Pct])*$E114,2))),"")</f>
        <v/>
      </c>
      <c r="M114" s="22" t="str">
        <f>IFERROR(IF('Bulk Order Details'!S124="","",IF(_xlfn.XLOOKUP('Bulk Order Details'!S124,Chest[Display],Chest[Use])="Flat",_xlfn.XLOOKUP('Bulk Order Details'!S124,Chest[Display],Chest[Flat]),ROUND(_xlfn.XLOOKUP('Bulk Order Details'!S124,Chest[Display],Chest[Pct])*$E114,2))),"")</f>
        <v/>
      </c>
      <c r="N114" s="22" t="str">
        <f>IFERROR(IF('Bulk Order Details'!T124="","",IF(_xlfn.XLOOKUP('Bulk Order Details'!T124,Chest[Display],Chest[Use])="Flat",_xlfn.XLOOKUP('Bulk Order Details'!T124,Chest[Display],Chest[Flat]),ROUND(_xlfn.XLOOKUP('Bulk Order Details'!T124,Chest[Display],Chest[Pct])*$E114,2))),"")</f>
        <v/>
      </c>
      <c r="O114" s="22" t="str">
        <f>IFERROR(IF('Bulk Order Details'!U124="","",IF(_xlfn.XLOOKUP('Bulk Order Details'!U124,LeftSleeve[Display],LeftSleeve[Use])="Flat",_xlfn.XLOOKUP('Bulk Order Details'!U124,LeftSleeve[Display],LeftSleeve[Flat]),ROUND(_xlfn.XLOOKUP('Bulk Order Details'!U124,LeftSleeve[Display],LeftSleeve[Pct])*$E114,2))),"")</f>
        <v/>
      </c>
      <c r="P114" s="22" t="str">
        <f>IFERROR(IF('Bulk Order Details'!V124="","",IF(_xlfn.XLOOKUP('Bulk Order Details'!V124,RightSleeve[Display],RightSleeve[Use])="Flat",_xlfn.XLOOKUP('Bulk Order Details'!V124,RightSleeve[Display],RightSleeve[Flat]),ROUND(_xlfn.XLOOKUP('Bulk Order Details'!V124,RightSleeve[Display],RightSleeve[Pct])*$E114,2))),"")</f>
        <v/>
      </c>
      <c r="Q114" s="27" t="str">
        <f>IF('Bulk Order Details'!M124="","",SUM(F114:P114))</f>
        <v/>
      </c>
      <c r="R114" s="24" t="str">
        <f t="shared" si="6"/>
        <v/>
      </c>
      <c r="S114" s="23" t="str">
        <f>IFERROR(MIN(IF(Summary!$D$11="Yes",-J114,0),IF(H114&gt;0,-J114,0)),"")</f>
        <v/>
      </c>
      <c r="T114" s="16" t="str">
        <f>IFERROR(IF(Summary!$D$10="Yes",-K114,""),"")</f>
        <v/>
      </c>
      <c r="U114" s="18" t="str">
        <f>IFERROR(IF(Summary!$D$12="Yes",-L114,""),"")</f>
        <v/>
      </c>
      <c r="V114" s="25" t="str">
        <f>IF('Bulk Order Details'!M124="","",SUM(R114:U114))</f>
        <v/>
      </c>
      <c r="W114" s="36" t="str">
        <f>IF('Bulk Order Details'!M124="","",D114+Q114)</f>
        <v/>
      </c>
      <c r="X114" s="37" t="str">
        <f>IF('Bulk Order Details'!M124="","",D114+Q114+V114)</f>
        <v/>
      </c>
      <c r="Y114" s="168" t="str">
        <f t="shared" si="5"/>
        <v/>
      </c>
      <c r="Z114" s="173" t="str">
        <f>IF('Bulk Order Details'!M124="","",MAX(1,'Bulk Order Details'!G124))</f>
        <v/>
      </c>
      <c r="AA114" s="196" t="str">
        <f>IF(Pricing_Details[[#This Row],[Quantity]]="","",Pricing_Details[[#This Row],[Retail Price]]*Pricing_Details[[#This Row],[Quantity]])</f>
        <v/>
      </c>
      <c r="AB114" s="196" t="str">
        <f>IF(Pricing_Details[[#This Row],[Quantity]]="","",Pricing_Details[[#This Row],[Total Discount]]*Pricing_Details[[#This Row],[Quantity]])</f>
        <v/>
      </c>
      <c r="AC114" s="176" t="str">
        <f>IFERROR(ROUND(Pricing_Details[[#This Row],[Actual Price]]*Pricing_Details[[#This Row],[Quantity]],2),"")</f>
        <v/>
      </c>
      <c r="AE114" s="156" t="str">
        <f>IF('Bulk Order Details'!M124="","",VLOOKUP('Bulk Order Details'!K124,Collection[],3)&amp;VLOOKUP('Bulk Order Details'!M124,Collar[],4)&amp;VLOOKUP('Bulk Order Details'!L124,Sleeve[],4))</f>
        <v/>
      </c>
      <c r="AF114" s="156" t="str">
        <f>IF('Bulk Order Details'!M124="","",LOOKUP('Bulk Order Details'!H124,Cut[Display],Cut[Code])&amp;LOOKUP('Bulk Order Details'!I124,#REF!,#REF!)&amp;IF('Bulk Order Details'!J124="","",LOOKUP('Bulk Order Details'!J124,Length[Display],Length[Code])))</f>
        <v/>
      </c>
      <c r="AG114" s="156" t="str">
        <f>IF('Bulk Order Details'!M124="","",IF('Bulk Order Details'!F124="","",'Bulk Order Details'!F124))</f>
        <v/>
      </c>
      <c r="AH114" s="156" t="str">
        <f>IF('Bulk Order Details'!R124="","","-"&amp;LOOKUP('Bulk Order Details'!R124,#REF!,#REF!))</f>
        <v/>
      </c>
      <c r="AI114" s="156" t="str">
        <f>IF('Bulk Order Details'!S124="","","-"&amp;LOOKUP('Bulk Order Details'!S124,#REF!,#REF!))</f>
        <v/>
      </c>
      <c r="AJ114" s="156" t="str">
        <f>IF('Bulk Order Details'!T124="","","-"&amp;LOOKUP('Bulk Order Details'!T124,#REF!,#REF!))</f>
        <v/>
      </c>
      <c r="AK114" s="156" t="str">
        <f>IF('Bulk Order Details'!U124="","","-"&amp;LOOKUP('Bulk Order Details'!U124,#REF!,#REF!))</f>
        <v/>
      </c>
      <c r="AL114" s="156" t="str">
        <f>IF('Bulk Order Details'!V124="","","-"&amp;LOOKUP('Bulk Order Details'!V124,#REF!,#REF!))</f>
        <v/>
      </c>
      <c r="AM114" s="156" t="str">
        <f t="shared" si="7"/>
        <v/>
      </c>
      <c r="AN114" s="156" t="str">
        <f>IF('Bulk Order Details'!N124="","","Na-"&amp;'Bulk Order Details'!N124)</f>
        <v/>
      </c>
      <c r="AO114" s="156" t="str">
        <f>IF('Bulk Order Details'!Q124="","","Fo-"&amp;'Bulk Order Details'!Q124)</f>
        <v/>
      </c>
      <c r="AP114" s="156" t="str">
        <f t="shared" si="8"/>
        <v/>
      </c>
      <c r="AQ114" s="37" t="str">
        <f t="shared" si="9"/>
        <v/>
      </c>
    </row>
    <row r="115" spans="2:43" ht="15" customHeight="1" x14ac:dyDescent="0.2">
      <c r="B115" s="34">
        <f>'Bulk Order Details'!B125</f>
        <v>112</v>
      </c>
      <c r="C115" s="34" t="str">
        <f>IF('Bulk Order Details'!C125="","",'Bulk Order Details'!C125&amp;" "&amp;'Bulk Order Details'!D125)</f>
        <v/>
      </c>
      <c r="D115" s="31" t="str">
        <f>IF('Bulk Order Details'!M125="","",VLOOKUP(1,Price[],3))</f>
        <v/>
      </c>
      <c r="E115" s="29" t="str">
        <f>IF('Bulk Order Details'!M125="","",Summary!$D$9)</f>
        <v/>
      </c>
      <c r="F115" s="16" t="str">
        <f>IF('Bulk Order Details'!I125="","",_xlfn.XLOOKUP('Bulk Order Details'!I125,Size[Display],Size[Price]))</f>
        <v/>
      </c>
      <c r="G115" s="16" t="str">
        <f>IF('Bulk Order Details'!J125="","",_xlfn.XLOOKUP('Bulk Order Details'!J125,Length[Display],Length[Price]))</f>
        <v/>
      </c>
      <c r="H115" s="16" t="str">
        <f>IF('Bulk Order Details'!K125="","",_xlfn.XLOOKUP('Bulk Order Details'!K125,Collection[Display],Collection[Price]))</f>
        <v/>
      </c>
      <c r="I115" s="16" t="str">
        <f>IF('Bulk Order Details'!L125="","",_xlfn.XLOOKUP('Bulk Order Details'!L125,Sleeve[Display],Sleeve[Price]))</f>
        <v/>
      </c>
      <c r="J115" s="16" t="str">
        <f>IF('Bulk Order Details'!M125="","",_xlfn.XLOOKUP('Bulk Order Details'!M125,Collar[Display],Collar[Price]))</f>
        <v/>
      </c>
      <c r="K115" s="16" t="str">
        <f>IF('Bulk Order Details'!N125="","",_xlfn.XLOOKUP("Name",Name[Name],Name[Price]))</f>
        <v/>
      </c>
      <c r="L115" s="18" t="str">
        <f>IFERROR(IF('Bulk Order Details'!R125="","",IF(_xlfn.XLOOKUP('Bulk Order Details'!R125,Logos[Display],Logos[Use])="Flat",_xlfn.XLOOKUP('Bulk Order Details'!R125,Logos[Display],Logos[Flat]),ROUND(_xlfn.XLOOKUP('Bulk Order Details'!R125,Logos[Display],Logos[Pct])*$E115,2))),"")</f>
        <v/>
      </c>
      <c r="M115" s="22" t="str">
        <f>IFERROR(IF('Bulk Order Details'!S125="","",IF(_xlfn.XLOOKUP('Bulk Order Details'!S125,Chest[Display],Chest[Use])="Flat",_xlfn.XLOOKUP('Bulk Order Details'!S125,Chest[Display],Chest[Flat]),ROUND(_xlfn.XLOOKUP('Bulk Order Details'!S125,Chest[Display],Chest[Pct])*$E115,2))),"")</f>
        <v/>
      </c>
      <c r="N115" s="22" t="str">
        <f>IFERROR(IF('Bulk Order Details'!T125="","",IF(_xlfn.XLOOKUP('Bulk Order Details'!T125,Chest[Display],Chest[Use])="Flat",_xlfn.XLOOKUP('Bulk Order Details'!T125,Chest[Display],Chest[Flat]),ROUND(_xlfn.XLOOKUP('Bulk Order Details'!T125,Chest[Display],Chest[Pct])*$E115,2))),"")</f>
        <v/>
      </c>
      <c r="O115" s="22" t="str">
        <f>IFERROR(IF('Bulk Order Details'!U125="","",IF(_xlfn.XLOOKUP('Bulk Order Details'!U125,LeftSleeve[Display],LeftSleeve[Use])="Flat",_xlfn.XLOOKUP('Bulk Order Details'!U125,LeftSleeve[Display],LeftSleeve[Flat]),ROUND(_xlfn.XLOOKUP('Bulk Order Details'!U125,LeftSleeve[Display],LeftSleeve[Pct])*$E115,2))),"")</f>
        <v/>
      </c>
      <c r="P115" s="22" t="str">
        <f>IFERROR(IF('Bulk Order Details'!V125="","",IF(_xlfn.XLOOKUP('Bulk Order Details'!V125,RightSleeve[Display],RightSleeve[Use])="Flat",_xlfn.XLOOKUP('Bulk Order Details'!V125,RightSleeve[Display],RightSleeve[Flat]),ROUND(_xlfn.XLOOKUP('Bulk Order Details'!V125,RightSleeve[Display],RightSleeve[Pct])*$E115,2))),"")</f>
        <v/>
      </c>
      <c r="Q115" s="27" t="str">
        <f>IF('Bulk Order Details'!M125="","",SUM(F115:P115))</f>
        <v/>
      </c>
      <c r="R115" s="24" t="str">
        <f t="shared" si="6"/>
        <v/>
      </c>
      <c r="S115" s="23" t="str">
        <f>IFERROR(MIN(IF(Summary!$D$11="Yes",-J115,0),IF(H115&gt;0,-J115,0)),"")</f>
        <v/>
      </c>
      <c r="T115" s="16" t="str">
        <f>IFERROR(IF(Summary!$D$10="Yes",-K115,""),"")</f>
        <v/>
      </c>
      <c r="U115" s="18" t="str">
        <f>IFERROR(IF(Summary!$D$12="Yes",-L115,""),"")</f>
        <v/>
      </c>
      <c r="V115" s="25" t="str">
        <f>IF('Bulk Order Details'!M125="","",SUM(R115:U115))</f>
        <v/>
      </c>
      <c r="W115" s="36" t="str">
        <f>IF('Bulk Order Details'!M125="","",D115+Q115)</f>
        <v/>
      </c>
      <c r="X115" s="37" t="str">
        <f>IF('Bulk Order Details'!M125="","",D115+Q115+V115)</f>
        <v/>
      </c>
      <c r="Y115" s="168" t="str">
        <f t="shared" si="5"/>
        <v/>
      </c>
      <c r="Z115" s="173" t="str">
        <f>IF('Bulk Order Details'!M125="","",MAX(1,'Bulk Order Details'!G125))</f>
        <v/>
      </c>
      <c r="AA115" s="196" t="str">
        <f>IF(Pricing_Details[[#This Row],[Quantity]]="","",Pricing_Details[[#This Row],[Retail Price]]*Pricing_Details[[#This Row],[Quantity]])</f>
        <v/>
      </c>
      <c r="AB115" s="196" t="str">
        <f>IF(Pricing_Details[[#This Row],[Quantity]]="","",Pricing_Details[[#This Row],[Total Discount]]*Pricing_Details[[#This Row],[Quantity]])</f>
        <v/>
      </c>
      <c r="AC115" s="176" t="str">
        <f>IFERROR(ROUND(Pricing_Details[[#This Row],[Actual Price]]*Pricing_Details[[#This Row],[Quantity]],2),"")</f>
        <v/>
      </c>
      <c r="AE115" s="156" t="str">
        <f>IF('Bulk Order Details'!M125="","",VLOOKUP('Bulk Order Details'!K125,Collection[],3)&amp;VLOOKUP('Bulk Order Details'!M125,Collar[],4)&amp;VLOOKUP('Bulk Order Details'!L125,Sleeve[],4))</f>
        <v/>
      </c>
      <c r="AF115" s="156" t="str">
        <f>IF('Bulk Order Details'!M125="","",LOOKUP('Bulk Order Details'!H125,Cut[Display],Cut[Code])&amp;LOOKUP('Bulk Order Details'!I125,#REF!,#REF!)&amp;IF('Bulk Order Details'!J125="","",LOOKUP('Bulk Order Details'!J125,Length[Display],Length[Code])))</f>
        <v/>
      </c>
      <c r="AG115" s="156" t="str">
        <f>IF('Bulk Order Details'!M125="","",IF('Bulk Order Details'!F125="","",'Bulk Order Details'!F125))</f>
        <v/>
      </c>
      <c r="AH115" s="156" t="str">
        <f>IF('Bulk Order Details'!R125="","","-"&amp;LOOKUP('Bulk Order Details'!R125,#REF!,#REF!))</f>
        <v/>
      </c>
      <c r="AI115" s="156" t="str">
        <f>IF('Bulk Order Details'!S125="","","-"&amp;LOOKUP('Bulk Order Details'!S125,#REF!,#REF!))</f>
        <v/>
      </c>
      <c r="AJ115" s="156" t="str">
        <f>IF('Bulk Order Details'!T125="","","-"&amp;LOOKUP('Bulk Order Details'!T125,#REF!,#REF!))</f>
        <v/>
      </c>
      <c r="AK115" s="156" t="str">
        <f>IF('Bulk Order Details'!U125="","","-"&amp;LOOKUP('Bulk Order Details'!U125,#REF!,#REF!))</f>
        <v/>
      </c>
      <c r="AL115" s="156" t="str">
        <f>IF('Bulk Order Details'!V125="","","-"&amp;LOOKUP('Bulk Order Details'!V125,#REF!,#REF!))</f>
        <v/>
      </c>
      <c r="AM115" s="156" t="str">
        <f t="shared" si="7"/>
        <v/>
      </c>
      <c r="AN115" s="156" t="str">
        <f>IF('Bulk Order Details'!N125="","","Na-"&amp;'Bulk Order Details'!N125)</f>
        <v/>
      </c>
      <c r="AO115" s="156" t="str">
        <f>IF('Bulk Order Details'!Q125="","","Fo-"&amp;'Bulk Order Details'!Q125)</f>
        <v/>
      </c>
      <c r="AP115" s="156" t="str">
        <f t="shared" si="8"/>
        <v/>
      </c>
      <c r="AQ115" s="37" t="str">
        <f t="shared" si="9"/>
        <v/>
      </c>
    </row>
    <row r="116" spans="2:43" ht="15" customHeight="1" x14ac:dyDescent="0.2">
      <c r="B116" s="34">
        <f>'Bulk Order Details'!B126</f>
        <v>113</v>
      </c>
      <c r="C116" s="34" t="str">
        <f>IF('Bulk Order Details'!C126="","",'Bulk Order Details'!C126&amp;" "&amp;'Bulk Order Details'!D126)</f>
        <v/>
      </c>
      <c r="D116" s="31" t="str">
        <f>IF('Bulk Order Details'!M126="","",VLOOKUP(1,Price[],3))</f>
        <v/>
      </c>
      <c r="E116" s="29" t="str">
        <f>IF('Bulk Order Details'!M126="","",Summary!$D$9)</f>
        <v/>
      </c>
      <c r="F116" s="16" t="str">
        <f>IF('Bulk Order Details'!I126="","",_xlfn.XLOOKUP('Bulk Order Details'!I126,Size[Display],Size[Price]))</f>
        <v/>
      </c>
      <c r="G116" s="16" t="str">
        <f>IF('Bulk Order Details'!J126="","",_xlfn.XLOOKUP('Bulk Order Details'!J126,Length[Display],Length[Price]))</f>
        <v/>
      </c>
      <c r="H116" s="16" t="str">
        <f>IF('Bulk Order Details'!K126="","",_xlfn.XLOOKUP('Bulk Order Details'!K126,Collection[Display],Collection[Price]))</f>
        <v/>
      </c>
      <c r="I116" s="16" t="str">
        <f>IF('Bulk Order Details'!L126="","",_xlfn.XLOOKUP('Bulk Order Details'!L126,Sleeve[Display],Sleeve[Price]))</f>
        <v/>
      </c>
      <c r="J116" s="16" t="str">
        <f>IF('Bulk Order Details'!M126="","",_xlfn.XLOOKUP('Bulk Order Details'!M126,Collar[Display],Collar[Price]))</f>
        <v/>
      </c>
      <c r="K116" s="16" t="str">
        <f>IF('Bulk Order Details'!N126="","",_xlfn.XLOOKUP("Name",Name[Name],Name[Price]))</f>
        <v/>
      </c>
      <c r="L116" s="18" t="str">
        <f>IFERROR(IF('Bulk Order Details'!R126="","",IF(_xlfn.XLOOKUP('Bulk Order Details'!R126,Logos[Display],Logos[Use])="Flat",_xlfn.XLOOKUP('Bulk Order Details'!R126,Logos[Display],Logos[Flat]),ROUND(_xlfn.XLOOKUP('Bulk Order Details'!R126,Logos[Display],Logos[Pct])*$E116,2))),"")</f>
        <v/>
      </c>
      <c r="M116" s="22" t="str">
        <f>IFERROR(IF('Bulk Order Details'!S126="","",IF(_xlfn.XLOOKUP('Bulk Order Details'!S126,Chest[Display],Chest[Use])="Flat",_xlfn.XLOOKUP('Bulk Order Details'!S126,Chest[Display],Chest[Flat]),ROUND(_xlfn.XLOOKUP('Bulk Order Details'!S126,Chest[Display],Chest[Pct])*$E116,2))),"")</f>
        <v/>
      </c>
      <c r="N116" s="22" t="str">
        <f>IFERROR(IF('Bulk Order Details'!T126="","",IF(_xlfn.XLOOKUP('Bulk Order Details'!T126,Chest[Display],Chest[Use])="Flat",_xlfn.XLOOKUP('Bulk Order Details'!T126,Chest[Display],Chest[Flat]),ROUND(_xlfn.XLOOKUP('Bulk Order Details'!T126,Chest[Display],Chest[Pct])*$E116,2))),"")</f>
        <v/>
      </c>
      <c r="O116" s="22" t="str">
        <f>IFERROR(IF('Bulk Order Details'!U126="","",IF(_xlfn.XLOOKUP('Bulk Order Details'!U126,LeftSleeve[Display],LeftSleeve[Use])="Flat",_xlfn.XLOOKUP('Bulk Order Details'!U126,LeftSleeve[Display],LeftSleeve[Flat]),ROUND(_xlfn.XLOOKUP('Bulk Order Details'!U126,LeftSleeve[Display],LeftSleeve[Pct])*$E116,2))),"")</f>
        <v/>
      </c>
      <c r="P116" s="22" t="str">
        <f>IFERROR(IF('Bulk Order Details'!V126="","",IF(_xlfn.XLOOKUP('Bulk Order Details'!V126,RightSleeve[Display],RightSleeve[Use])="Flat",_xlfn.XLOOKUP('Bulk Order Details'!V126,RightSleeve[Display],RightSleeve[Flat]),ROUND(_xlfn.XLOOKUP('Bulk Order Details'!V126,RightSleeve[Display],RightSleeve[Pct])*$E116,2))),"")</f>
        <v/>
      </c>
      <c r="Q116" s="27" t="str">
        <f>IF('Bulk Order Details'!M126="","",SUM(F116:P116))</f>
        <v/>
      </c>
      <c r="R116" s="24" t="str">
        <f t="shared" si="6"/>
        <v/>
      </c>
      <c r="S116" s="23" t="str">
        <f>IFERROR(MIN(IF(Summary!$D$11="Yes",-J116,0),IF(H116&gt;0,-J116,0)),"")</f>
        <v/>
      </c>
      <c r="T116" s="16" t="str">
        <f>IFERROR(IF(Summary!$D$10="Yes",-K116,""),"")</f>
        <v/>
      </c>
      <c r="U116" s="18" t="str">
        <f>IFERROR(IF(Summary!$D$12="Yes",-L116,""),"")</f>
        <v/>
      </c>
      <c r="V116" s="25" t="str">
        <f>IF('Bulk Order Details'!M126="","",SUM(R116:U116))</f>
        <v/>
      </c>
      <c r="W116" s="36" t="str">
        <f>IF('Bulk Order Details'!M126="","",D116+Q116)</f>
        <v/>
      </c>
      <c r="X116" s="37" t="str">
        <f>IF('Bulk Order Details'!M126="","",D116+Q116+V116)</f>
        <v/>
      </c>
      <c r="Y116" s="168" t="str">
        <f t="shared" si="5"/>
        <v/>
      </c>
      <c r="Z116" s="173" t="str">
        <f>IF('Bulk Order Details'!M126="","",MAX(1,'Bulk Order Details'!G126))</f>
        <v/>
      </c>
      <c r="AA116" s="196" t="str">
        <f>IF(Pricing_Details[[#This Row],[Quantity]]="","",Pricing_Details[[#This Row],[Retail Price]]*Pricing_Details[[#This Row],[Quantity]])</f>
        <v/>
      </c>
      <c r="AB116" s="196" t="str">
        <f>IF(Pricing_Details[[#This Row],[Quantity]]="","",Pricing_Details[[#This Row],[Total Discount]]*Pricing_Details[[#This Row],[Quantity]])</f>
        <v/>
      </c>
      <c r="AC116" s="176" t="str">
        <f>IFERROR(ROUND(Pricing_Details[[#This Row],[Actual Price]]*Pricing_Details[[#This Row],[Quantity]],2),"")</f>
        <v/>
      </c>
      <c r="AE116" s="156" t="str">
        <f>IF('Bulk Order Details'!M126="","",VLOOKUP('Bulk Order Details'!K126,Collection[],3)&amp;VLOOKUP('Bulk Order Details'!M126,Collar[],4)&amp;VLOOKUP('Bulk Order Details'!L126,Sleeve[],4))</f>
        <v/>
      </c>
      <c r="AF116" s="156" t="str">
        <f>IF('Bulk Order Details'!M126="","",LOOKUP('Bulk Order Details'!H126,Cut[Display],Cut[Code])&amp;LOOKUP('Bulk Order Details'!I126,#REF!,#REF!)&amp;IF('Bulk Order Details'!J126="","",LOOKUP('Bulk Order Details'!J126,Length[Display],Length[Code])))</f>
        <v/>
      </c>
      <c r="AG116" s="156" t="str">
        <f>IF('Bulk Order Details'!M126="","",IF('Bulk Order Details'!F126="","",'Bulk Order Details'!F126))</f>
        <v/>
      </c>
      <c r="AH116" s="156" t="str">
        <f>IF('Bulk Order Details'!R126="","","-"&amp;LOOKUP('Bulk Order Details'!R126,#REF!,#REF!))</f>
        <v/>
      </c>
      <c r="AI116" s="156" t="str">
        <f>IF('Bulk Order Details'!S126="","","-"&amp;LOOKUP('Bulk Order Details'!S126,#REF!,#REF!))</f>
        <v/>
      </c>
      <c r="AJ116" s="156" t="str">
        <f>IF('Bulk Order Details'!T126="","","-"&amp;LOOKUP('Bulk Order Details'!T126,#REF!,#REF!))</f>
        <v/>
      </c>
      <c r="AK116" s="156" t="str">
        <f>IF('Bulk Order Details'!U126="","","-"&amp;LOOKUP('Bulk Order Details'!U126,#REF!,#REF!))</f>
        <v/>
      </c>
      <c r="AL116" s="156" t="str">
        <f>IF('Bulk Order Details'!V126="","","-"&amp;LOOKUP('Bulk Order Details'!V126,#REF!,#REF!))</f>
        <v/>
      </c>
      <c r="AM116" s="156" t="str">
        <f t="shared" si="7"/>
        <v/>
      </c>
      <c r="AN116" s="156" t="str">
        <f>IF('Bulk Order Details'!N126="","","Na-"&amp;'Bulk Order Details'!N126)</f>
        <v/>
      </c>
      <c r="AO116" s="156" t="str">
        <f>IF('Bulk Order Details'!Q126="","","Fo-"&amp;'Bulk Order Details'!Q126)</f>
        <v/>
      </c>
      <c r="AP116" s="156" t="str">
        <f t="shared" si="8"/>
        <v/>
      </c>
      <c r="AQ116" s="37" t="str">
        <f t="shared" si="9"/>
        <v/>
      </c>
    </row>
    <row r="117" spans="2:43" ht="15" customHeight="1" x14ac:dyDescent="0.2">
      <c r="B117" s="34">
        <f>'Bulk Order Details'!B127</f>
        <v>114</v>
      </c>
      <c r="C117" s="34" t="str">
        <f>IF('Bulk Order Details'!C127="","",'Bulk Order Details'!C127&amp;" "&amp;'Bulk Order Details'!D127)</f>
        <v/>
      </c>
      <c r="D117" s="31" t="str">
        <f>IF('Bulk Order Details'!M127="","",VLOOKUP(1,Price[],3))</f>
        <v/>
      </c>
      <c r="E117" s="29" t="str">
        <f>IF('Bulk Order Details'!M127="","",Summary!$D$9)</f>
        <v/>
      </c>
      <c r="F117" s="16" t="str">
        <f>IF('Bulk Order Details'!I127="","",_xlfn.XLOOKUP('Bulk Order Details'!I127,Size[Display],Size[Price]))</f>
        <v/>
      </c>
      <c r="G117" s="16" t="str">
        <f>IF('Bulk Order Details'!J127="","",_xlfn.XLOOKUP('Bulk Order Details'!J127,Length[Display],Length[Price]))</f>
        <v/>
      </c>
      <c r="H117" s="16" t="str">
        <f>IF('Bulk Order Details'!K127="","",_xlfn.XLOOKUP('Bulk Order Details'!K127,Collection[Display],Collection[Price]))</f>
        <v/>
      </c>
      <c r="I117" s="16" t="str">
        <f>IF('Bulk Order Details'!L127="","",_xlfn.XLOOKUP('Bulk Order Details'!L127,Sleeve[Display],Sleeve[Price]))</f>
        <v/>
      </c>
      <c r="J117" s="16" t="str">
        <f>IF('Bulk Order Details'!M127="","",_xlfn.XLOOKUP('Bulk Order Details'!M127,Collar[Display],Collar[Price]))</f>
        <v/>
      </c>
      <c r="K117" s="16" t="str">
        <f>IF('Bulk Order Details'!N127="","",_xlfn.XLOOKUP("Name",Name[Name],Name[Price]))</f>
        <v/>
      </c>
      <c r="L117" s="18" t="str">
        <f>IFERROR(IF('Bulk Order Details'!R127="","",IF(_xlfn.XLOOKUP('Bulk Order Details'!R127,Logos[Display],Logos[Use])="Flat",_xlfn.XLOOKUP('Bulk Order Details'!R127,Logos[Display],Logos[Flat]),ROUND(_xlfn.XLOOKUP('Bulk Order Details'!R127,Logos[Display],Logos[Pct])*$E117,2))),"")</f>
        <v/>
      </c>
      <c r="M117" s="22" t="str">
        <f>IFERROR(IF('Bulk Order Details'!S127="","",IF(_xlfn.XLOOKUP('Bulk Order Details'!S127,Chest[Display],Chest[Use])="Flat",_xlfn.XLOOKUP('Bulk Order Details'!S127,Chest[Display],Chest[Flat]),ROUND(_xlfn.XLOOKUP('Bulk Order Details'!S127,Chest[Display],Chest[Pct])*$E117,2))),"")</f>
        <v/>
      </c>
      <c r="N117" s="22" t="str">
        <f>IFERROR(IF('Bulk Order Details'!T127="","",IF(_xlfn.XLOOKUP('Bulk Order Details'!T127,Chest[Display],Chest[Use])="Flat",_xlfn.XLOOKUP('Bulk Order Details'!T127,Chest[Display],Chest[Flat]),ROUND(_xlfn.XLOOKUP('Bulk Order Details'!T127,Chest[Display],Chest[Pct])*$E117,2))),"")</f>
        <v/>
      </c>
      <c r="O117" s="22" t="str">
        <f>IFERROR(IF('Bulk Order Details'!U127="","",IF(_xlfn.XLOOKUP('Bulk Order Details'!U127,LeftSleeve[Display],LeftSleeve[Use])="Flat",_xlfn.XLOOKUP('Bulk Order Details'!U127,LeftSleeve[Display],LeftSleeve[Flat]),ROUND(_xlfn.XLOOKUP('Bulk Order Details'!U127,LeftSleeve[Display],LeftSleeve[Pct])*$E117,2))),"")</f>
        <v/>
      </c>
      <c r="P117" s="22" t="str">
        <f>IFERROR(IF('Bulk Order Details'!V127="","",IF(_xlfn.XLOOKUP('Bulk Order Details'!V127,RightSleeve[Display],RightSleeve[Use])="Flat",_xlfn.XLOOKUP('Bulk Order Details'!V127,RightSleeve[Display],RightSleeve[Flat]),ROUND(_xlfn.XLOOKUP('Bulk Order Details'!V127,RightSleeve[Display],RightSleeve[Pct])*$E117,2))),"")</f>
        <v/>
      </c>
      <c r="Q117" s="27" t="str">
        <f>IF('Bulk Order Details'!M127="","",SUM(F117:P117))</f>
        <v/>
      </c>
      <c r="R117" s="24" t="str">
        <f t="shared" si="6"/>
        <v/>
      </c>
      <c r="S117" s="23" t="str">
        <f>IFERROR(MIN(IF(Summary!$D$11="Yes",-J117,0),IF(H117&gt;0,-J117,0)),"")</f>
        <v/>
      </c>
      <c r="T117" s="16" t="str">
        <f>IFERROR(IF(Summary!$D$10="Yes",-K117,""),"")</f>
        <v/>
      </c>
      <c r="U117" s="18" t="str">
        <f>IFERROR(IF(Summary!$D$12="Yes",-L117,""),"")</f>
        <v/>
      </c>
      <c r="V117" s="25" t="str">
        <f>IF('Bulk Order Details'!M127="","",SUM(R117:U117))</f>
        <v/>
      </c>
      <c r="W117" s="36" t="str">
        <f>IF('Bulk Order Details'!M127="","",D117+Q117)</f>
        <v/>
      </c>
      <c r="X117" s="37" t="str">
        <f>IF('Bulk Order Details'!M127="","",D117+Q117+V117)</f>
        <v/>
      </c>
      <c r="Y117" s="168" t="str">
        <f t="shared" si="5"/>
        <v/>
      </c>
      <c r="Z117" s="173" t="str">
        <f>IF('Bulk Order Details'!M127="","",MAX(1,'Bulk Order Details'!G127))</f>
        <v/>
      </c>
      <c r="AA117" s="196" t="str">
        <f>IF(Pricing_Details[[#This Row],[Quantity]]="","",Pricing_Details[[#This Row],[Retail Price]]*Pricing_Details[[#This Row],[Quantity]])</f>
        <v/>
      </c>
      <c r="AB117" s="196" t="str">
        <f>IF(Pricing_Details[[#This Row],[Quantity]]="","",Pricing_Details[[#This Row],[Total Discount]]*Pricing_Details[[#This Row],[Quantity]])</f>
        <v/>
      </c>
      <c r="AC117" s="176" t="str">
        <f>IFERROR(ROUND(Pricing_Details[[#This Row],[Actual Price]]*Pricing_Details[[#This Row],[Quantity]],2),"")</f>
        <v/>
      </c>
      <c r="AE117" s="156" t="str">
        <f>IF('Bulk Order Details'!M127="","",VLOOKUP('Bulk Order Details'!K127,Collection[],3)&amp;VLOOKUP('Bulk Order Details'!M127,Collar[],4)&amp;VLOOKUP('Bulk Order Details'!L127,Sleeve[],4))</f>
        <v/>
      </c>
      <c r="AF117" s="156" t="str">
        <f>IF('Bulk Order Details'!M127="","",LOOKUP('Bulk Order Details'!H127,Cut[Display],Cut[Code])&amp;LOOKUP('Bulk Order Details'!I127,#REF!,#REF!)&amp;IF('Bulk Order Details'!J127="","",LOOKUP('Bulk Order Details'!J127,Length[Display],Length[Code])))</f>
        <v/>
      </c>
      <c r="AG117" s="156" t="str">
        <f>IF('Bulk Order Details'!M127="","",IF('Bulk Order Details'!F127="","",'Bulk Order Details'!F127))</f>
        <v/>
      </c>
      <c r="AH117" s="156" t="str">
        <f>IF('Bulk Order Details'!R127="","","-"&amp;LOOKUP('Bulk Order Details'!R127,#REF!,#REF!))</f>
        <v/>
      </c>
      <c r="AI117" s="156" t="str">
        <f>IF('Bulk Order Details'!S127="","","-"&amp;LOOKUP('Bulk Order Details'!S127,#REF!,#REF!))</f>
        <v/>
      </c>
      <c r="AJ117" s="156" t="str">
        <f>IF('Bulk Order Details'!T127="","","-"&amp;LOOKUP('Bulk Order Details'!T127,#REF!,#REF!))</f>
        <v/>
      </c>
      <c r="AK117" s="156" t="str">
        <f>IF('Bulk Order Details'!U127="","","-"&amp;LOOKUP('Bulk Order Details'!U127,#REF!,#REF!))</f>
        <v/>
      </c>
      <c r="AL117" s="156" t="str">
        <f>IF('Bulk Order Details'!V127="","","-"&amp;LOOKUP('Bulk Order Details'!V127,#REF!,#REF!))</f>
        <v/>
      </c>
      <c r="AM117" s="156" t="str">
        <f t="shared" si="7"/>
        <v/>
      </c>
      <c r="AN117" s="156" t="str">
        <f>IF('Bulk Order Details'!N127="","","Na-"&amp;'Bulk Order Details'!N127)</f>
        <v/>
      </c>
      <c r="AO117" s="156" t="str">
        <f>IF('Bulk Order Details'!Q127="","","Fo-"&amp;'Bulk Order Details'!Q127)</f>
        <v/>
      </c>
      <c r="AP117" s="156" t="str">
        <f t="shared" si="8"/>
        <v/>
      </c>
      <c r="AQ117" s="37" t="str">
        <f t="shared" si="9"/>
        <v/>
      </c>
    </row>
    <row r="118" spans="2:43" ht="15" customHeight="1" x14ac:dyDescent="0.2">
      <c r="B118" s="34">
        <f>'Bulk Order Details'!B128</f>
        <v>115</v>
      </c>
      <c r="C118" s="34" t="str">
        <f>IF('Bulk Order Details'!C128="","",'Bulk Order Details'!C128&amp;" "&amp;'Bulk Order Details'!D128)</f>
        <v/>
      </c>
      <c r="D118" s="31" t="str">
        <f>IF('Bulk Order Details'!M128="","",VLOOKUP(1,Price[],3))</f>
        <v/>
      </c>
      <c r="E118" s="29" t="str">
        <f>IF('Bulk Order Details'!M128="","",Summary!$D$9)</f>
        <v/>
      </c>
      <c r="F118" s="16" t="str">
        <f>IF('Bulk Order Details'!I128="","",_xlfn.XLOOKUP('Bulk Order Details'!I128,Size[Display],Size[Price]))</f>
        <v/>
      </c>
      <c r="G118" s="16" t="str">
        <f>IF('Bulk Order Details'!J128="","",_xlfn.XLOOKUP('Bulk Order Details'!J128,Length[Display],Length[Price]))</f>
        <v/>
      </c>
      <c r="H118" s="16" t="str">
        <f>IF('Bulk Order Details'!K128="","",_xlfn.XLOOKUP('Bulk Order Details'!K128,Collection[Display],Collection[Price]))</f>
        <v/>
      </c>
      <c r="I118" s="16" t="str">
        <f>IF('Bulk Order Details'!L128="","",_xlfn.XLOOKUP('Bulk Order Details'!L128,Sleeve[Display],Sleeve[Price]))</f>
        <v/>
      </c>
      <c r="J118" s="16" t="str">
        <f>IF('Bulk Order Details'!M128="","",_xlfn.XLOOKUP('Bulk Order Details'!M128,Collar[Display],Collar[Price]))</f>
        <v/>
      </c>
      <c r="K118" s="16" t="str">
        <f>IF('Bulk Order Details'!N128="","",_xlfn.XLOOKUP("Name",Name[Name],Name[Price]))</f>
        <v/>
      </c>
      <c r="L118" s="18" t="str">
        <f>IFERROR(IF('Bulk Order Details'!R128="","",IF(_xlfn.XLOOKUP('Bulk Order Details'!R128,Logos[Display],Logos[Use])="Flat",_xlfn.XLOOKUP('Bulk Order Details'!R128,Logos[Display],Logos[Flat]),ROUND(_xlfn.XLOOKUP('Bulk Order Details'!R128,Logos[Display],Logos[Pct])*$E118,2))),"")</f>
        <v/>
      </c>
      <c r="M118" s="22" t="str">
        <f>IFERROR(IF('Bulk Order Details'!S128="","",IF(_xlfn.XLOOKUP('Bulk Order Details'!S128,Chest[Display],Chest[Use])="Flat",_xlfn.XLOOKUP('Bulk Order Details'!S128,Chest[Display],Chest[Flat]),ROUND(_xlfn.XLOOKUP('Bulk Order Details'!S128,Chest[Display],Chest[Pct])*$E118,2))),"")</f>
        <v/>
      </c>
      <c r="N118" s="22" t="str">
        <f>IFERROR(IF('Bulk Order Details'!T128="","",IF(_xlfn.XLOOKUP('Bulk Order Details'!T128,Chest[Display],Chest[Use])="Flat",_xlfn.XLOOKUP('Bulk Order Details'!T128,Chest[Display],Chest[Flat]),ROUND(_xlfn.XLOOKUP('Bulk Order Details'!T128,Chest[Display],Chest[Pct])*$E118,2))),"")</f>
        <v/>
      </c>
      <c r="O118" s="22" t="str">
        <f>IFERROR(IF('Bulk Order Details'!U128="","",IF(_xlfn.XLOOKUP('Bulk Order Details'!U128,LeftSleeve[Display],LeftSleeve[Use])="Flat",_xlfn.XLOOKUP('Bulk Order Details'!U128,LeftSleeve[Display],LeftSleeve[Flat]),ROUND(_xlfn.XLOOKUP('Bulk Order Details'!U128,LeftSleeve[Display],LeftSleeve[Pct])*$E118,2))),"")</f>
        <v/>
      </c>
      <c r="P118" s="22" t="str">
        <f>IFERROR(IF('Bulk Order Details'!V128="","",IF(_xlfn.XLOOKUP('Bulk Order Details'!V128,RightSleeve[Display],RightSleeve[Use])="Flat",_xlfn.XLOOKUP('Bulk Order Details'!V128,RightSleeve[Display],RightSleeve[Flat]),ROUND(_xlfn.XLOOKUP('Bulk Order Details'!V128,RightSleeve[Display],RightSleeve[Pct])*$E118,2))),"")</f>
        <v/>
      </c>
      <c r="Q118" s="27" t="str">
        <f>IF('Bulk Order Details'!M128="","",SUM(F118:P118))</f>
        <v/>
      </c>
      <c r="R118" s="24" t="str">
        <f t="shared" si="6"/>
        <v/>
      </c>
      <c r="S118" s="23" t="str">
        <f>IFERROR(MIN(IF(Summary!$D$11="Yes",-J118,0),IF(H118&gt;0,-J118,0)),"")</f>
        <v/>
      </c>
      <c r="T118" s="16" t="str">
        <f>IFERROR(IF(Summary!$D$10="Yes",-K118,""),"")</f>
        <v/>
      </c>
      <c r="U118" s="18" t="str">
        <f>IFERROR(IF(Summary!$D$12="Yes",-L118,""),"")</f>
        <v/>
      </c>
      <c r="V118" s="25" t="str">
        <f>IF('Bulk Order Details'!M128="","",SUM(R118:U118))</f>
        <v/>
      </c>
      <c r="W118" s="36" t="str">
        <f>IF('Bulk Order Details'!M128="","",D118+Q118)</f>
        <v/>
      </c>
      <c r="X118" s="37" t="str">
        <f>IF('Bulk Order Details'!M128="","",D118+Q118+V118)</f>
        <v/>
      </c>
      <c r="Y118" s="168" t="str">
        <f t="shared" si="5"/>
        <v/>
      </c>
      <c r="Z118" s="173" t="str">
        <f>IF('Bulk Order Details'!M128="","",MAX(1,'Bulk Order Details'!G128))</f>
        <v/>
      </c>
      <c r="AA118" s="196" t="str">
        <f>IF(Pricing_Details[[#This Row],[Quantity]]="","",Pricing_Details[[#This Row],[Retail Price]]*Pricing_Details[[#This Row],[Quantity]])</f>
        <v/>
      </c>
      <c r="AB118" s="196" t="str">
        <f>IF(Pricing_Details[[#This Row],[Quantity]]="","",Pricing_Details[[#This Row],[Total Discount]]*Pricing_Details[[#This Row],[Quantity]])</f>
        <v/>
      </c>
      <c r="AC118" s="176" t="str">
        <f>IFERROR(ROUND(Pricing_Details[[#This Row],[Actual Price]]*Pricing_Details[[#This Row],[Quantity]],2),"")</f>
        <v/>
      </c>
      <c r="AE118" s="156" t="str">
        <f>IF('Bulk Order Details'!M128="","",VLOOKUP('Bulk Order Details'!K128,Collection[],3)&amp;VLOOKUP('Bulk Order Details'!M128,Collar[],4)&amp;VLOOKUP('Bulk Order Details'!L128,Sleeve[],4))</f>
        <v/>
      </c>
      <c r="AF118" s="156" t="str">
        <f>IF('Bulk Order Details'!M128="","",LOOKUP('Bulk Order Details'!H128,Cut[Display],Cut[Code])&amp;LOOKUP('Bulk Order Details'!I128,#REF!,#REF!)&amp;IF('Bulk Order Details'!J128="","",LOOKUP('Bulk Order Details'!J128,Length[Display],Length[Code])))</f>
        <v/>
      </c>
      <c r="AG118" s="156" t="str">
        <f>IF('Bulk Order Details'!M128="","",IF('Bulk Order Details'!F128="","",'Bulk Order Details'!F128))</f>
        <v/>
      </c>
      <c r="AH118" s="156" t="str">
        <f>IF('Bulk Order Details'!R128="","","-"&amp;LOOKUP('Bulk Order Details'!R128,#REF!,#REF!))</f>
        <v/>
      </c>
      <c r="AI118" s="156" t="str">
        <f>IF('Bulk Order Details'!S128="","","-"&amp;LOOKUP('Bulk Order Details'!S128,#REF!,#REF!))</f>
        <v/>
      </c>
      <c r="AJ118" s="156" t="str">
        <f>IF('Bulk Order Details'!T128="","","-"&amp;LOOKUP('Bulk Order Details'!T128,#REF!,#REF!))</f>
        <v/>
      </c>
      <c r="AK118" s="156" t="str">
        <f>IF('Bulk Order Details'!U128="","","-"&amp;LOOKUP('Bulk Order Details'!U128,#REF!,#REF!))</f>
        <v/>
      </c>
      <c r="AL118" s="156" t="str">
        <f>IF('Bulk Order Details'!V128="","","-"&amp;LOOKUP('Bulk Order Details'!V128,#REF!,#REF!))</f>
        <v/>
      </c>
      <c r="AM118" s="156" t="str">
        <f t="shared" si="7"/>
        <v/>
      </c>
      <c r="AN118" s="156" t="str">
        <f>IF('Bulk Order Details'!N128="","","Na-"&amp;'Bulk Order Details'!N128)</f>
        <v/>
      </c>
      <c r="AO118" s="156" t="str">
        <f>IF('Bulk Order Details'!Q128="","","Fo-"&amp;'Bulk Order Details'!Q128)</f>
        <v/>
      </c>
      <c r="AP118" s="156" t="str">
        <f t="shared" si="8"/>
        <v/>
      </c>
      <c r="AQ118" s="37" t="str">
        <f t="shared" si="9"/>
        <v/>
      </c>
    </row>
    <row r="119" spans="2:43" ht="15" customHeight="1" x14ac:dyDescent="0.2">
      <c r="B119" s="34">
        <f>'Bulk Order Details'!B129</f>
        <v>116</v>
      </c>
      <c r="C119" s="34" t="str">
        <f>IF('Bulk Order Details'!C129="","",'Bulk Order Details'!C129&amp;" "&amp;'Bulk Order Details'!D129)</f>
        <v/>
      </c>
      <c r="D119" s="31" t="str">
        <f>IF('Bulk Order Details'!M129="","",VLOOKUP(1,Price[],3))</f>
        <v/>
      </c>
      <c r="E119" s="29" t="str">
        <f>IF('Bulk Order Details'!M129="","",Summary!$D$9)</f>
        <v/>
      </c>
      <c r="F119" s="16" t="str">
        <f>IF('Bulk Order Details'!I129="","",_xlfn.XLOOKUP('Bulk Order Details'!I129,Size[Display],Size[Price]))</f>
        <v/>
      </c>
      <c r="G119" s="16" t="str">
        <f>IF('Bulk Order Details'!J129="","",_xlfn.XLOOKUP('Bulk Order Details'!J129,Length[Display],Length[Price]))</f>
        <v/>
      </c>
      <c r="H119" s="16" t="str">
        <f>IF('Bulk Order Details'!K129="","",_xlfn.XLOOKUP('Bulk Order Details'!K129,Collection[Display],Collection[Price]))</f>
        <v/>
      </c>
      <c r="I119" s="16" t="str">
        <f>IF('Bulk Order Details'!L129="","",_xlfn.XLOOKUP('Bulk Order Details'!L129,Sleeve[Display],Sleeve[Price]))</f>
        <v/>
      </c>
      <c r="J119" s="16" t="str">
        <f>IF('Bulk Order Details'!M129="","",_xlfn.XLOOKUP('Bulk Order Details'!M129,Collar[Display],Collar[Price]))</f>
        <v/>
      </c>
      <c r="K119" s="16" t="str">
        <f>IF('Bulk Order Details'!N129="","",_xlfn.XLOOKUP("Name",Name[Name],Name[Price]))</f>
        <v/>
      </c>
      <c r="L119" s="18" t="str">
        <f>IFERROR(IF('Bulk Order Details'!R129="","",IF(_xlfn.XLOOKUP('Bulk Order Details'!R129,Logos[Display],Logos[Use])="Flat",_xlfn.XLOOKUP('Bulk Order Details'!R129,Logos[Display],Logos[Flat]),ROUND(_xlfn.XLOOKUP('Bulk Order Details'!R129,Logos[Display],Logos[Pct])*$E119,2))),"")</f>
        <v/>
      </c>
      <c r="M119" s="22" t="str">
        <f>IFERROR(IF('Bulk Order Details'!S129="","",IF(_xlfn.XLOOKUP('Bulk Order Details'!S129,Chest[Display],Chest[Use])="Flat",_xlfn.XLOOKUP('Bulk Order Details'!S129,Chest[Display],Chest[Flat]),ROUND(_xlfn.XLOOKUP('Bulk Order Details'!S129,Chest[Display],Chest[Pct])*$E119,2))),"")</f>
        <v/>
      </c>
      <c r="N119" s="22" t="str">
        <f>IFERROR(IF('Bulk Order Details'!T129="","",IF(_xlfn.XLOOKUP('Bulk Order Details'!T129,Chest[Display],Chest[Use])="Flat",_xlfn.XLOOKUP('Bulk Order Details'!T129,Chest[Display],Chest[Flat]),ROUND(_xlfn.XLOOKUP('Bulk Order Details'!T129,Chest[Display],Chest[Pct])*$E119,2))),"")</f>
        <v/>
      </c>
      <c r="O119" s="22" t="str">
        <f>IFERROR(IF('Bulk Order Details'!U129="","",IF(_xlfn.XLOOKUP('Bulk Order Details'!U129,LeftSleeve[Display],LeftSleeve[Use])="Flat",_xlfn.XLOOKUP('Bulk Order Details'!U129,LeftSleeve[Display],LeftSleeve[Flat]),ROUND(_xlfn.XLOOKUP('Bulk Order Details'!U129,LeftSleeve[Display],LeftSleeve[Pct])*$E119,2))),"")</f>
        <v/>
      </c>
      <c r="P119" s="22" t="str">
        <f>IFERROR(IF('Bulk Order Details'!V129="","",IF(_xlfn.XLOOKUP('Bulk Order Details'!V129,RightSleeve[Display],RightSleeve[Use])="Flat",_xlfn.XLOOKUP('Bulk Order Details'!V129,RightSleeve[Display],RightSleeve[Flat]),ROUND(_xlfn.XLOOKUP('Bulk Order Details'!V129,RightSleeve[Display],RightSleeve[Pct])*$E119,2))),"")</f>
        <v/>
      </c>
      <c r="Q119" s="27" t="str">
        <f>IF('Bulk Order Details'!M129="","",SUM(F119:P119))</f>
        <v/>
      </c>
      <c r="R119" s="24" t="str">
        <f t="shared" si="6"/>
        <v/>
      </c>
      <c r="S119" s="23" t="str">
        <f>IFERROR(MIN(IF(Summary!$D$11="Yes",-J119,0),IF(H119&gt;0,-J119,0)),"")</f>
        <v/>
      </c>
      <c r="T119" s="16" t="str">
        <f>IFERROR(IF(Summary!$D$10="Yes",-K119,""),"")</f>
        <v/>
      </c>
      <c r="U119" s="18" t="str">
        <f>IFERROR(IF(Summary!$D$12="Yes",-L119,""),"")</f>
        <v/>
      </c>
      <c r="V119" s="25" t="str">
        <f>IF('Bulk Order Details'!M129="","",SUM(R119:U119))</f>
        <v/>
      </c>
      <c r="W119" s="36" t="str">
        <f>IF('Bulk Order Details'!M129="","",D119+Q119)</f>
        <v/>
      </c>
      <c r="X119" s="37" t="str">
        <f>IF('Bulk Order Details'!M129="","",D119+Q119+V119)</f>
        <v/>
      </c>
      <c r="Y119" s="168" t="str">
        <f t="shared" si="5"/>
        <v/>
      </c>
      <c r="Z119" s="173" t="str">
        <f>IF('Bulk Order Details'!M129="","",MAX(1,'Bulk Order Details'!G129))</f>
        <v/>
      </c>
      <c r="AA119" s="196" t="str">
        <f>IF(Pricing_Details[[#This Row],[Quantity]]="","",Pricing_Details[[#This Row],[Retail Price]]*Pricing_Details[[#This Row],[Quantity]])</f>
        <v/>
      </c>
      <c r="AB119" s="196" t="str">
        <f>IF(Pricing_Details[[#This Row],[Quantity]]="","",Pricing_Details[[#This Row],[Total Discount]]*Pricing_Details[[#This Row],[Quantity]])</f>
        <v/>
      </c>
      <c r="AC119" s="176" t="str">
        <f>IFERROR(ROUND(Pricing_Details[[#This Row],[Actual Price]]*Pricing_Details[[#This Row],[Quantity]],2),"")</f>
        <v/>
      </c>
      <c r="AE119" s="156" t="str">
        <f>IF('Bulk Order Details'!M129="","",VLOOKUP('Bulk Order Details'!K129,Collection[],3)&amp;VLOOKUP('Bulk Order Details'!M129,Collar[],4)&amp;VLOOKUP('Bulk Order Details'!L129,Sleeve[],4))</f>
        <v/>
      </c>
      <c r="AF119" s="156" t="str">
        <f>IF('Bulk Order Details'!M129="","",LOOKUP('Bulk Order Details'!H129,Cut[Display],Cut[Code])&amp;LOOKUP('Bulk Order Details'!I129,#REF!,#REF!)&amp;IF('Bulk Order Details'!J129="","",LOOKUP('Bulk Order Details'!J129,Length[Display],Length[Code])))</f>
        <v/>
      </c>
      <c r="AG119" s="156" t="str">
        <f>IF('Bulk Order Details'!M129="","",IF('Bulk Order Details'!F129="","",'Bulk Order Details'!F129))</f>
        <v/>
      </c>
      <c r="AH119" s="156" t="str">
        <f>IF('Bulk Order Details'!R129="","","-"&amp;LOOKUP('Bulk Order Details'!R129,#REF!,#REF!))</f>
        <v/>
      </c>
      <c r="AI119" s="156" t="str">
        <f>IF('Bulk Order Details'!S129="","","-"&amp;LOOKUP('Bulk Order Details'!S129,#REF!,#REF!))</f>
        <v/>
      </c>
      <c r="AJ119" s="156" t="str">
        <f>IF('Bulk Order Details'!T129="","","-"&amp;LOOKUP('Bulk Order Details'!T129,#REF!,#REF!))</f>
        <v/>
      </c>
      <c r="AK119" s="156" t="str">
        <f>IF('Bulk Order Details'!U129="","","-"&amp;LOOKUP('Bulk Order Details'!U129,#REF!,#REF!))</f>
        <v/>
      </c>
      <c r="AL119" s="156" t="str">
        <f>IF('Bulk Order Details'!V129="","","-"&amp;LOOKUP('Bulk Order Details'!V129,#REF!,#REF!))</f>
        <v/>
      </c>
      <c r="AM119" s="156" t="str">
        <f t="shared" si="7"/>
        <v/>
      </c>
      <c r="AN119" s="156" t="str">
        <f>IF('Bulk Order Details'!N129="","","Na-"&amp;'Bulk Order Details'!N129)</f>
        <v/>
      </c>
      <c r="AO119" s="156" t="str">
        <f>IF('Bulk Order Details'!Q129="","","Fo-"&amp;'Bulk Order Details'!Q129)</f>
        <v/>
      </c>
      <c r="AP119" s="156" t="str">
        <f t="shared" si="8"/>
        <v/>
      </c>
      <c r="AQ119" s="37" t="str">
        <f t="shared" si="9"/>
        <v/>
      </c>
    </row>
    <row r="120" spans="2:43" ht="15" customHeight="1" x14ac:dyDescent="0.2">
      <c r="B120" s="34">
        <f>'Bulk Order Details'!B130</f>
        <v>117</v>
      </c>
      <c r="C120" s="34" t="str">
        <f>IF('Bulk Order Details'!C130="","",'Bulk Order Details'!C130&amp;" "&amp;'Bulk Order Details'!D130)</f>
        <v/>
      </c>
      <c r="D120" s="31" t="str">
        <f>IF('Bulk Order Details'!M130="","",VLOOKUP(1,Price[],3))</f>
        <v/>
      </c>
      <c r="E120" s="29" t="str">
        <f>IF('Bulk Order Details'!M130="","",Summary!$D$9)</f>
        <v/>
      </c>
      <c r="F120" s="16" t="str">
        <f>IF('Bulk Order Details'!I130="","",_xlfn.XLOOKUP('Bulk Order Details'!I130,Size[Display],Size[Price]))</f>
        <v/>
      </c>
      <c r="G120" s="16" t="str">
        <f>IF('Bulk Order Details'!J130="","",_xlfn.XLOOKUP('Bulk Order Details'!J130,Length[Display],Length[Price]))</f>
        <v/>
      </c>
      <c r="H120" s="16" t="str">
        <f>IF('Bulk Order Details'!K130="","",_xlfn.XLOOKUP('Bulk Order Details'!K130,Collection[Display],Collection[Price]))</f>
        <v/>
      </c>
      <c r="I120" s="16" t="str">
        <f>IF('Bulk Order Details'!L130="","",_xlfn.XLOOKUP('Bulk Order Details'!L130,Sleeve[Display],Sleeve[Price]))</f>
        <v/>
      </c>
      <c r="J120" s="16" t="str">
        <f>IF('Bulk Order Details'!M130="","",_xlfn.XLOOKUP('Bulk Order Details'!M130,Collar[Display],Collar[Price]))</f>
        <v/>
      </c>
      <c r="K120" s="16" t="str">
        <f>IF('Bulk Order Details'!N130="","",_xlfn.XLOOKUP("Name",Name[Name],Name[Price]))</f>
        <v/>
      </c>
      <c r="L120" s="18" t="str">
        <f>IFERROR(IF('Bulk Order Details'!R130="","",IF(_xlfn.XLOOKUP('Bulk Order Details'!R130,Logos[Display],Logos[Use])="Flat",_xlfn.XLOOKUP('Bulk Order Details'!R130,Logos[Display],Logos[Flat]),ROUND(_xlfn.XLOOKUP('Bulk Order Details'!R130,Logos[Display],Logos[Pct])*$E120,2))),"")</f>
        <v/>
      </c>
      <c r="M120" s="22" t="str">
        <f>IFERROR(IF('Bulk Order Details'!S130="","",IF(_xlfn.XLOOKUP('Bulk Order Details'!S130,Chest[Display],Chest[Use])="Flat",_xlfn.XLOOKUP('Bulk Order Details'!S130,Chest[Display],Chest[Flat]),ROUND(_xlfn.XLOOKUP('Bulk Order Details'!S130,Chest[Display],Chest[Pct])*$E120,2))),"")</f>
        <v/>
      </c>
      <c r="N120" s="22" t="str">
        <f>IFERROR(IF('Bulk Order Details'!T130="","",IF(_xlfn.XLOOKUP('Bulk Order Details'!T130,Chest[Display],Chest[Use])="Flat",_xlfn.XLOOKUP('Bulk Order Details'!T130,Chest[Display],Chest[Flat]),ROUND(_xlfn.XLOOKUP('Bulk Order Details'!T130,Chest[Display],Chest[Pct])*$E120,2))),"")</f>
        <v/>
      </c>
      <c r="O120" s="22" t="str">
        <f>IFERROR(IF('Bulk Order Details'!U130="","",IF(_xlfn.XLOOKUP('Bulk Order Details'!U130,LeftSleeve[Display],LeftSleeve[Use])="Flat",_xlfn.XLOOKUP('Bulk Order Details'!U130,LeftSleeve[Display],LeftSleeve[Flat]),ROUND(_xlfn.XLOOKUP('Bulk Order Details'!U130,LeftSleeve[Display],LeftSleeve[Pct])*$E120,2))),"")</f>
        <v/>
      </c>
      <c r="P120" s="22" t="str">
        <f>IFERROR(IF('Bulk Order Details'!V130="","",IF(_xlfn.XLOOKUP('Bulk Order Details'!V130,RightSleeve[Display],RightSleeve[Use])="Flat",_xlfn.XLOOKUP('Bulk Order Details'!V130,RightSleeve[Display],RightSleeve[Flat]),ROUND(_xlfn.XLOOKUP('Bulk Order Details'!V130,RightSleeve[Display],RightSleeve[Pct])*$E120,2))),"")</f>
        <v/>
      </c>
      <c r="Q120" s="27" t="str">
        <f>IF('Bulk Order Details'!M130="","",SUM(F120:P120))</f>
        <v/>
      </c>
      <c r="R120" s="24" t="str">
        <f t="shared" si="6"/>
        <v/>
      </c>
      <c r="S120" s="23" t="str">
        <f>IFERROR(MIN(IF(Summary!$D$11="Yes",-J120,0),IF(H120&gt;0,-J120,0)),"")</f>
        <v/>
      </c>
      <c r="T120" s="16" t="str">
        <f>IFERROR(IF(Summary!$D$10="Yes",-K120,""),"")</f>
        <v/>
      </c>
      <c r="U120" s="18" t="str">
        <f>IFERROR(IF(Summary!$D$12="Yes",-L120,""),"")</f>
        <v/>
      </c>
      <c r="V120" s="25" t="str">
        <f>IF('Bulk Order Details'!M130="","",SUM(R120:U120))</f>
        <v/>
      </c>
      <c r="W120" s="36" t="str">
        <f>IF('Bulk Order Details'!M130="","",D120+Q120)</f>
        <v/>
      </c>
      <c r="X120" s="37" t="str">
        <f>IF('Bulk Order Details'!M130="","",D120+Q120+V120)</f>
        <v/>
      </c>
      <c r="Y120" s="168" t="str">
        <f t="shared" si="5"/>
        <v/>
      </c>
      <c r="Z120" s="173" t="str">
        <f>IF('Bulk Order Details'!M130="","",MAX(1,'Bulk Order Details'!G130))</f>
        <v/>
      </c>
      <c r="AA120" s="196" t="str">
        <f>IF(Pricing_Details[[#This Row],[Quantity]]="","",Pricing_Details[[#This Row],[Retail Price]]*Pricing_Details[[#This Row],[Quantity]])</f>
        <v/>
      </c>
      <c r="AB120" s="196" t="str">
        <f>IF(Pricing_Details[[#This Row],[Quantity]]="","",Pricing_Details[[#This Row],[Total Discount]]*Pricing_Details[[#This Row],[Quantity]])</f>
        <v/>
      </c>
      <c r="AC120" s="176" t="str">
        <f>IFERROR(ROUND(Pricing_Details[[#This Row],[Actual Price]]*Pricing_Details[[#This Row],[Quantity]],2),"")</f>
        <v/>
      </c>
      <c r="AE120" s="156" t="str">
        <f>IF('Bulk Order Details'!M130="","",VLOOKUP('Bulk Order Details'!K130,Collection[],3)&amp;VLOOKUP('Bulk Order Details'!M130,Collar[],4)&amp;VLOOKUP('Bulk Order Details'!L130,Sleeve[],4))</f>
        <v/>
      </c>
      <c r="AF120" s="156" t="str">
        <f>IF('Bulk Order Details'!M130="","",LOOKUP('Bulk Order Details'!H130,Cut[Display],Cut[Code])&amp;LOOKUP('Bulk Order Details'!I130,#REF!,#REF!)&amp;IF('Bulk Order Details'!J130="","",LOOKUP('Bulk Order Details'!J130,Length[Display],Length[Code])))</f>
        <v/>
      </c>
      <c r="AG120" s="156" t="str">
        <f>IF('Bulk Order Details'!M130="","",IF('Bulk Order Details'!F130="","",'Bulk Order Details'!F130))</f>
        <v/>
      </c>
      <c r="AH120" s="156" t="str">
        <f>IF('Bulk Order Details'!R130="","","-"&amp;LOOKUP('Bulk Order Details'!R130,#REF!,#REF!))</f>
        <v/>
      </c>
      <c r="AI120" s="156" t="str">
        <f>IF('Bulk Order Details'!S130="","","-"&amp;LOOKUP('Bulk Order Details'!S130,#REF!,#REF!))</f>
        <v/>
      </c>
      <c r="AJ120" s="156" t="str">
        <f>IF('Bulk Order Details'!T130="","","-"&amp;LOOKUP('Bulk Order Details'!T130,#REF!,#REF!))</f>
        <v/>
      </c>
      <c r="AK120" s="156" t="str">
        <f>IF('Bulk Order Details'!U130="","","-"&amp;LOOKUP('Bulk Order Details'!U130,#REF!,#REF!))</f>
        <v/>
      </c>
      <c r="AL120" s="156" t="str">
        <f>IF('Bulk Order Details'!V130="","","-"&amp;LOOKUP('Bulk Order Details'!V130,#REF!,#REF!))</f>
        <v/>
      </c>
      <c r="AM120" s="156" t="str">
        <f t="shared" si="7"/>
        <v/>
      </c>
      <c r="AN120" s="156" t="str">
        <f>IF('Bulk Order Details'!N130="","","Na-"&amp;'Bulk Order Details'!N130)</f>
        <v/>
      </c>
      <c r="AO120" s="156" t="str">
        <f>IF('Bulk Order Details'!Q130="","","Fo-"&amp;'Bulk Order Details'!Q130)</f>
        <v/>
      </c>
      <c r="AP120" s="156" t="str">
        <f t="shared" si="8"/>
        <v/>
      </c>
      <c r="AQ120" s="37" t="str">
        <f t="shared" si="9"/>
        <v/>
      </c>
    </row>
    <row r="121" spans="2:43" ht="15" customHeight="1" x14ac:dyDescent="0.2">
      <c r="B121" s="34">
        <f>'Bulk Order Details'!B131</f>
        <v>118</v>
      </c>
      <c r="C121" s="34" t="str">
        <f>IF('Bulk Order Details'!C131="","",'Bulk Order Details'!C131&amp;" "&amp;'Bulk Order Details'!D131)</f>
        <v/>
      </c>
      <c r="D121" s="31" t="str">
        <f>IF('Bulk Order Details'!M131="","",VLOOKUP(1,Price[],3))</f>
        <v/>
      </c>
      <c r="E121" s="29" t="str">
        <f>IF('Bulk Order Details'!M131="","",Summary!$D$9)</f>
        <v/>
      </c>
      <c r="F121" s="16" t="str">
        <f>IF('Bulk Order Details'!I131="","",_xlfn.XLOOKUP('Bulk Order Details'!I131,Size[Display],Size[Price]))</f>
        <v/>
      </c>
      <c r="G121" s="16" t="str">
        <f>IF('Bulk Order Details'!J131="","",_xlfn.XLOOKUP('Bulk Order Details'!J131,Length[Display],Length[Price]))</f>
        <v/>
      </c>
      <c r="H121" s="16" t="str">
        <f>IF('Bulk Order Details'!K131="","",_xlfn.XLOOKUP('Bulk Order Details'!K131,Collection[Display],Collection[Price]))</f>
        <v/>
      </c>
      <c r="I121" s="16" t="str">
        <f>IF('Bulk Order Details'!L131="","",_xlfn.XLOOKUP('Bulk Order Details'!L131,Sleeve[Display],Sleeve[Price]))</f>
        <v/>
      </c>
      <c r="J121" s="16" t="str">
        <f>IF('Bulk Order Details'!M131="","",_xlfn.XLOOKUP('Bulk Order Details'!M131,Collar[Display],Collar[Price]))</f>
        <v/>
      </c>
      <c r="K121" s="16" t="str">
        <f>IF('Bulk Order Details'!N131="","",_xlfn.XLOOKUP("Name",Name[Name],Name[Price]))</f>
        <v/>
      </c>
      <c r="L121" s="18" t="str">
        <f>IFERROR(IF('Bulk Order Details'!R131="","",IF(_xlfn.XLOOKUP('Bulk Order Details'!R131,Logos[Display],Logos[Use])="Flat",_xlfn.XLOOKUP('Bulk Order Details'!R131,Logos[Display],Logos[Flat]),ROUND(_xlfn.XLOOKUP('Bulk Order Details'!R131,Logos[Display],Logos[Pct])*$E121,2))),"")</f>
        <v/>
      </c>
      <c r="M121" s="22" t="str">
        <f>IFERROR(IF('Bulk Order Details'!S131="","",IF(_xlfn.XLOOKUP('Bulk Order Details'!S131,Chest[Display],Chest[Use])="Flat",_xlfn.XLOOKUP('Bulk Order Details'!S131,Chest[Display],Chest[Flat]),ROUND(_xlfn.XLOOKUP('Bulk Order Details'!S131,Chest[Display],Chest[Pct])*$E121,2))),"")</f>
        <v/>
      </c>
      <c r="N121" s="22" t="str">
        <f>IFERROR(IF('Bulk Order Details'!T131="","",IF(_xlfn.XLOOKUP('Bulk Order Details'!T131,Chest[Display],Chest[Use])="Flat",_xlfn.XLOOKUP('Bulk Order Details'!T131,Chest[Display],Chest[Flat]),ROUND(_xlfn.XLOOKUP('Bulk Order Details'!T131,Chest[Display],Chest[Pct])*$E121,2))),"")</f>
        <v/>
      </c>
      <c r="O121" s="22" t="str">
        <f>IFERROR(IF('Bulk Order Details'!U131="","",IF(_xlfn.XLOOKUP('Bulk Order Details'!U131,LeftSleeve[Display],LeftSleeve[Use])="Flat",_xlfn.XLOOKUP('Bulk Order Details'!U131,LeftSleeve[Display],LeftSleeve[Flat]),ROUND(_xlfn.XLOOKUP('Bulk Order Details'!U131,LeftSleeve[Display],LeftSleeve[Pct])*$E121,2))),"")</f>
        <v/>
      </c>
      <c r="P121" s="22" t="str">
        <f>IFERROR(IF('Bulk Order Details'!V131="","",IF(_xlfn.XLOOKUP('Bulk Order Details'!V131,RightSleeve[Display],RightSleeve[Use])="Flat",_xlfn.XLOOKUP('Bulk Order Details'!V131,RightSleeve[Display],RightSleeve[Flat]),ROUND(_xlfn.XLOOKUP('Bulk Order Details'!V131,RightSleeve[Display],RightSleeve[Pct])*$E121,2))),"")</f>
        <v/>
      </c>
      <c r="Q121" s="27" t="str">
        <f>IF('Bulk Order Details'!M131="","",SUM(F121:P121))</f>
        <v/>
      </c>
      <c r="R121" s="24" t="str">
        <f t="shared" si="6"/>
        <v/>
      </c>
      <c r="S121" s="23" t="str">
        <f>IFERROR(MIN(IF(Summary!$D$11="Yes",-J121,0),IF(H121&gt;0,-J121,0)),"")</f>
        <v/>
      </c>
      <c r="T121" s="16" t="str">
        <f>IFERROR(IF(Summary!$D$10="Yes",-K121,""),"")</f>
        <v/>
      </c>
      <c r="U121" s="18" t="str">
        <f>IFERROR(IF(Summary!$D$12="Yes",-L121,""),"")</f>
        <v/>
      </c>
      <c r="V121" s="25" t="str">
        <f>IF('Bulk Order Details'!M131="","",SUM(R121:U121))</f>
        <v/>
      </c>
      <c r="W121" s="36" t="str">
        <f>IF('Bulk Order Details'!M131="","",D121+Q121)</f>
        <v/>
      </c>
      <c r="X121" s="37" t="str">
        <f>IF('Bulk Order Details'!M131="","",D121+Q121+V121)</f>
        <v/>
      </c>
      <c r="Y121" s="168" t="str">
        <f t="shared" si="5"/>
        <v/>
      </c>
      <c r="Z121" s="173" t="str">
        <f>IF('Bulk Order Details'!M131="","",MAX(1,'Bulk Order Details'!G131))</f>
        <v/>
      </c>
      <c r="AA121" s="196" t="str">
        <f>IF(Pricing_Details[[#This Row],[Quantity]]="","",Pricing_Details[[#This Row],[Retail Price]]*Pricing_Details[[#This Row],[Quantity]])</f>
        <v/>
      </c>
      <c r="AB121" s="196" t="str">
        <f>IF(Pricing_Details[[#This Row],[Quantity]]="","",Pricing_Details[[#This Row],[Total Discount]]*Pricing_Details[[#This Row],[Quantity]])</f>
        <v/>
      </c>
      <c r="AC121" s="176" t="str">
        <f>IFERROR(ROUND(Pricing_Details[[#This Row],[Actual Price]]*Pricing_Details[[#This Row],[Quantity]],2),"")</f>
        <v/>
      </c>
      <c r="AE121" s="156" t="str">
        <f>IF('Bulk Order Details'!M131="","",VLOOKUP('Bulk Order Details'!K131,Collection[],3)&amp;VLOOKUP('Bulk Order Details'!M131,Collar[],4)&amp;VLOOKUP('Bulk Order Details'!L131,Sleeve[],4))</f>
        <v/>
      </c>
      <c r="AF121" s="156" t="str">
        <f>IF('Bulk Order Details'!M131="","",LOOKUP('Bulk Order Details'!H131,Cut[Display],Cut[Code])&amp;LOOKUP('Bulk Order Details'!I131,#REF!,#REF!)&amp;IF('Bulk Order Details'!J131="","",LOOKUP('Bulk Order Details'!J131,Length[Display],Length[Code])))</f>
        <v/>
      </c>
      <c r="AG121" s="156" t="str">
        <f>IF('Bulk Order Details'!M131="","",IF('Bulk Order Details'!F131="","",'Bulk Order Details'!F131))</f>
        <v/>
      </c>
      <c r="AH121" s="156" t="str">
        <f>IF('Bulk Order Details'!R131="","","-"&amp;LOOKUP('Bulk Order Details'!R131,#REF!,#REF!))</f>
        <v/>
      </c>
      <c r="AI121" s="156" t="str">
        <f>IF('Bulk Order Details'!S131="","","-"&amp;LOOKUP('Bulk Order Details'!S131,#REF!,#REF!))</f>
        <v/>
      </c>
      <c r="AJ121" s="156" t="str">
        <f>IF('Bulk Order Details'!T131="","","-"&amp;LOOKUP('Bulk Order Details'!T131,#REF!,#REF!))</f>
        <v/>
      </c>
      <c r="AK121" s="156" t="str">
        <f>IF('Bulk Order Details'!U131="","","-"&amp;LOOKUP('Bulk Order Details'!U131,#REF!,#REF!))</f>
        <v/>
      </c>
      <c r="AL121" s="156" t="str">
        <f>IF('Bulk Order Details'!V131="","","-"&amp;LOOKUP('Bulk Order Details'!V131,#REF!,#REF!))</f>
        <v/>
      </c>
      <c r="AM121" s="156" t="str">
        <f t="shared" si="7"/>
        <v/>
      </c>
      <c r="AN121" s="156" t="str">
        <f>IF('Bulk Order Details'!N131="","","Na-"&amp;'Bulk Order Details'!N131)</f>
        <v/>
      </c>
      <c r="AO121" s="156" t="str">
        <f>IF('Bulk Order Details'!Q131="","","Fo-"&amp;'Bulk Order Details'!Q131)</f>
        <v/>
      </c>
      <c r="AP121" s="156" t="str">
        <f t="shared" si="8"/>
        <v/>
      </c>
      <c r="AQ121" s="37" t="str">
        <f t="shared" si="9"/>
        <v/>
      </c>
    </row>
    <row r="122" spans="2:43" ht="15" customHeight="1" x14ac:dyDescent="0.2">
      <c r="B122" s="34">
        <f>'Bulk Order Details'!B132</f>
        <v>119</v>
      </c>
      <c r="C122" s="34" t="str">
        <f>IF('Bulk Order Details'!C132="","",'Bulk Order Details'!C132&amp;" "&amp;'Bulk Order Details'!D132)</f>
        <v/>
      </c>
      <c r="D122" s="31" t="str">
        <f>IF('Bulk Order Details'!M132="","",VLOOKUP(1,Price[],3))</f>
        <v/>
      </c>
      <c r="E122" s="29" t="str">
        <f>IF('Bulk Order Details'!M132="","",Summary!$D$9)</f>
        <v/>
      </c>
      <c r="F122" s="16" t="str">
        <f>IF('Bulk Order Details'!I132="","",_xlfn.XLOOKUP('Bulk Order Details'!I132,Size[Display],Size[Price]))</f>
        <v/>
      </c>
      <c r="G122" s="16" t="str">
        <f>IF('Bulk Order Details'!J132="","",_xlfn.XLOOKUP('Bulk Order Details'!J132,Length[Display],Length[Price]))</f>
        <v/>
      </c>
      <c r="H122" s="16" t="str">
        <f>IF('Bulk Order Details'!K132="","",_xlfn.XLOOKUP('Bulk Order Details'!K132,Collection[Display],Collection[Price]))</f>
        <v/>
      </c>
      <c r="I122" s="16" t="str">
        <f>IF('Bulk Order Details'!L132="","",_xlfn.XLOOKUP('Bulk Order Details'!L132,Sleeve[Display],Sleeve[Price]))</f>
        <v/>
      </c>
      <c r="J122" s="16" t="str">
        <f>IF('Bulk Order Details'!M132="","",_xlfn.XLOOKUP('Bulk Order Details'!M132,Collar[Display],Collar[Price]))</f>
        <v/>
      </c>
      <c r="K122" s="16" t="str">
        <f>IF('Bulk Order Details'!N132="","",_xlfn.XLOOKUP("Name",Name[Name],Name[Price]))</f>
        <v/>
      </c>
      <c r="L122" s="18" t="str">
        <f>IFERROR(IF('Bulk Order Details'!R132="","",IF(_xlfn.XLOOKUP('Bulk Order Details'!R132,Logos[Display],Logos[Use])="Flat",_xlfn.XLOOKUP('Bulk Order Details'!R132,Logos[Display],Logos[Flat]),ROUND(_xlfn.XLOOKUP('Bulk Order Details'!R132,Logos[Display],Logos[Pct])*$E122,2))),"")</f>
        <v/>
      </c>
      <c r="M122" s="22" t="str">
        <f>IFERROR(IF('Bulk Order Details'!S132="","",IF(_xlfn.XLOOKUP('Bulk Order Details'!S132,Chest[Display],Chest[Use])="Flat",_xlfn.XLOOKUP('Bulk Order Details'!S132,Chest[Display],Chest[Flat]),ROUND(_xlfn.XLOOKUP('Bulk Order Details'!S132,Chest[Display],Chest[Pct])*$E122,2))),"")</f>
        <v/>
      </c>
      <c r="N122" s="22" t="str">
        <f>IFERROR(IF('Bulk Order Details'!T132="","",IF(_xlfn.XLOOKUP('Bulk Order Details'!T132,Chest[Display],Chest[Use])="Flat",_xlfn.XLOOKUP('Bulk Order Details'!T132,Chest[Display],Chest[Flat]),ROUND(_xlfn.XLOOKUP('Bulk Order Details'!T132,Chest[Display],Chest[Pct])*$E122,2))),"")</f>
        <v/>
      </c>
      <c r="O122" s="22" t="str">
        <f>IFERROR(IF('Bulk Order Details'!U132="","",IF(_xlfn.XLOOKUP('Bulk Order Details'!U132,LeftSleeve[Display],LeftSleeve[Use])="Flat",_xlfn.XLOOKUP('Bulk Order Details'!U132,LeftSleeve[Display],LeftSleeve[Flat]),ROUND(_xlfn.XLOOKUP('Bulk Order Details'!U132,LeftSleeve[Display],LeftSleeve[Pct])*$E122,2))),"")</f>
        <v/>
      </c>
      <c r="P122" s="22" t="str">
        <f>IFERROR(IF('Bulk Order Details'!V132="","",IF(_xlfn.XLOOKUP('Bulk Order Details'!V132,RightSleeve[Display],RightSleeve[Use])="Flat",_xlfn.XLOOKUP('Bulk Order Details'!V132,RightSleeve[Display],RightSleeve[Flat]),ROUND(_xlfn.XLOOKUP('Bulk Order Details'!V132,RightSleeve[Display],RightSleeve[Pct])*$E122,2))),"")</f>
        <v/>
      </c>
      <c r="Q122" s="27" t="str">
        <f>IF('Bulk Order Details'!M132="","",SUM(F122:P122))</f>
        <v/>
      </c>
      <c r="R122" s="24" t="str">
        <f t="shared" si="6"/>
        <v/>
      </c>
      <c r="S122" s="23" t="str">
        <f>IFERROR(MIN(IF(Summary!$D$11="Yes",-J122,0),IF(H122&gt;0,-J122,0)),"")</f>
        <v/>
      </c>
      <c r="T122" s="16" t="str">
        <f>IFERROR(IF(Summary!$D$10="Yes",-K122,""),"")</f>
        <v/>
      </c>
      <c r="U122" s="18" t="str">
        <f>IFERROR(IF(Summary!$D$12="Yes",-L122,""),"")</f>
        <v/>
      </c>
      <c r="V122" s="25" t="str">
        <f>IF('Bulk Order Details'!M132="","",SUM(R122:U122))</f>
        <v/>
      </c>
      <c r="W122" s="36" t="str">
        <f>IF('Bulk Order Details'!M132="","",D122+Q122)</f>
        <v/>
      </c>
      <c r="X122" s="37" t="str">
        <f>IF('Bulk Order Details'!M132="","",D122+Q122+V122)</f>
        <v/>
      </c>
      <c r="Y122" s="168" t="str">
        <f t="shared" si="5"/>
        <v/>
      </c>
      <c r="Z122" s="173" t="str">
        <f>IF('Bulk Order Details'!M132="","",MAX(1,'Bulk Order Details'!G132))</f>
        <v/>
      </c>
      <c r="AA122" s="196" t="str">
        <f>IF(Pricing_Details[[#This Row],[Quantity]]="","",Pricing_Details[[#This Row],[Retail Price]]*Pricing_Details[[#This Row],[Quantity]])</f>
        <v/>
      </c>
      <c r="AB122" s="196" t="str">
        <f>IF(Pricing_Details[[#This Row],[Quantity]]="","",Pricing_Details[[#This Row],[Total Discount]]*Pricing_Details[[#This Row],[Quantity]])</f>
        <v/>
      </c>
      <c r="AC122" s="176" t="str">
        <f>IFERROR(ROUND(Pricing_Details[[#This Row],[Actual Price]]*Pricing_Details[[#This Row],[Quantity]],2),"")</f>
        <v/>
      </c>
      <c r="AE122" s="156" t="str">
        <f>IF('Bulk Order Details'!M132="","",VLOOKUP('Bulk Order Details'!K132,Collection[],3)&amp;VLOOKUP('Bulk Order Details'!M132,Collar[],4)&amp;VLOOKUP('Bulk Order Details'!L132,Sleeve[],4))</f>
        <v/>
      </c>
      <c r="AF122" s="156" t="str">
        <f>IF('Bulk Order Details'!M132="","",LOOKUP('Bulk Order Details'!H132,Cut[Display],Cut[Code])&amp;LOOKUP('Bulk Order Details'!I132,#REF!,#REF!)&amp;IF('Bulk Order Details'!J132="","",LOOKUP('Bulk Order Details'!J132,Length[Display],Length[Code])))</f>
        <v/>
      </c>
      <c r="AG122" s="156" t="str">
        <f>IF('Bulk Order Details'!M132="","",IF('Bulk Order Details'!F132="","",'Bulk Order Details'!F132))</f>
        <v/>
      </c>
      <c r="AH122" s="156" t="str">
        <f>IF('Bulk Order Details'!R132="","","-"&amp;LOOKUP('Bulk Order Details'!R132,#REF!,#REF!))</f>
        <v/>
      </c>
      <c r="AI122" s="156" t="str">
        <f>IF('Bulk Order Details'!S132="","","-"&amp;LOOKUP('Bulk Order Details'!S132,#REF!,#REF!))</f>
        <v/>
      </c>
      <c r="AJ122" s="156" t="str">
        <f>IF('Bulk Order Details'!T132="","","-"&amp;LOOKUP('Bulk Order Details'!T132,#REF!,#REF!))</f>
        <v/>
      </c>
      <c r="AK122" s="156" t="str">
        <f>IF('Bulk Order Details'!U132="","","-"&amp;LOOKUP('Bulk Order Details'!U132,#REF!,#REF!))</f>
        <v/>
      </c>
      <c r="AL122" s="156" t="str">
        <f>IF('Bulk Order Details'!V132="","","-"&amp;LOOKUP('Bulk Order Details'!V132,#REF!,#REF!))</f>
        <v/>
      </c>
      <c r="AM122" s="156" t="str">
        <f t="shared" si="7"/>
        <v/>
      </c>
      <c r="AN122" s="156" t="str">
        <f>IF('Bulk Order Details'!N132="","","Na-"&amp;'Bulk Order Details'!N132)</f>
        <v/>
      </c>
      <c r="AO122" s="156" t="str">
        <f>IF('Bulk Order Details'!Q132="","","Fo-"&amp;'Bulk Order Details'!Q132)</f>
        <v/>
      </c>
      <c r="AP122" s="156" t="str">
        <f t="shared" si="8"/>
        <v/>
      </c>
      <c r="AQ122" s="37" t="str">
        <f t="shared" si="9"/>
        <v/>
      </c>
    </row>
    <row r="123" spans="2:43" ht="15" customHeight="1" x14ac:dyDescent="0.2">
      <c r="B123" s="34">
        <f>'Bulk Order Details'!B133</f>
        <v>120</v>
      </c>
      <c r="C123" s="34" t="str">
        <f>IF('Bulk Order Details'!C133="","",'Bulk Order Details'!C133&amp;" "&amp;'Bulk Order Details'!D133)</f>
        <v/>
      </c>
      <c r="D123" s="31" t="str">
        <f>IF('Bulk Order Details'!M133="","",VLOOKUP(1,Price[],3))</f>
        <v/>
      </c>
      <c r="E123" s="29" t="str">
        <f>IF('Bulk Order Details'!M133="","",Summary!$D$9)</f>
        <v/>
      </c>
      <c r="F123" s="16" t="str">
        <f>IF('Bulk Order Details'!I133="","",_xlfn.XLOOKUP('Bulk Order Details'!I133,Size[Display],Size[Price]))</f>
        <v/>
      </c>
      <c r="G123" s="16" t="str">
        <f>IF('Bulk Order Details'!J133="","",_xlfn.XLOOKUP('Bulk Order Details'!J133,Length[Display],Length[Price]))</f>
        <v/>
      </c>
      <c r="H123" s="16" t="str">
        <f>IF('Bulk Order Details'!K133="","",_xlfn.XLOOKUP('Bulk Order Details'!K133,Collection[Display],Collection[Price]))</f>
        <v/>
      </c>
      <c r="I123" s="16" t="str">
        <f>IF('Bulk Order Details'!L133="","",_xlfn.XLOOKUP('Bulk Order Details'!L133,Sleeve[Display],Sleeve[Price]))</f>
        <v/>
      </c>
      <c r="J123" s="16" t="str">
        <f>IF('Bulk Order Details'!M133="","",_xlfn.XLOOKUP('Bulk Order Details'!M133,Collar[Display],Collar[Price]))</f>
        <v/>
      </c>
      <c r="K123" s="16" t="str">
        <f>IF('Bulk Order Details'!N133="","",_xlfn.XLOOKUP("Name",Name[Name],Name[Price]))</f>
        <v/>
      </c>
      <c r="L123" s="18" t="str">
        <f>IFERROR(IF('Bulk Order Details'!R133="","",IF(_xlfn.XLOOKUP('Bulk Order Details'!R133,Logos[Display],Logos[Use])="Flat",_xlfn.XLOOKUP('Bulk Order Details'!R133,Logos[Display],Logos[Flat]),ROUND(_xlfn.XLOOKUP('Bulk Order Details'!R133,Logos[Display],Logos[Pct])*$E123,2))),"")</f>
        <v/>
      </c>
      <c r="M123" s="22" t="str">
        <f>IFERROR(IF('Bulk Order Details'!S133="","",IF(_xlfn.XLOOKUP('Bulk Order Details'!S133,Chest[Display],Chest[Use])="Flat",_xlfn.XLOOKUP('Bulk Order Details'!S133,Chest[Display],Chest[Flat]),ROUND(_xlfn.XLOOKUP('Bulk Order Details'!S133,Chest[Display],Chest[Pct])*$E123,2))),"")</f>
        <v/>
      </c>
      <c r="N123" s="22" t="str">
        <f>IFERROR(IF('Bulk Order Details'!T133="","",IF(_xlfn.XLOOKUP('Bulk Order Details'!T133,Chest[Display],Chest[Use])="Flat",_xlfn.XLOOKUP('Bulk Order Details'!T133,Chest[Display],Chest[Flat]),ROUND(_xlfn.XLOOKUP('Bulk Order Details'!T133,Chest[Display],Chest[Pct])*$E123,2))),"")</f>
        <v/>
      </c>
      <c r="O123" s="22" t="str">
        <f>IFERROR(IF('Bulk Order Details'!U133="","",IF(_xlfn.XLOOKUP('Bulk Order Details'!U133,LeftSleeve[Display],LeftSleeve[Use])="Flat",_xlfn.XLOOKUP('Bulk Order Details'!U133,LeftSleeve[Display],LeftSleeve[Flat]),ROUND(_xlfn.XLOOKUP('Bulk Order Details'!U133,LeftSleeve[Display],LeftSleeve[Pct])*$E123,2))),"")</f>
        <v/>
      </c>
      <c r="P123" s="22" t="str">
        <f>IFERROR(IF('Bulk Order Details'!V133="","",IF(_xlfn.XLOOKUP('Bulk Order Details'!V133,RightSleeve[Display],RightSleeve[Use])="Flat",_xlfn.XLOOKUP('Bulk Order Details'!V133,RightSleeve[Display],RightSleeve[Flat]),ROUND(_xlfn.XLOOKUP('Bulk Order Details'!V133,RightSleeve[Display],RightSleeve[Pct])*$E123,2))),"")</f>
        <v/>
      </c>
      <c r="Q123" s="27" t="str">
        <f>IF('Bulk Order Details'!M133="","",SUM(F123:P123))</f>
        <v/>
      </c>
      <c r="R123" s="24" t="str">
        <f t="shared" si="6"/>
        <v/>
      </c>
      <c r="S123" s="23" t="str">
        <f>IFERROR(MIN(IF(Summary!$D$11="Yes",-J123,0),IF(H123&gt;0,-J123,0)),"")</f>
        <v/>
      </c>
      <c r="T123" s="16" t="str">
        <f>IFERROR(IF(Summary!$D$10="Yes",-K123,""),"")</f>
        <v/>
      </c>
      <c r="U123" s="18" t="str">
        <f>IFERROR(IF(Summary!$D$12="Yes",-L123,""),"")</f>
        <v/>
      </c>
      <c r="V123" s="25" t="str">
        <f>IF('Bulk Order Details'!M133="","",SUM(R123:U123))</f>
        <v/>
      </c>
      <c r="W123" s="36" t="str">
        <f>IF('Bulk Order Details'!M133="","",D123+Q123)</f>
        <v/>
      </c>
      <c r="X123" s="37" t="str">
        <f>IF('Bulk Order Details'!M133="","",D123+Q123+V123)</f>
        <v/>
      </c>
      <c r="Y123" s="168" t="str">
        <f t="shared" si="5"/>
        <v/>
      </c>
      <c r="Z123" s="173" t="str">
        <f>IF('Bulk Order Details'!M133="","",MAX(1,'Bulk Order Details'!G133))</f>
        <v/>
      </c>
      <c r="AA123" s="196" t="str">
        <f>IF(Pricing_Details[[#This Row],[Quantity]]="","",Pricing_Details[[#This Row],[Retail Price]]*Pricing_Details[[#This Row],[Quantity]])</f>
        <v/>
      </c>
      <c r="AB123" s="196" t="str">
        <f>IF(Pricing_Details[[#This Row],[Quantity]]="","",Pricing_Details[[#This Row],[Total Discount]]*Pricing_Details[[#This Row],[Quantity]])</f>
        <v/>
      </c>
      <c r="AC123" s="176" t="str">
        <f>IFERROR(ROUND(Pricing_Details[[#This Row],[Actual Price]]*Pricing_Details[[#This Row],[Quantity]],2),"")</f>
        <v/>
      </c>
      <c r="AE123" s="156" t="str">
        <f>IF('Bulk Order Details'!M133="","",VLOOKUP('Bulk Order Details'!K133,Collection[],3)&amp;VLOOKUP('Bulk Order Details'!M133,Collar[],4)&amp;VLOOKUP('Bulk Order Details'!L133,Sleeve[],4))</f>
        <v/>
      </c>
      <c r="AF123" s="156" t="str">
        <f>IF('Bulk Order Details'!M133="","",LOOKUP('Bulk Order Details'!H133,Cut[Display],Cut[Code])&amp;LOOKUP('Bulk Order Details'!I133,#REF!,#REF!)&amp;IF('Bulk Order Details'!J133="","",LOOKUP('Bulk Order Details'!J133,Length[Display],Length[Code])))</f>
        <v/>
      </c>
      <c r="AG123" s="156" t="str">
        <f>IF('Bulk Order Details'!M133="","",IF('Bulk Order Details'!F133="","",'Bulk Order Details'!F133))</f>
        <v/>
      </c>
      <c r="AH123" s="156" t="str">
        <f>IF('Bulk Order Details'!R133="","","-"&amp;LOOKUP('Bulk Order Details'!R133,#REF!,#REF!))</f>
        <v/>
      </c>
      <c r="AI123" s="156" t="str">
        <f>IF('Bulk Order Details'!S133="","","-"&amp;LOOKUP('Bulk Order Details'!S133,#REF!,#REF!))</f>
        <v/>
      </c>
      <c r="AJ123" s="156" t="str">
        <f>IF('Bulk Order Details'!T133="","","-"&amp;LOOKUP('Bulk Order Details'!T133,#REF!,#REF!))</f>
        <v/>
      </c>
      <c r="AK123" s="156" t="str">
        <f>IF('Bulk Order Details'!U133="","","-"&amp;LOOKUP('Bulk Order Details'!U133,#REF!,#REF!))</f>
        <v/>
      </c>
      <c r="AL123" s="156" t="str">
        <f>IF('Bulk Order Details'!V133="","","-"&amp;LOOKUP('Bulk Order Details'!V133,#REF!,#REF!))</f>
        <v/>
      </c>
      <c r="AM123" s="156" t="str">
        <f t="shared" si="7"/>
        <v/>
      </c>
      <c r="AN123" s="156" t="str">
        <f>IF('Bulk Order Details'!N133="","","Na-"&amp;'Bulk Order Details'!N133)</f>
        <v/>
      </c>
      <c r="AO123" s="156" t="str">
        <f>IF('Bulk Order Details'!Q133="","","Fo-"&amp;'Bulk Order Details'!Q133)</f>
        <v/>
      </c>
      <c r="AP123" s="156" t="str">
        <f t="shared" si="8"/>
        <v/>
      </c>
      <c r="AQ123" s="37" t="str">
        <f t="shared" si="9"/>
        <v/>
      </c>
    </row>
    <row r="124" spans="2:43" ht="15" customHeight="1" x14ac:dyDescent="0.2">
      <c r="B124" s="34">
        <f>'Bulk Order Details'!B134</f>
        <v>121</v>
      </c>
      <c r="C124" s="34" t="str">
        <f>IF('Bulk Order Details'!C134="","",'Bulk Order Details'!C134&amp;" "&amp;'Bulk Order Details'!D134)</f>
        <v/>
      </c>
      <c r="D124" s="31" t="str">
        <f>IF('Bulk Order Details'!M134="","",VLOOKUP(1,Price[],3))</f>
        <v/>
      </c>
      <c r="E124" s="29" t="str">
        <f>IF('Bulk Order Details'!M134="","",Summary!$D$9)</f>
        <v/>
      </c>
      <c r="F124" s="16" t="str">
        <f>IF('Bulk Order Details'!I134="","",_xlfn.XLOOKUP('Bulk Order Details'!I134,Size[Display],Size[Price]))</f>
        <v/>
      </c>
      <c r="G124" s="16" t="str">
        <f>IF('Bulk Order Details'!J134="","",_xlfn.XLOOKUP('Bulk Order Details'!J134,Length[Display],Length[Price]))</f>
        <v/>
      </c>
      <c r="H124" s="16" t="str">
        <f>IF('Bulk Order Details'!K134="","",_xlfn.XLOOKUP('Bulk Order Details'!K134,Collection[Display],Collection[Price]))</f>
        <v/>
      </c>
      <c r="I124" s="16" t="str">
        <f>IF('Bulk Order Details'!L134="","",_xlfn.XLOOKUP('Bulk Order Details'!L134,Sleeve[Display],Sleeve[Price]))</f>
        <v/>
      </c>
      <c r="J124" s="16" t="str">
        <f>IF('Bulk Order Details'!M134="","",_xlfn.XLOOKUP('Bulk Order Details'!M134,Collar[Display],Collar[Price]))</f>
        <v/>
      </c>
      <c r="K124" s="16" t="str">
        <f>IF('Bulk Order Details'!N134="","",_xlfn.XLOOKUP("Name",Name[Name],Name[Price]))</f>
        <v/>
      </c>
      <c r="L124" s="18" t="str">
        <f>IFERROR(IF('Bulk Order Details'!R134="","",IF(_xlfn.XLOOKUP('Bulk Order Details'!R134,Logos[Display],Logos[Use])="Flat",_xlfn.XLOOKUP('Bulk Order Details'!R134,Logos[Display],Logos[Flat]),ROUND(_xlfn.XLOOKUP('Bulk Order Details'!R134,Logos[Display],Logos[Pct])*$E124,2))),"")</f>
        <v/>
      </c>
      <c r="M124" s="22" t="str">
        <f>IFERROR(IF('Bulk Order Details'!S134="","",IF(_xlfn.XLOOKUP('Bulk Order Details'!S134,Chest[Display],Chest[Use])="Flat",_xlfn.XLOOKUP('Bulk Order Details'!S134,Chest[Display],Chest[Flat]),ROUND(_xlfn.XLOOKUP('Bulk Order Details'!S134,Chest[Display],Chest[Pct])*$E124,2))),"")</f>
        <v/>
      </c>
      <c r="N124" s="22" t="str">
        <f>IFERROR(IF('Bulk Order Details'!T134="","",IF(_xlfn.XLOOKUP('Bulk Order Details'!T134,Chest[Display],Chest[Use])="Flat",_xlfn.XLOOKUP('Bulk Order Details'!T134,Chest[Display],Chest[Flat]),ROUND(_xlfn.XLOOKUP('Bulk Order Details'!T134,Chest[Display],Chest[Pct])*$E124,2))),"")</f>
        <v/>
      </c>
      <c r="O124" s="22" t="str">
        <f>IFERROR(IF('Bulk Order Details'!U134="","",IF(_xlfn.XLOOKUP('Bulk Order Details'!U134,LeftSleeve[Display],LeftSleeve[Use])="Flat",_xlfn.XLOOKUP('Bulk Order Details'!U134,LeftSleeve[Display],LeftSleeve[Flat]),ROUND(_xlfn.XLOOKUP('Bulk Order Details'!U134,LeftSleeve[Display],LeftSleeve[Pct])*$E124,2))),"")</f>
        <v/>
      </c>
      <c r="P124" s="22" t="str">
        <f>IFERROR(IF('Bulk Order Details'!V134="","",IF(_xlfn.XLOOKUP('Bulk Order Details'!V134,RightSleeve[Display],RightSleeve[Use])="Flat",_xlfn.XLOOKUP('Bulk Order Details'!V134,RightSleeve[Display],RightSleeve[Flat]),ROUND(_xlfn.XLOOKUP('Bulk Order Details'!V134,RightSleeve[Display],RightSleeve[Pct])*$E124,2))),"")</f>
        <v/>
      </c>
      <c r="Q124" s="27" t="str">
        <f>IF('Bulk Order Details'!M134="","",SUM(F124:P124))</f>
        <v/>
      </c>
      <c r="R124" s="24" t="str">
        <f t="shared" si="6"/>
        <v/>
      </c>
      <c r="S124" s="23" t="str">
        <f>IFERROR(MIN(IF(Summary!$D$11="Yes",-J124,0),IF(H124&gt;0,-J124,0)),"")</f>
        <v/>
      </c>
      <c r="T124" s="16" t="str">
        <f>IFERROR(IF(Summary!$D$10="Yes",-K124,""),"")</f>
        <v/>
      </c>
      <c r="U124" s="18" t="str">
        <f>IFERROR(IF(Summary!$D$12="Yes",-L124,""),"")</f>
        <v/>
      </c>
      <c r="V124" s="25" t="str">
        <f>IF('Bulk Order Details'!M134="","",SUM(R124:U124))</f>
        <v/>
      </c>
      <c r="W124" s="36" t="str">
        <f>IF('Bulk Order Details'!M134="","",D124+Q124)</f>
        <v/>
      </c>
      <c r="X124" s="37" t="str">
        <f>IF('Bulk Order Details'!M134="","",D124+Q124+V124)</f>
        <v/>
      </c>
      <c r="Y124" s="168" t="str">
        <f t="shared" si="5"/>
        <v/>
      </c>
      <c r="Z124" s="173" t="str">
        <f>IF('Bulk Order Details'!M134="","",MAX(1,'Bulk Order Details'!G134))</f>
        <v/>
      </c>
      <c r="AA124" s="196" t="str">
        <f>IF(Pricing_Details[[#This Row],[Quantity]]="","",Pricing_Details[[#This Row],[Retail Price]]*Pricing_Details[[#This Row],[Quantity]])</f>
        <v/>
      </c>
      <c r="AB124" s="196" t="str">
        <f>IF(Pricing_Details[[#This Row],[Quantity]]="","",Pricing_Details[[#This Row],[Total Discount]]*Pricing_Details[[#This Row],[Quantity]])</f>
        <v/>
      </c>
      <c r="AC124" s="176" t="str">
        <f>IFERROR(ROUND(Pricing_Details[[#This Row],[Actual Price]]*Pricing_Details[[#This Row],[Quantity]],2),"")</f>
        <v/>
      </c>
      <c r="AE124" s="156" t="str">
        <f>IF('Bulk Order Details'!M134="","",VLOOKUP('Bulk Order Details'!K134,Collection[],3)&amp;VLOOKUP('Bulk Order Details'!M134,Collar[],4)&amp;VLOOKUP('Bulk Order Details'!L134,Sleeve[],4))</f>
        <v/>
      </c>
      <c r="AF124" s="156" t="str">
        <f>IF('Bulk Order Details'!M134="","",LOOKUP('Bulk Order Details'!H134,Cut[Display],Cut[Code])&amp;LOOKUP('Bulk Order Details'!I134,#REF!,#REF!)&amp;IF('Bulk Order Details'!J134="","",LOOKUP('Bulk Order Details'!J134,Length[Display],Length[Code])))</f>
        <v/>
      </c>
      <c r="AG124" s="156" t="str">
        <f>IF('Bulk Order Details'!M134="","",IF('Bulk Order Details'!F134="","",'Bulk Order Details'!F134))</f>
        <v/>
      </c>
      <c r="AH124" s="156" t="str">
        <f>IF('Bulk Order Details'!R134="","","-"&amp;LOOKUP('Bulk Order Details'!R134,#REF!,#REF!))</f>
        <v/>
      </c>
      <c r="AI124" s="156" t="str">
        <f>IF('Bulk Order Details'!S134="","","-"&amp;LOOKUP('Bulk Order Details'!S134,#REF!,#REF!))</f>
        <v/>
      </c>
      <c r="AJ124" s="156" t="str">
        <f>IF('Bulk Order Details'!T134="","","-"&amp;LOOKUP('Bulk Order Details'!T134,#REF!,#REF!))</f>
        <v/>
      </c>
      <c r="AK124" s="156" t="str">
        <f>IF('Bulk Order Details'!U134="","","-"&amp;LOOKUP('Bulk Order Details'!U134,#REF!,#REF!))</f>
        <v/>
      </c>
      <c r="AL124" s="156" t="str">
        <f>IF('Bulk Order Details'!V134="","","-"&amp;LOOKUP('Bulk Order Details'!V134,#REF!,#REF!))</f>
        <v/>
      </c>
      <c r="AM124" s="156" t="str">
        <f t="shared" si="7"/>
        <v/>
      </c>
      <c r="AN124" s="156" t="str">
        <f>IF('Bulk Order Details'!N134="","","Na-"&amp;'Bulk Order Details'!N134)</f>
        <v/>
      </c>
      <c r="AO124" s="156" t="str">
        <f>IF('Bulk Order Details'!Q134="","","Fo-"&amp;'Bulk Order Details'!Q134)</f>
        <v/>
      </c>
      <c r="AP124" s="156" t="str">
        <f t="shared" si="8"/>
        <v/>
      </c>
      <c r="AQ124" s="37" t="str">
        <f t="shared" si="9"/>
        <v/>
      </c>
    </row>
    <row r="125" spans="2:43" ht="15" customHeight="1" x14ac:dyDescent="0.2">
      <c r="B125" s="34">
        <f>'Bulk Order Details'!B135</f>
        <v>122</v>
      </c>
      <c r="C125" s="34" t="str">
        <f>IF('Bulk Order Details'!C135="","",'Bulk Order Details'!C135&amp;" "&amp;'Bulk Order Details'!D135)</f>
        <v/>
      </c>
      <c r="D125" s="31" t="str">
        <f>IF('Bulk Order Details'!M135="","",VLOOKUP(1,Price[],3))</f>
        <v/>
      </c>
      <c r="E125" s="29" t="str">
        <f>IF('Bulk Order Details'!M135="","",Summary!$D$9)</f>
        <v/>
      </c>
      <c r="F125" s="16" t="str">
        <f>IF('Bulk Order Details'!I135="","",_xlfn.XLOOKUP('Bulk Order Details'!I135,Size[Display],Size[Price]))</f>
        <v/>
      </c>
      <c r="G125" s="16" t="str">
        <f>IF('Bulk Order Details'!J135="","",_xlfn.XLOOKUP('Bulk Order Details'!J135,Length[Display],Length[Price]))</f>
        <v/>
      </c>
      <c r="H125" s="16" t="str">
        <f>IF('Bulk Order Details'!K135="","",_xlfn.XLOOKUP('Bulk Order Details'!K135,Collection[Display],Collection[Price]))</f>
        <v/>
      </c>
      <c r="I125" s="16" t="str">
        <f>IF('Bulk Order Details'!L135="","",_xlfn.XLOOKUP('Bulk Order Details'!L135,Sleeve[Display],Sleeve[Price]))</f>
        <v/>
      </c>
      <c r="J125" s="16" t="str">
        <f>IF('Bulk Order Details'!M135="","",_xlfn.XLOOKUP('Bulk Order Details'!M135,Collar[Display],Collar[Price]))</f>
        <v/>
      </c>
      <c r="K125" s="16" t="str">
        <f>IF('Bulk Order Details'!N135="","",_xlfn.XLOOKUP("Name",Name[Name],Name[Price]))</f>
        <v/>
      </c>
      <c r="L125" s="18" t="str">
        <f>IFERROR(IF('Bulk Order Details'!R135="","",IF(_xlfn.XLOOKUP('Bulk Order Details'!R135,Logos[Display],Logos[Use])="Flat",_xlfn.XLOOKUP('Bulk Order Details'!R135,Logos[Display],Logos[Flat]),ROUND(_xlfn.XLOOKUP('Bulk Order Details'!R135,Logos[Display],Logos[Pct])*$E125,2))),"")</f>
        <v/>
      </c>
      <c r="M125" s="22" t="str">
        <f>IFERROR(IF('Bulk Order Details'!S135="","",IF(_xlfn.XLOOKUP('Bulk Order Details'!S135,Chest[Display],Chest[Use])="Flat",_xlfn.XLOOKUP('Bulk Order Details'!S135,Chest[Display],Chest[Flat]),ROUND(_xlfn.XLOOKUP('Bulk Order Details'!S135,Chest[Display],Chest[Pct])*$E125,2))),"")</f>
        <v/>
      </c>
      <c r="N125" s="22" t="str">
        <f>IFERROR(IF('Bulk Order Details'!T135="","",IF(_xlfn.XLOOKUP('Bulk Order Details'!T135,Chest[Display],Chest[Use])="Flat",_xlfn.XLOOKUP('Bulk Order Details'!T135,Chest[Display],Chest[Flat]),ROUND(_xlfn.XLOOKUP('Bulk Order Details'!T135,Chest[Display],Chest[Pct])*$E125,2))),"")</f>
        <v/>
      </c>
      <c r="O125" s="22" t="str">
        <f>IFERROR(IF('Bulk Order Details'!U135="","",IF(_xlfn.XLOOKUP('Bulk Order Details'!U135,LeftSleeve[Display],LeftSleeve[Use])="Flat",_xlfn.XLOOKUP('Bulk Order Details'!U135,LeftSleeve[Display],LeftSleeve[Flat]),ROUND(_xlfn.XLOOKUP('Bulk Order Details'!U135,LeftSleeve[Display],LeftSleeve[Pct])*$E125,2))),"")</f>
        <v/>
      </c>
      <c r="P125" s="22" t="str">
        <f>IFERROR(IF('Bulk Order Details'!V135="","",IF(_xlfn.XLOOKUP('Bulk Order Details'!V135,RightSleeve[Display],RightSleeve[Use])="Flat",_xlfn.XLOOKUP('Bulk Order Details'!V135,RightSleeve[Display],RightSleeve[Flat]),ROUND(_xlfn.XLOOKUP('Bulk Order Details'!V135,RightSleeve[Display],RightSleeve[Pct])*$E125,2))),"")</f>
        <v/>
      </c>
      <c r="Q125" s="27" t="str">
        <f>IF('Bulk Order Details'!M135="","",SUM(F125:P125))</f>
        <v/>
      </c>
      <c r="R125" s="24" t="str">
        <f t="shared" si="6"/>
        <v/>
      </c>
      <c r="S125" s="23" t="str">
        <f>IFERROR(MIN(IF(Summary!$D$11="Yes",-J125,0),IF(H125&gt;0,-J125,0)),"")</f>
        <v/>
      </c>
      <c r="T125" s="16" t="str">
        <f>IFERROR(IF(Summary!$D$10="Yes",-K125,""),"")</f>
        <v/>
      </c>
      <c r="U125" s="18" t="str">
        <f>IFERROR(IF(Summary!$D$12="Yes",-L125,""),"")</f>
        <v/>
      </c>
      <c r="V125" s="25" t="str">
        <f>IF('Bulk Order Details'!M135="","",SUM(R125:U125))</f>
        <v/>
      </c>
      <c r="W125" s="36" t="str">
        <f>IF('Bulk Order Details'!M135="","",D125+Q125)</f>
        <v/>
      </c>
      <c r="X125" s="37" t="str">
        <f>IF('Bulk Order Details'!M135="","",D125+Q125+V125)</f>
        <v/>
      </c>
      <c r="Y125" s="168" t="str">
        <f t="shared" si="5"/>
        <v/>
      </c>
      <c r="Z125" s="173" t="str">
        <f>IF('Bulk Order Details'!M135="","",MAX(1,'Bulk Order Details'!G135))</f>
        <v/>
      </c>
      <c r="AA125" s="196" t="str">
        <f>IF(Pricing_Details[[#This Row],[Quantity]]="","",Pricing_Details[[#This Row],[Retail Price]]*Pricing_Details[[#This Row],[Quantity]])</f>
        <v/>
      </c>
      <c r="AB125" s="196" t="str">
        <f>IF(Pricing_Details[[#This Row],[Quantity]]="","",Pricing_Details[[#This Row],[Total Discount]]*Pricing_Details[[#This Row],[Quantity]])</f>
        <v/>
      </c>
      <c r="AC125" s="176" t="str">
        <f>IFERROR(ROUND(Pricing_Details[[#This Row],[Actual Price]]*Pricing_Details[[#This Row],[Quantity]],2),"")</f>
        <v/>
      </c>
      <c r="AE125" s="156" t="str">
        <f>IF('Bulk Order Details'!M135="","",VLOOKUP('Bulk Order Details'!K135,Collection[],3)&amp;VLOOKUP('Bulk Order Details'!M135,Collar[],4)&amp;VLOOKUP('Bulk Order Details'!L135,Sleeve[],4))</f>
        <v/>
      </c>
      <c r="AF125" s="156" t="str">
        <f>IF('Bulk Order Details'!M135="","",LOOKUP('Bulk Order Details'!H135,Cut[Display],Cut[Code])&amp;LOOKUP('Bulk Order Details'!I135,#REF!,#REF!)&amp;IF('Bulk Order Details'!J135="","",LOOKUP('Bulk Order Details'!J135,Length[Display],Length[Code])))</f>
        <v/>
      </c>
      <c r="AG125" s="156" t="str">
        <f>IF('Bulk Order Details'!M135="","",IF('Bulk Order Details'!F135="","",'Bulk Order Details'!F135))</f>
        <v/>
      </c>
      <c r="AH125" s="156" t="str">
        <f>IF('Bulk Order Details'!R135="","","-"&amp;LOOKUP('Bulk Order Details'!R135,#REF!,#REF!))</f>
        <v/>
      </c>
      <c r="AI125" s="156" t="str">
        <f>IF('Bulk Order Details'!S135="","","-"&amp;LOOKUP('Bulk Order Details'!S135,#REF!,#REF!))</f>
        <v/>
      </c>
      <c r="AJ125" s="156" t="str">
        <f>IF('Bulk Order Details'!T135="","","-"&amp;LOOKUP('Bulk Order Details'!T135,#REF!,#REF!))</f>
        <v/>
      </c>
      <c r="AK125" s="156" t="str">
        <f>IF('Bulk Order Details'!U135="","","-"&amp;LOOKUP('Bulk Order Details'!U135,#REF!,#REF!))</f>
        <v/>
      </c>
      <c r="AL125" s="156" t="str">
        <f>IF('Bulk Order Details'!V135="","","-"&amp;LOOKUP('Bulk Order Details'!V135,#REF!,#REF!))</f>
        <v/>
      </c>
      <c r="AM125" s="156" t="str">
        <f t="shared" si="7"/>
        <v/>
      </c>
      <c r="AN125" s="156" t="str">
        <f>IF('Bulk Order Details'!N135="","","Na-"&amp;'Bulk Order Details'!N135)</f>
        <v/>
      </c>
      <c r="AO125" s="156" t="str">
        <f>IF('Bulk Order Details'!Q135="","","Fo-"&amp;'Bulk Order Details'!Q135)</f>
        <v/>
      </c>
      <c r="AP125" s="156" t="str">
        <f t="shared" si="8"/>
        <v/>
      </c>
      <c r="AQ125" s="37" t="str">
        <f t="shared" si="9"/>
        <v/>
      </c>
    </row>
    <row r="126" spans="2:43" ht="15" customHeight="1" x14ac:dyDescent="0.2">
      <c r="B126" s="34">
        <f>'Bulk Order Details'!B136</f>
        <v>123</v>
      </c>
      <c r="C126" s="34" t="str">
        <f>IF('Bulk Order Details'!C136="","",'Bulk Order Details'!C136&amp;" "&amp;'Bulk Order Details'!D136)</f>
        <v/>
      </c>
      <c r="D126" s="31" t="str">
        <f>IF('Bulk Order Details'!M136="","",VLOOKUP(1,Price[],3))</f>
        <v/>
      </c>
      <c r="E126" s="29" t="str">
        <f>IF('Bulk Order Details'!M136="","",Summary!$D$9)</f>
        <v/>
      </c>
      <c r="F126" s="16" t="str">
        <f>IF('Bulk Order Details'!I136="","",_xlfn.XLOOKUP('Bulk Order Details'!I136,Size[Display],Size[Price]))</f>
        <v/>
      </c>
      <c r="G126" s="16" t="str">
        <f>IF('Bulk Order Details'!J136="","",_xlfn.XLOOKUP('Bulk Order Details'!J136,Length[Display],Length[Price]))</f>
        <v/>
      </c>
      <c r="H126" s="16" t="str">
        <f>IF('Bulk Order Details'!K136="","",_xlfn.XLOOKUP('Bulk Order Details'!K136,Collection[Display],Collection[Price]))</f>
        <v/>
      </c>
      <c r="I126" s="16" t="str">
        <f>IF('Bulk Order Details'!L136="","",_xlfn.XLOOKUP('Bulk Order Details'!L136,Sleeve[Display],Sleeve[Price]))</f>
        <v/>
      </c>
      <c r="J126" s="16" t="str">
        <f>IF('Bulk Order Details'!M136="","",_xlfn.XLOOKUP('Bulk Order Details'!M136,Collar[Display],Collar[Price]))</f>
        <v/>
      </c>
      <c r="K126" s="16" t="str">
        <f>IF('Bulk Order Details'!N136="","",_xlfn.XLOOKUP("Name",Name[Name],Name[Price]))</f>
        <v/>
      </c>
      <c r="L126" s="18" t="str">
        <f>IFERROR(IF('Bulk Order Details'!R136="","",IF(_xlfn.XLOOKUP('Bulk Order Details'!R136,Logos[Display],Logos[Use])="Flat",_xlfn.XLOOKUP('Bulk Order Details'!R136,Logos[Display],Logos[Flat]),ROUND(_xlfn.XLOOKUP('Bulk Order Details'!R136,Logos[Display],Logos[Pct])*$E126,2))),"")</f>
        <v/>
      </c>
      <c r="M126" s="22" t="str">
        <f>IFERROR(IF('Bulk Order Details'!S136="","",IF(_xlfn.XLOOKUP('Bulk Order Details'!S136,Chest[Display],Chest[Use])="Flat",_xlfn.XLOOKUP('Bulk Order Details'!S136,Chest[Display],Chest[Flat]),ROUND(_xlfn.XLOOKUP('Bulk Order Details'!S136,Chest[Display],Chest[Pct])*$E126,2))),"")</f>
        <v/>
      </c>
      <c r="N126" s="22" t="str">
        <f>IFERROR(IF('Bulk Order Details'!T136="","",IF(_xlfn.XLOOKUP('Bulk Order Details'!T136,Chest[Display],Chest[Use])="Flat",_xlfn.XLOOKUP('Bulk Order Details'!T136,Chest[Display],Chest[Flat]),ROUND(_xlfn.XLOOKUP('Bulk Order Details'!T136,Chest[Display],Chest[Pct])*$E126,2))),"")</f>
        <v/>
      </c>
      <c r="O126" s="22" t="str">
        <f>IFERROR(IF('Bulk Order Details'!U136="","",IF(_xlfn.XLOOKUP('Bulk Order Details'!U136,LeftSleeve[Display],LeftSleeve[Use])="Flat",_xlfn.XLOOKUP('Bulk Order Details'!U136,LeftSleeve[Display],LeftSleeve[Flat]),ROUND(_xlfn.XLOOKUP('Bulk Order Details'!U136,LeftSleeve[Display],LeftSleeve[Pct])*$E126,2))),"")</f>
        <v/>
      </c>
      <c r="P126" s="22" t="str">
        <f>IFERROR(IF('Bulk Order Details'!V136="","",IF(_xlfn.XLOOKUP('Bulk Order Details'!V136,RightSleeve[Display],RightSleeve[Use])="Flat",_xlfn.XLOOKUP('Bulk Order Details'!V136,RightSleeve[Display],RightSleeve[Flat]),ROUND(_xlfn.XLOOKUP('Bulk Order Details'!V136,RightSleeve[Display],RightSleeve[Pct])*$E126,2))),"")</f>
        <v/>
      </c>
      <c r="Q126" s="27" t="str">
        <f>IF('Bulk Order Details'!M136="","",SUM(F126:P126))</f>
        <v/>
      </c>
      <c r="R126" s="24" t="str">
        <f t="shared" si="6"/>
        <v/>
      </c>
      <c r="S126" s="23" t="str">
        <f>IFERROR(MIN(IF(Summary!$D$11="Yes",-J126,0),IF(H126&gt;0,-J126,0)),"")</f>
        <v/>
      </c>
      <c r="T126" s="16" t="str">
        <f>IFERROR(IF(Summary!$D$10="Yes",-K126,""),"")</f>
        <v/>
      </c>
      <c r="U126" s="18" t="str">
        <f>IFERROR(IF(Summary!$D$12="Yes",-L126,""),"")</f>
        <v/>
      </c>
      <c r="V126" s="25" t="str">
        <f>IF('Bulk Order Details'!M136="","",SUM(R126:U126))</f>
        <v/>
      </c>
      <c r="W126" s="36" t="str">
        <f>IF('Bulk Order Details'!M136="","",D126+Q126)</f>
        <v/>
      </c>
      <c r="X126" s="37" t="str">
        <f>IF('Bulk Order Details'!M136="","",D126+Q126+V126)</f>
        <v/>
      </c>
      <c r="Y126" s="168" t="str">
        <f t="shared" si="5"/>
        <v/>
      </c>
      <c r="Z126" s="173" t="str">
        <f>IF('Bulk Order Details'!M136="","",MAX(1,'Bulk Order Details'!G136))</f>
        <v/>
      </c>
      <c r="AA126" s="196" t="str">
        <f>IF(Pricing_Details[[#This Row],[Quantity]]="","",Pricing_Details[[#This Row],[Retail Price]]*Pricing_Details[[#This Row],[Quantity]])</f>
        <v/>
      </c>
      <c r="AB126" s="196" t="str">
        <f>IF(Pricing_Details[[#This Row],[Quantity]]="","",Pricing_Details[[#This Row],[Total Discount]]*Pricing_Details[[#This Row],[Quantity]])</f>
        <v/>
      </c>
      <c r="AC126" s="176" t="str">
        <f>IFERROR(ROUND(Pricing_Details[[#This Row],[Actual Price]]*Pricing_Details[[#This Row],[Quantity]],2),"")</f>
        <v/>
      </c>
      <c r="AE126" s="156" t="str">
        <f>IF('Bulk Order Details'!M136="","",VLOOKUP('Bulk Order Details'!K136,Collection[],3)&amp;VLOOKUP('Bulk Order Details'!M136,Collar[],4)&amp;VLOOKUP('Bulk Order Details'!L136,Sleeve[],4))</f>
        <v/>
      </c>
      <c r="AF126" s="156" t="str">
        <f>IF('Bulk Order Details'!M136="","",LOOKUP('Bulk Order Details'!H136,Cut[Display],Cut[Code])&amp;LOOKUP('Bulk Order Details'!I136,#REF!,#REF!)&amp;IF('Bulk Order Details'!J136="","",LOOKUP('Bulk Order Details'!J136,Length[Display],Length[Code])))</f>
        <v/>
      </c>
      <c r="AG126" s="156" t="str">
        <f>IF('Bulk Order Details'!M136="","",IF('Bulk Order Details'!F136="","",'Bulk Order Details'!F136))</f>
        <v/>
      </c>
      <c r="AH126" s="156" t="str">
        <f>IF('Bulk Order Details'!R136="","","-"&amp;LOOKUP('Bulk Order Details'!R136,#REF!,#REF!))</f>
        <v/>
      </c>
      <c r="AI126" s="156" t="str">
        <f>IF('Bulk Order Details'!S136="","","-"&amp;LOOKUP('Bulk Order Details'!S136,#REF!,#REF!))</f>
        <v/>
      </c>
      <c r="AJ126" s="156" t="str">
        <f>IF('Bulk Order Details'!T136="","","-"&amp;LOOKUP('Bulk Order Details'!T136,#REF!,#REF!))</f>
        <v/>
      </c>
      <c r="AK126" s="156" t="str">
        <f>IF('Bulk Order Details'!U136="","","-"&amp;LOOKUP('Bulk Order Details'!U136,#REF!,#REF!))</f>
        <v/>
      </c>
      <c r="AL126" s="156" t="str">
        <f>IF('Bulk Order Details'!V136="","","-"&amp;LOOKUP('Bulk Order Details'!V136,#REF!,#REF!))</f>
        <v/>
      </c>
      <c r="AM126" s="156" t="str">
        <f t="shared" si="7"/>
        <v/>
      </c>
      <c r="AN126" s="156" t="str">
        <f>IF('Bulk Order Details'!N136="","","Na-"&amp;'Bulk Order Details'!N136)</f>
        <v/>
      </c>
      <c r="AO126" s="156" t="str">
        <f>IF('Bulk Order Details'!Q136="","","Fo-"&amp;'Bulk Order Details'!Q136)</f>
        <v/>
      </c>
      <c r="AP126" s="156" t="str">
        <f t="shared" si="8"/>
        <v/>
      </c>
      <c r="AQ126" s="37" t="str">
        <f t="shared" si="9"/>
        <v/>
      </c>
    </row>
    <row r="127" spans="2:43" ht="15" customHeight="1" x14ac:dyDescent="0.2">
      <c r="B127" s="34">
        <f>'Bulk Order Details'!B137</f>
        <v>124</v>
      </c>
      <c r="C127" s="34" t="str">
        <f>IF('Bulk Order Details'!C137="","",'Bulk Order Details'!C137&amp;" "&amp;'Bulk Order Details'!D137)</f>
        <v/>
      </c>
      <c r="D127" s="31" t="str">
        <f>IF('Bulk Order Details'!M137="","",VLOOKUP(1,Price[],3))</f>
        <v/>
      </c>
      <c r="E127" s="29" t="str">
        <f>IF('Bulk Order Details'!M137="","",Summary!$D$9)</f>
        <v/>
      </c>
      <c r="F127" s="16" t="str">
        <f>IF('Bulk Order Details'!I137="","",_xlfn.XLOOKUP('Bulk Order Details'!I137,Size[Display],Size[Price]))</f>
        <v/>
      </c>
      <c r="G127" s="16" t="str">
        <f>IF('Bulk Order Details'!J137="","",_xlfn.XLOOKUP('Bulk Order Details'!J137,Length[Display],Length[Price]))</f>
        <v/>
      </c>
      <c r="H127" s="16" t="str">
        <f>IF('Bulk Order Details'!K137="","",_xlfn.XLOOKUP('Bulk Order Details'!K137,Collection[Display],Collection[Price]))</f>
        <v/>
      </c>
      <c r="I127" s="16" t="str">
        <f>IF('Bulk Order Details'!L137="","",_xlfn.XLOOKUP('Bulk Order Details'!L137,Sleeve[Display],Sleeve[Price]))</f>
        <v/>
      </c>
      <c r="J127" s="16" t="str">
        <f>IF('Bulk Order Details'!M137="","",_xlfn.XLOOKUP('Bulk Order Details'!M137,Collar[Display],Collar[Price]))</f>
        <v/>
      </c>
      <c r="K127" s="16" t="str">
        <f>IF('Bulk Order Details'!N137="","",_xlfn.XLOOKUP("Name",Name[Name],Name[Price]))</f>
        <v/>
      </c>
      <c r="L127" s="18" t="str">
        <f>IFERROR(IF('Bulk Order Details'!R137="","",IF(_xlfn.XLOOKUP('Bulk Order Details'!R137,Logos[Display],Logos[Use])="Flat",_xlfn.XLOOKUP('Bulk Order Details'!R137,Logos[Display],Logos[Flat]),ROUND(_xlfn.XLOOKUP('Bulk Order Details'!R137,Logos[Display],Logos[Pct])*$E127,2))),"")</f>
        <v/>
      </c>
      <c r="M127" s="22" t="str">
        <f>IFERROR(IF('Bulk Order Details'!S137="","",IF(_xlfn.XLOOKUP('Bulk Order Details'!S137,Chest[Display],Chest[Use])="Flat",_xlfn.XLOOKUP('Bulk Order Details'!S137,Chest[Display],Chest[Flat]),ROUND(_xlfn.XLOOKUP('Bulk Order Details'!S137,Chest[Display],Chest[Pct])*$E127,2))),"")</f>
        <v/>
      </c>
      <c r="N127" s="22" t="str">
        <f>IFERROR(IF('Bulk Order Details'!T137="","",IF(_xlfn.XLOOKUP('Bulk Order Details'!T137,Chest[Display],Chest[Use])="Flat",_xlfn.XLOOKUP('Bulk Order Details'!T137,Chest[Display],Chest[Flat]),ROUND(_xlfn.XLOOKUP('Bulk Order Details'!T137,Chest[Display],Chest[Pct])*$E127,2))),"")</f>
        <v/>
      </c>
      <c r="O127" s="22" t="str">
        <f>IFERROR(IF('Bulk Order Details'!U137="","",IF(_xlfn.XLOOKUP('Bulk Order Details'!U137,LeftSleeve[Display],LeftSleeve[Use])="Flat",_xlfn.XLOOKUP('Bulk Order Details'!U137,LeftSleeve[Display],LeftSleeve[Flat]),ROUND(_xlfn.XLOOKUP('Bulk Order Details'!U137,LeftSleeve[Display],LeftSleeve[Pct])*$E127,2))),"")</f>
        <v/>
      </c>
      <c r="P127" s="22" t="str">
        <f>IFERROR(IF('Bulk Order Details'!V137="","",IF(_xlfn.XLOOKUP('Bulk Order Details'!V137,RightSleeve[Display],RightSleeve[Use])="Flat",_xlfn.XLOOKUP('Bulk Order Details'!V137,RightSleeve[Display],RightSleeve[Flat]),ROUND(_xlfn.XLOOKUP('Bulk Order Details'!V137,RightSleeve[Display],RightSleeve[Pct])*$E127,2))),"")</f>
        <v/>
      </c>
      <c r="Q127" s="27" t="str">
        <f>IF('Bulk Order Details'!M137="","",SUM(F127:P127))</f>
        <v/>
      </c>
      <c r="R127" s="24" t="str">
        <f t="shared" si="6"/>
        <v/>
      </c>
      <c r="S127" s="23" t="str">
        <f>IFERROR(MIN(IF(Summary!$D$11="Yes",-J127,0),IF(H127&gt;0,-J127,0)),"")</f>
        <v/>
      </c>
      <c r="T127" s="16" t="str">
        <f>IFERROR(IF(Summary!$D$10="Yes",-K127,""),"")</f>
        <v/>
      </c>
      <c r="U127" s="18" t="str">
        <f>IFERROR(IF(Summary!$D$12="Yes",-L127,""),"")</f>
        <v/>
      </c>
      <c r="V127" s="25" t="str">
        <f>IF('Bulk Order Details'!M137="","",SUM(R127:U127))</f>
        <v/>
      </c>
      <c r="W127" s="36" t="str">
        <f>IF('Bulk Order Details'!M137="","",D127+Q127)</f>
        <v/>
      </c>
      <c r="X127" s="37" t="str">
        <f>IF('Bulk Order Details'!M137="","",D127+Q127+V127)</f>
        <v/>
      </c>
      <c r="Y127" s="168" t="str">
        <f t="shared" si="5"/>
        <v/>
      </c>
      <c r="Z127" s="173" t="str">
        <f>IF('Bulk Order Details'!M137="","",MAX(1,'Bulk Order Details'!G137))</f>
        <v/>
      </c>
      <c r="AA127" s="196" t="str">
        <f>IF(Pricing_Details[[#This Row],[Quantity]]="","",Pricing_Details[[#This Row],[Retail Price]]*Pricing_Details[[#This Row],[Quantity]])</f>
        <v/>
      </c>
      <c r="AB127" s="196" t="str">
        <f>IF(Pricing_Details[[#This Row],[Quantity]]="","",Pricing_Details[[#This Row],[Total Discount]]*Pricing_Details[[#This Row],[Quantity]])</f>
        <v/>
      </c>
      <c r="AC127" s="176" t="str">
        <f>IFERROR(ROUND(Pricing_Details[[#This Row],[Actual Price]]*Pricing_Details[[#This Row],[Quantity]],2),"")</f>
        <v/>
      </c>
      <c r="AE127" s="156" t="str">
        <f>IF('Bulk Order Details'!M137="","",VLOOKUP('Bulk Order Details'!K137,Collection[],3)&amp;VLOOKUP('Bulk Order Details'!M137,Collar[],4)&amp;VLOOKUP('Bulk Order Details'!L137,Sleeve[],4))</f>
        <v/>
      </c>
      <c r="AF127" s="156" t="str">
        <f>IF('Bulk Order Details'!M137="","",LOOKUP('Bulk Order Details'!H137,Cut[Display],Cut[Code])&amp;LOOKUP('Bulk Order Details'!I137,#REF!,#REF!)&amp;IF('Bulk Order Details'!J137="","",LOOKUP('Bulk Order Details'!J137,Length[Display],Length[Code])))</f>
        <v/>
      </c>
      <c r="AG127" s="156" t="str">
        <f>IF('Bulk Order Details'!M137="","",IF('Bulk Order Details'!F137="","",'Bulk Order Details'!F137))</f>
        <v/>
      </c>
      <c r="AH127" s="156" t="str">
        <f>IF('Bulk Order Details'!R137="","","-"&amp;LOOKUP('Bulk Order Details'!R137,#REF!,#REF!))</f>
        <v/>
      </c>
      <c r="AI127" s="156" t="str">
        <f>IF('Bulk Order Details'!S137="","","-"&amp;LOOKUP('Bulk Order Details'!S137,#REF!,#REF!))</f>
        <v/>
      </c>
      <c r="AJ127" s="156" t="str">
        <f>IF('Bulk Order Details'!T137="","","-"&amp;LOOKUP('Bulk Order Details'!T137,#REF!,#REF!))</f>
        <v/>
      </c>
      <c r="AK127" s="156" t="str">
        <f>IF('Bulk Order Details'!U137="","","-"&amp;LOOKUP('Bulk Order Details'!U137,#REF!,#REF!))</f>
        <v/>
      </c>
      <c r="AL127" s="156" t="str">
        <f>IF('Bulk Order Details'!V137="","","-"&amp;LOOKUP('Bulk Order Details'!V137,#REF!,#REF!))</f>
        <v/>
      </c>
      <c r="AM127" s="156" t="str">
        <f t="shared" si="7"/>
        <v/>
      </c>
      <c r="AN127" s="156" t="str">
        <f>IF('Bulk Order Details'!N137="","","Na-"&amp;'Bulk Order Details'!N137)</f>
        <v/>
      </c>
      <c r="AO127" s="156" t="str">
        <f>IF('Bulk Order Details'!Q137="","","Fo-"&amp;'Bulk Order Details'!Q137)</f>
        <v/>
      </c>
      <c r="AP127" s="156" t="str">
        <f t="shared" si="8"/>
        <v/>
      </c>
      <c r="AQ127" s="37" t="str">
        <f t="shared" si="9"/>
        <v/>
      </c>
    </row>
    <row r="128" spans="2:43" ht="15" customHeight="1" x14ac:dyDescent="0.2">
      <c r="B128" s="34">
        <f>'Bulk Order Details'!B138</f>
        <v>125</v>
      </c>
      <c r="C128" s="34" t="str">
        <f>IF('Bulk Order Details'!C138="","",'Bulk Order Details'!C138&amp;" "&amp;'Bulk Order Details'!D138)</f>
        <v/>
      </c>
      <c r="D128" s="31" t="str">
        <f>IF('Bulk Order Details'!M138="","",VLOOKUP(1,Price[],3))</f>
        <v/>
      </c>
      <c r="E128" s="29" t="str">
        <f>IF('Bulk Order Details'!M138="","",Summary!$D$9)</f>
        <v/>
      </c>
      <c r="F128" s="16" t="str">
        <f>IF('Bulk Order Details'!I138="","",_xlfn.XLOOKUP('Bulk Order Details'!I138,Size[Display],Size[Price]))</f>
        <v/>
      </c>
      <c r="G128" s="16" t="str">
        <f>IF('Bulk Order Details'!J138="","",_xlfn.XLOOKUP('Bulk Order Details'!J138,Length[Display],Length[Price]))</f>
        <v/>
      </c>
      <c r="H128" s="16" t="str">
        <f>IF('Bulk Order Details'!K138="","",_xlfn.XLOOKUP('Bulk Order Details'!K138,Collection[Display],Collection[Price]))</f>
        <v/>
      </c>
      <c r="I128" s="16" t="str">
        <f>IF('Bulk Order Details'!L138="","",_xlfn.XLOOKUP('Bulk Order Details'!L138,Sleeve[Display],Sleeve[Price]))</f>
        <v/>
      </c>
      <c r="J128" s="16" t="str">
        <f>IF('Bulk Order Details'!M138="","",_xlfn.XLOOKUP('Bulk Order Details'!M138,Collar[Display],Collar[Price]))</f>
        <v/>
      </c>
      <c r="K128" s="16" t="str">
        <f>IF('Bulk Order Details'!N138="","",_xlfn.XLOOKUP("Name",Name[Name],Name[Price]))</f>
        <v/>
      </c>
      <c r="L128" s="18" t="str">
        <f>IFERROR(IF('Bulk Order Details'!R138="","",IF(_xlfn.XLOOKUP('Bulk Order Details'!R138,Logos[Display],Logos[Use])="Flat",_xlfn.XLOOKUP('Bulk Order Details'!R138,Logos[Display],Logos[Flat]),ROUND(_xlfn.XLOOKUP('Bulk Order Details'!R138,Logos[Display],Logos[Pct])*$E128,2))),"")</f>
        <v/>
      </c>
      <c r="M128" s="22" t="str">
        <f>IFERROR(IF('Bulk Order Details'!S138="","",IF(_xlfn.XLOOKUP('Bulk Order Details'!S138,Chest[Display],Chest[Use])="Flat",_xlfn.XLOOKUP('Bulk Order Details'!S138,Chest[Display],Chest[Flat]),ROUND(_xlfn.XLOOKUP('Bulk Order Details'!S138,Chest[Display],Chest[Pct])*$E128,2))),"")</f>
        <v/>
      </c>
      <c r="N128" s="22" t="str">
        <f>IFERROR(IF('Bulk Order Details'!T138="","",IF(_xlfn.XLOOKUP('Bulk Order Details'!T138,Chest[Display],Chest[Use])="Flat",_xlfn.XLOOKUP('Bulk Order Details'!T138,Chest[Display],Chest[Flat]),ROUND(_xlfn.XLOOKUP('Bulk Order Details'!T138,Chest[Display],Chest[Pct])*$E128,2))),"")</f>
        <v/>
      </c>
      <c r="O128" s="22" t="str">
        <f>IFERROR(IF('Bulk Order Details'!U138="","",IF(_xlfn.XLOOKUP('Bulk Order Details'!U138,LeftSleeve[Display],LeftSleeve[Use])="Flat",_xlfn.XLOOKUP('Bulk Order Details'!U138,LeftSleeve[Display],LeftSleeve[Flat]),ROUND(_xlfn.XLOOKUP('Bulk Order Details'!U138,LeftSleeve[Display],LeftSleeve[Pct])*$E128,2))),"")</f>
        <v/>
      </c>
      <c r="P128" s="22" t="str">
        <f>IFERROR(IF('Bulk Order Details'!V138="","",IF(_xlfn.XLOOKUP('Bulk Order Details'!V138,RightSleeve[Display],RightSleeve[Use])="Flat",_xlfn.XLOOKUP('Bulk Order Details'!V138,RightSleeve[Display],RightSleeve[Flat]),ROUND(_xlfn.XLOOKUP('Bulk Order Details'!V138,RightSleeve[Display],RightSleeve[Pct])*$E128,2))),"")</f>
        <v/>
      </c>
      <c r="Q128" s="27" t="str">
        <f>IF('Bulk Order Details'!M138="","",SUM(F128:P128))</f>
        <v/>
      </c>
      <c r="R128" s="24" t="str">
        <f t="shared" si="6"/>
        <v/>
      </c>
      <c r="S128" s="23" t="str">
        <f>IFERROR(MIN(IF(Summary!$D$11="Yes",-J128,0),IF(H128&gt;0,-J128,0)),"")</f>
        <v/>
      </c>
      <c r="T128" s="16" t="str">
        <f>IFERROR(IF(Summary!$D$10="Yes",-K128,""),"")</f>
        <v/>
      </c>
      <c r="U128" s="18" t="str">
        <f>IFERROR(IF(Summary!$D$12="Yes",-L128,""),"")</f>
        <v/>
      </c>
      <c r="V128" s="25" t="str">
        <f>IF('Bulk Order Details'!M138="","",SUM(R128:U128))</f>
        <v/>
      </c>
      <c r="W128" s="36" t="str">
        <f>IF('Bulk Order Details'!M138="","",D128+Q128)</f>
        <v/>
      </c>
      <c r="X128" s="37" t="str">
        <f>IF('Bulk Order Details'!M138="","",D128+Q128+V128)</f>
        <v/>
      </c>
      <c r="Y128" s="168" t="str">
        <f t="shared" si="5"/>
        <v/>
      </c>
      <c r="Z128" s="173" t="str">
        <f>IF('Bulk Order Details'!M138="","",MAX(1,'Bulk Order Details'!G138))</f>
        <v/>
      </c>
      <c r="AA128" s="196" t="str">
        <f>IF(Pricing_Details[[#This Row],[Quantity]]="","",Pricing_Details[[#This Row],[Retail Price]]*Pricing_Details[[#This Row],[Quantity]])</f>
        <v/>
      </c>
      <c r="AB128" s="196" t="str">
        <f>IF(Pricing_Details[[#This Row],[Quantity]]="","",Pricing_Details[[#This Row],[Total Discount]]*Pricing_Details[[#This Row],[Quantity]])</f>
        <v/>
      </c>
      <c r="AC128" s="176" t="str">
        <f>IFERROR(ROUND(Pricing_Details[[#This Row],[Actual Price]]*Pricing_Details[[#This Row],[Quantity]],2),"")</f>
        <v/>
      </c>
      <c r="AE128" s="156" t="str">
        <f>IF('Bulk Order Details'!M138="","",VLOOKUP('Bulk Order Details'!K138,Collection[],3)&amp;VLOOKUP('Bulk Order Details'!M138,Collar[],4)&amp;VLOOKUP('Bulk Order Details'!L138,Sleeve[],4))</f>
        <v/>
      </c>
      <c r="AF128" s="156" t="str">
        <f>IF('Bulk Order Details'!M138="","",LOOKUP('Bulk Order Details'!H138,Cut[Display],Cut[Code])&amp;LOOKUP('Bulk Order Details'!I138,#REF!,#REF!)&amp;IF('Bulk Order Details'!J138="","",LOOKUP('Bulk Order Details'!J138,Length[Display],Length[Code])))</f>
        <v/>
      </c>
      <c r="AG128" s="156" t="str">
        <f>IF('Bulk Order Details'!M138="","",IF('Bulk Order Details'!F138="","",'Bulk Order Details'!F138))</f>
        <v/>
      </c>
      <c r="AH128" s="156" t="str">
        <f>IF('Bulk Order Details'!R138="","","-"&amp;LOOKUP('Bulk Order Details'!R138,#REF!,#REF!))</f>
        <v/>
      </c>
      <c r="AI128" s="156" t="str">
        <f>IF('Bulk Order Details'!S138="","","-"&amp;LOOKUP('Bulk Order Details'!S138,#REF!,#REF!))</f>
        <v/>
      </c>
      <c r="AJ128" s="156" t="str">
        <f>IF('Bulk Order Details'!T138="","","-"&amp;LOOKUP('Bulk Order Details'!T138,#REF!,#REF!))</f>
        <v/>
      </c>
      <c r="AK128" s="156" t="str">
        <f>IF('Bulk Order Details'!U138="","","-"&amp;LOOKUP('Bulk Order Details'!U138,#REF!,#REF!))</f>
        <v/>
      </c>
      <c r="AL128" s="156" t="str">
        <f>IF('Bulk Order Details'!V138="","","-"&amp;LOOKUP('Bulk Order Details'!V138,#REF!,#REF!))</f>
        <v/>
      </c>
      <c r="AM128" s="156" t="str">
        <f t="shared" si="7"/>
        <v/>
      </c>
      <c r="AN128" s="156" t="str">
        <f>IF('Bulk Order Details'!N138="","","Na-"&amp;'Bulk Order Details'!N138)</f>
        <v/>
      </c>
      <c r="AO128" s="156" t="str">
        <f>IF('Bulk Order Details'!Q138="","","Fo-"&amp;'Bulk Order Details'!Q138)</f>
        <v/>
      </c>
      <c r="AP128" s="156" t="str">
        <f t="shared" si="8"/>
        <v/>
      </c>
      <c r="AQ128" s="37" t="str">
        <f t="shared" si="9"/>
        <v/>
      </c>
    </row>
    <row r="129" spans="2:43" ht="15" customHeight="1" x14ac:dyDescent="0.2">
      <c r="B129" s="34">
        <f>'Bulk Order Details'!B139</f>
        <v>126</v>
      </c>
      <c r="C129" s="34" t="str">
        <f>IF('Bulk Order Details'!C139="","",'Bulk Order Details'!C139&amp;" "&amp;'Bulk Order Details'!D139)</f>
        <v/>
      </c>
      <c r="D129" s="31" t="str">
        <f>IF('Bulk Order Details'!M139="","",VLOOKUP(1,Price[],3))</f>
        <v/>
      </c>
      <c r="E129" s="29" t="str">
        <f>IF('Bulk Order Details'!M139="","",Summary!$D$9)</f>
        <v/>
      </c>
      <c r="F129" s="16" t="str">
        <f>IF('Bulk Order Details'!I139="","",_xlfn.XLOOKUP('Bulk Order Details'!I139,Size[Display],Size[Price]))</f>
        <v/>
      </c>
      <c r="G129" s="16" t="str">
        <f>IF('Bulk Order Details'!J139="","",_xlfn.XLOOKUP('Bulk Order Details'!J139,Length[Display],Length[Price]))</f>
        <v/>
      </c>
      <c r="H129" s="16" t="str">
        <f>IF('Bulk Order Details'!K139="","",_xlfn.XLOOKUP('Bulk Order Details'!K139,Collection[Display],Collection[Price]))</f>
        <v/>
      </c>
      <c r="I129" s="16" t="str">
        <f>IF('Bulk Order Details'!L139="","",_xlfn.XLOOKUP('Bulk Order Details'!L139,Sleeve[Display],Sleeve[Price]))</f>
        <v/>
      </c>
      <c r="J129" s="16" t="str">
        <f>IF('Bulk Order Details'!M139="","",_xlfn.XLOOKUP('Bulk Order Details'!M139,Collar[Display],Collar[Price]))</f>
        <v/>
      </c>
      <c r="K129" s="16" t="str">
        <f>IF('Bulk Order Details'!N139="","",_xlfn.XLOOKUP("Name",Name[Name],Name[Price]))</f>
        <v/>
      </c>
      <c r="L129" s="18" t="str">
        <f>IFERROR(IF('Bulk Order Details'!R139="","",IF(_xlfn.XLOOKUP('Bulk Order Details'!R139,Logos[Display],Logos[Use])="Flat",_xlfn.XLOOKUP('Bulk Order Details'!R139,Logos[Display],Logos[Flat]),ROUND(_xlfn.XLOOKUP('Bulk Order Details'!R139,Logos[Display],Logos[Pct])*$E129,2))),"")</f>
        <v/>
      </c>
      <c r="M129" s="22" t="str">
        <f>IFERROR(IF('Bulk Order Details'!S139="","",IF(_xlfn.XLOOKUP('Bulk Order Details'!S139,Chest[Display],Chest[Use])="Flat",_xlfn.XLOOKUP('Bulk Order Details'!S139,Chest[Display],Chest[Flat]),ROUND(_xlfn.XLOOKUP('Bulk Order Details'!S139,Chest[Display],Chest[Pct])*$E129,2))),"")</f>
        <v/>
      </c>
      <c r="N129" s="22" t="str">
        <f>IFERROR(IF('Bulk Order Details'!T139="","",IF(_xlfn.XLOOKUP('Bulk Order Details'!T139,Chest[Display],Chest[Use])="Flat",_xlfn.XLOOKUP('Bulk Order Details'!T139,Chest[Display],Chest[Flat]),ROUND(_xlfn.XLOOKUP('Bulk Order Details'!T139,Chest[Display],Chest[Pct])*$E129,2))),"")</f>
        <v/>
      </c>
      <c r="O129" s="22" t="str">
        <f>IFERROR(IF('Bulk Order Details'!U139="","",IF(_xlfn.XLOOKUP('Bulk Order Details'!U139,LeftSleeve[Display],LeftSleeve[Use])="Flat",_xlfn.XLOOKUP('Bulk Order Details'!U139,LeftSleeve[Display],LeftSleeve[Flat]),ROUND(_xlfn.XLOOKUP('Bulk Order Details'!U139,LeftSleeve[Display],LeftSleeve[Pct])*$E129,2))),"")</f>
        <v/>
      </c>
      <c r="P129" s="22" t="str">
        <f>IFERROR(IF('Bulk Order Details'!V139="","",IF(_xlfn.XLOOKUP('Bulk Order Details'!V139,RightSleeve[Display],RightSleeve[Use])="Flat",_xlfn.XLOOKUP('Bulk Order Details'!V139,RightSleeve[Display],RightSleeve[Flat]),ROUND(_xlfn.XLOOKUP('Bulk Order Details'!V139,RightSleeve[Display],RightSleeve[Pct])*$E129,2))),"")</f>
        <v/>
      </c>
      <c r="Q129" s="27" t="str">
        <f>IF('Bulk Order Details'!M139="","",SUM(F129:P129))</f>
        <v/>
      </c>
      <c r="R129" s="24" t="str">
        <f t="shared" si="6"/>
        <v/>
      </c>
      <c r="S129" s="23" t="str">
        <f>IFERROR(MIN(IF(Summary!$D$11="Yes",-J129,0),IF(H129&gt;0,-J129,0)),"")</f>
        <v/>
      </c>
      <c r="T129" s="16" t="str">
        <f>IFERROR(IF(Summary!$D$10="Yes",-K129,""),"")</f>
        <v/>
      </c>
      <c r="U129" s="18" t="str">
        <f>IFERROR(IF(Summary!$D$12="Yes",-L129,""),"")</f>
        <v/>
      </c>
      <c r="V129" s="25" t="str">
        <f>IF('Bulk Order Details'!M139="","",SUM(R129:U129))</f>
        <v/>
      </c>
      <c r="W129" s="36" t="str">
        <f>IF('Bulk Order Details'!M139="","",D129+Q129)</f>
        <v/>
      </c>
      <c r="X129" s="37" t="str">
        <f>IF('Bulk Order Details'!M139="","",D129+Q129+V129)</f>
        <v/>
      </c>
      <c r="Y129" s="168" t="str">
        <f t="shared" si="5"/>
        <v/>
      </c>
      <c r="Z129" s="173" t="str">
        <f>IF('Bulk Order Details'!M139="","",MAX(1,'Bulk Order Details'!G139))</f>
        <v/>
      </c>
      <c r="AA129" s="196" t="str">
        <f>IF(Pricing_Details[[#This Row],[Quantity]]="","",Pricing_Details[[#This Row],[Retail Price]]*Pricing_Details[[#This Row],[Quantity]])</f>
        <v/>
      </c>
      <c r="AB129" s="196" t="str">
        <f>IF(Pricing_Details[[#This Row],[Quantity]]="","",Pricing_Details[[#This Row],[Total Discount]]*Pricing_Details[[#This Row],[Quantity]])</f>
        <v/>
      </c>
      <c r="AC129" s="176" t="str">
        <f>IFERROR(ROUND(Pricing_Details[[#This Row],[Actual Price]]*Pricing_Details[[#This Row],[Quantity]],2),"")</f>
        <v/>
      </c>
      <c r="AE129" s="156" t="str">
        <f>IF('Bulk Order Details'!M139="","",VLOOKUP('Bulk Order Details'!K139,Collection[],3)&amp;VLOOKUP('Bulk Order Details'!M139,Collar[],4)&amp;VLOOKUP('Bulk Order Details'!L139,Sleeve[],4))</f>
        <v/>
      </c>
      <c r="AF129" s="156" t="str">
        <f>IF('Bulk Order Details'!M139="","",LOOKUP('Bulk Order Details'!H139,Cut[Display],Cut[Code])&amp;LOOKUP('Bulk Order Details'!I139,#REF!,#REF!)&amp;IF('Bulk Order Details'!J139="","",LOOKUP('Bulk Order Details'!J139,Length[Display],Length[Code])))</f>
        <v/>
      </c>
      <c r="AG129" s="156" t="str">
        <f>IF('Bulk Order Details'!M139="","",IF('Bulk Order Details'!F139="","",'Bulk Order Details'!F139))</f>
        <v/>
      </c>
      <c r="AH129" s="156" t="str">
        <f>IF('Bulk Order Details'!R139="","","-"&amp;LOOKUP('Bulk Order Details'!R139,#REF!,#REF!))</f>
        <v/>
      </c>
      <c r="AI129" s="156" t="str">
        <f>IF('Bulk Order Details'!S139="","","-"&amp;LOOKUP('Bulk Order Details'!S139,#REF!,#REF!))</f>
        <v/>
      </c>
      <c r="AJ129" s="156" t="str">
        <f>IF('Bulk Order Details'!T139="","","-"&amp;LOOKUP('Bulk Order Details'!T139,#REF!,#REF!))</f>
        <v/>
      </c>
      <c r="AK129" s="156" t="str">
        <f>IF('Bulk Order Details'!U139="","","-"&amp;LOOKUP('Bulk Order Details'!U139,#REF!,#REF!))</f>
        <v/>
      </c>
      <c r="AL129" s="156" t="str">
        <f>IF('Bulk Order Details'!V139="","","-"&amp;LOOKUP('Bulk Order Details'!V139,#REF!,#REF!))</f>
        <v/>
      </c>
      <c r="AM129" s="156" t="str">
        <f t="shared" si="7"/>
        <v/>
      </c>
      <c r="AN129" s="156" t="str">
        <f>IF('Bulk Order Details'!N139="","","Na-"&amp;'Bulk Order Details'!N139)</f>
        <v/>
      </c>
      <c r="AO129" s="156" t="str">
        <f>IF('Bulk Order Details'!Q139="","","Fo-"&amp;'Bulk Order Details'!Q139)</f>
        <v/>
      </c>
      <c r="AP129" s="156" t="str">
        <f t="shared" si="8"/>
        <v/>
      </c>
      <c r="AQ129" s="37" t="str">
        <f t="shared" si="9"/>
        <v/>
      </c>
    </row>
    <row r="130" spans="2:43" ht="15" customHeight="1" x14ac:dyDescent="0.2">
      <c r="B130" s="34">
        <f>'Bulk Order Details'!B140</f>
        <v>127</v>
      </c>
      <c r="C130" s="34" t="str">
        <f>IF('Bulk Order Details'!C140="","",'Bulk Order Details'!C140&amp;" "&amp;'Bulk Order Details'!D140)</f>
        <v/>
      </c>
      <c r="D130" s="31" t="str">
        <f>IF('Bulk Order Details'!M140="","",VLOOKUP(1,Price[],3))</f>
        <v/>
      </c>
      <c r="E130" s="29" t="str">
        <f>IF('Bulk Order Details'!M140="","",Summary!$D$9)</f>
        <v/>
      </c>
      <c r="F130" s="16" t="str">
        <f>IF('Bulk Order Details'!I140="","",_xlfn.XLOOKUP('Bulk Order Details'!I140,Size[Display],Size[Price]))</f>
        <v/>
      </c>
      <c r="G130" s="16" t="str">
        <f>IF('Bulk Order Details'!J140="","",_xlfn.XLOOKUP('Bulk Order Details'!J140,Length[Display],Length[Price]))</f>
        <v/>
      </c>
      <c r="H130" s="16" t="str">
        <f>IF('Bulk Order Details'!K140="","",_xlfn.XLOOKUP('Bulk Order Details'!K140,Collection[Display],Collection[Price]))</f>
        <v/>
      </c>
      <c r="I130" s="16" t="str">
        <f>IF('Bulk Order Details'!L140="","",_xlfn.XLOOKUP('Bulk Order Details'!L140,Sleeve[Display],Sleeve[Price]))</f>
        <v/>
      </c>
      <c r="J130" s="16" t="str">
        <f>IF('Bulk Order Details'!M140="","",_xlfn.XLOOKUP('Bulk Order Details'!M140,Collar[Display],Collar[Price]))</f>
        <v/>
      </c>
      <c r="K130" s="16" t="str">
        <f>IF('Bulk Order Details'!N140="","",_xlfn.XLOOKUP("Name",Name[Name],Name[Price]))</f>
        <v/>
      </c>
      <c r="L130" s="18" t="str">
        <f>IFERROR(IF('Bulk Order Details'!R140="","",IF(_xlfn.XLOOKUP('Bulk Order Details'!R140,Logos[Display],Logos[Use])="Flat",_xlfn.XLOOKUP('Bulk Order Details'!R140,Logos[Display],Logos[Flat]),ROUND(_xlfn.XLOOKUP('Bulk Order Details'!R140,Logos[Display],Logos[Pct])*$E130,2))),"")</f>
        <v/>
      </c>
      <c r="M130" s="22" t="str">
        <f>IFERROR(IF('Bulk Order Details'!S140="","",IF(_xlfn.XLOOKUP('Bulk Order Details'!S140,Chest[Display],Chest[Use])="Flat",_xlfn.XLOOKUP('Bulk Order Details'!S140,Chest[Display],Chest[Flat]),ROUND(_xlfn.XLOOKUP('Bulk Order Details'!S140,Chest[Display],Chest[Pct])*$E130,2))),"")</f>
        <v/>
      </c>
      <c r="N130" s="22" t="str">
        <f>IFERROR(IF('Bulk Order Details'!T140="","",IF(_xlfn.XLOOKUP('Bulk Order Details'!T140,Chest[Display],Chest[Use])="Flat",_xlfn.XLOOKUP('Bulk Order Details'!T140,Chest[Display],Chest[Flat]),ROUND(_xlfn.XLOOKUP('Bulk Order Details'!T140,Chest[Display],Chest[Pct])*$E130,2))),"")</f>
        <v/>
      </c>
      <c r="O130" s="22" t="str">
        <f>IFERROR(IF('Bulk Order Details'!U140="","",IF(_xlfn.XLOOKUP('Bulk Order Details'!U140,LeftSleeve[Display],LeftSleeve[Use])="Flat",_xlfn.XLOOKUP('Bulk Order Details'!U140,LeftSleeve[Display],LeftSleeve[Flat]),ROUND(_xlfn.XLOOKUP('Bulk Order Details'!U140,LeftSleeve[Display],LeftSleeve[Pct])*$E130,2))),"")</f>
        <v/>
      </c>
      <c r="P130" s="22" t="str">
        <f>IFERROR(IF('Bulk Order Details'!V140="","",IF(_xlfn.XLOOKUP('Bulk Order Details'!V140,RightSleeve[Display],RightSleeve[Use])="Flat",_xlfn.XLOOKUP('Bulk Order Details'!V140,RightSleeve[Display],RightSleeve[Flat]),ROUND(_xlfn.XLOOKUP('Bulk Order Details'!V140,RightSleeve[Display],RightSleeve[Pct])*$E130,2))),"")</f>
        <v/>
      </c>
      <c r="Q130" s="27" t="str">
        <f>IF('Bulk Order Details'!M140="","",SUM(F130:P130))</f>
        <v/>
      </c>
      <c r="R130" s="24" t="str">
        <f t="shared" si="6"/>
        <v/>
      </c>
      <c r="S130" s="23" t="str">
        <f>IFERROR(MIN(IF(Summary!$D$11="Yes",-J130,0),IF(H130&gt;0,-J130,0)),"")</f>
        <v/>
      </c>
      <c r="T130" s="16" t="str">
        <f>IFERROR(IF(Summary!$D$10="Yes",-K130,""),"")</f>
        <v/>
      </c>
      <c r="U130" s="18" t="str">
        <f>IFERROR(IF(Summary!$D$12="Yes",-L130,""),"")</f>
        <v/>
      </c>
      <c r="V130" s="25" t="str">
        <f>IF('Bulk Order Details'!M140="","",SUM(R130:U130))</f>
        <v/>
      </c>
      <c r="W130" s="36" t="str">
        <f>IF('Bulk Order Details'!M140="","",D130+Q130)</f>
        <v/>
      </c>
      <c r="X130" s="37" t="str">
        <f>IF('Bulk Order Details'!M140="","",D130+Q130+V130)</f>
        <v/>
      </c>
      <c r="Y130" s="168" t="str">
        <f t="shared" si="5"/>
        <v/>
      </c>
      <c r="Z130" s="173" t="str">
        <f>IF('Bulk Order Details'!M140="","",MAX(1,'Bulk Order Details'!G140))</f>
        <v/>
      </c>
      <c r="AA130" s="196" t="str">
        <f>IF(Pricing_Details[[#This Row],[Quantity]]="","",Pricing_Details[[#This Row],[Retail Price]]*Pricing_Details[[#This Row],[Quantity]])</f>
        <v/>
      </c>
      <c r="AB130" s="196" t="str">
        <f>IF(Pricing_Details[[#This Row],[Quantity]]="","",Pricing_Details[[#This Row],[Total Discount]]*Pricing_Details[[#This Row],[Quantity]])</f>
        <v/>
      </c>
      <c r="AC130" s="176" t="str">
        <f>IFERROR(ROUND(Pricing_Details[[#This Row],[Actual Price]]*Pricing_Details[[#This Row],[Quantity]],2),"")</f>
        <v/>
      </c>
      <c r="AE130" s="156" t="str">
        <f>IF('Bulk Order Details'!M140="","",VLOOKUP('Bulk Order Details'!K140,Collection[],3)&amp;VLOOKUP('Bulk Order Details'!M140,Collar[],4)&amp;VLOOKUP('Bulk Order Details'!L140,Sleeve[],4))</f>
        <v/>
      </c>
      <c r="AF130" s="156" t="str">
        <f>IF('Bulk Order Details'!M140="","",LOOKUP('Bulk Order Details'!H140,Cut[Display],Cut[Code])&amp;LOOKUP('Bulk Order Details'!I140,#REF!,#REF!)&amp;IF('Bulk Order Details'!J140="","",LOOKUP('Bulk Order Details'!J140,Length[Display],Length[Code])))</f>
        <v/>
      </c>
      <c r="AG130" s="156" t="str">
        <f>IF('Bulk Order Details'!M140="","",IF('Bulk Order Details'!F140="","",'Bulk Order Details'!F140))</f>
        <v/>
      </c>
      <c r="AH130" s="156" t="str">
        <f>IF('Bulk Order Details'!R140="","","-"&amp;LOOKUP('Bulk Order Details'!R140,#REF!,#REF!))</f>
        <v/>
      </c>
      <c r="AI130" s="156" t="str">
        <f>IF('Bulk Order Details'!S140="","","-"&amp;LOOKUP('Bulk Order Details'!S140,#REF!,#REF!))</f>
        <v/>
      </c>
      <c r="AJ130" s="156" t="str">
        <f>IF('Bulk Order Details'!T140="","","-"&amp;LOOKUP('Bulk Order Details'!T140,#REF!,#REF!))</f>
        <v/>
      </c>
      <c r="AK130" s="156" t="str">
        <f>IF('Bulk Order Details'!U140="","","-"&amp;LOOKUP('Bulk Order Details'!U140,#REF!,#REF!))</f>
        <v/>
      </c>
      <c r="AL130" s="156" t="str">
        <f>IF('Bulk Order Details'!V140="","","-"&amp;LOOKUP('Bulk Order Details'!V140,#REF!,#REF!))</f>
        <v/>
      </c>
      <c r="AM130" s="156" t="str">
        <f t="shared" si="7"/>
        <v/>
      </c>
      <c r="AN130" s="156" t="str">
        <f>IF('Bulk Order Details'!N140="","","Na-"&amp;'Bulk Order Details'!N140)</f>
        <v/>
      </c>
      <c r="AO130" s="156" t="str">
        <f>IF('Bulk Order Details'!Q140="","","Fo-"&amp;'Bulk Order Details'!Q140)</f>
        <v/>
      </c>
      <c r="AP130" s="156" t="str">
        <f t="shared" si="8"/>
        <v/>
      </c>
      <c r="AQ130" s="37" t="str">
        <f t="shared" si="9"/>
        <v/>
      </c>
    </row>
    <row r="131" spans="2:43" ht="15" customHeight="1" x14ac:dyDescent="0.2">
      <c r="B131" s="34">
        <f>'Bulk Order Details'!B141</f>
        <v>128</v>
      </c>
      <c r="C131" s="34" t="str">
        <f>IF('Bulk Order Details'!C141="","",'Bulk Order Details'!C141&amp;" "&amp;'Bulk Order Details'!D141)</f>
        <v/>
      </c>
      <c r="D131" s="31" t="str">
        <f>IF('Bulk Order Details'!M141="","",VLOOKUP(1,Price[],3))</f>
        <v/>
      </c>
      <c r="E131" s="29" t="str">
        <f>IF('Bulk Order Details'!M141="","",Summary!$D$9)</f>
        <v/>
      </c>
      <c r="F131" s="16" t="str">
        <f>IF('Bulk Order Details'!I141="","",_xlfn.XLOOKUP('Bulk Order Details'!I141,Size[Display],Size[Price]))</f>
        <v/>
      </c>
      <c r="G131" s="16" t="str">
        <f>IF('Bulk Order Details'!J141="","",_xlfn.XLOOKUP('Bulk Order Details'!J141,Length[Display],Length[Price]))</f>
        <v/>
      </c>
      <c r="H131" s="16" t="str">
        <f>IF('Bulk Order Details'!K141="","",_xlfn.XLOOKUP('Bulk Order Details'!K141,Collection[Display],Collection[Price]))</f>
        <v/>
      </c>
      <c r="I131" s="16" t="str">
        <f>IF('Bulk Order Details'!L141="","",_xlfn.XLOOKUP('Bulk Order Details'!L141,Sleeve[Display],Sleeve[Price]))</f>
        <v/>
      </c>
      <c r="J131" s="16" t="str">
        <f>IF('Bulk Order Details'!M141="","",_xlfn.XLOOKUP('Bulk Order Details'!M141,Collar[Display],Collar[Price]))</f>
        <v/>
      </c>
      <c r="K131" s="16" t="str">
        <f>IF('Bulk Order Details'!N141="","",_xlfn.XLOOKUP("Name",Name[Name],Name[Price]))</f>
        <v/>
      </c>
      <c r="L131" s="18" t="str">
        <f>IFERROR(IF('Bulk Order Details'!R141="","",IF(_xlfn.XLOOKUP('Bulk Order Details'!R141,Logos[Display],Logos[Use])="Flat",_xlfn.XLOOKUP('Bulk Order Details'!R141,Logos[Display],Logos[Flat]),ROUND(_xlfn.XLOOKUP('Bulk Order Details'!R141,Logos[Display],Logos[Pct])*$E131,2))),"")</f>
        <v/>
      </c>
      <c r="M131" s="22" t="str">
        <f>IFERROR(IF('Bulk Order Details'!S141="","",IF(_xlfn.XLOOKUP('Bulk Order Details'!S141,Chest[Display],Chest[Use])="Flat",_xlfn.XLOOKUP('Bulk Order Details'!S141,Chest[Display],Chest[Flat]),ROUND(_xlfn.XLOOKUP('Bulk Order Details'!S141,Chest[Display],Chest[Pct])*$E131,2))),"")</f>
        <v/>
      </c>
      <c r="N131" s="22" t="str">
        <f>IFERROR(IF('Bulk Order Details'!T141="","",IF(_xlfn.XLOOKUP('Bulk Order Details'!T141,Chest[Display],Chest[Use])="Flat",_xlfn.XLOOKUP('Bulk Order Details'!T141,Chest[Display],Chest[Flat]),ROUND(_xlfn.XLOOKUP('Bulk Order Details'!T141,Chest[Display],Chest[Pct])*$E131,2))),"")</f>
        <v/>
      </c>
      <c r="O131" s="22" t="str">
        <f>IFERROR(IF('Bulk Order Details'!U141="","",IF(_xlfn.XLOOKUP('Bulk Order Details'!U141,LeftSleeve[Display],LeftSleeve[Use])="Flat",_xlfn.XLOOKUP('Bulk Order Details'!U141,LeftSleeve[Display],LeftSleeve[Flat]),ROUND(_xlfn.XLOOKUP('Bulk Order Details'!U141,LeftSleeve[Display],LeftSleeve[Pct])*$E131,2))),"")</f>
        <v/>
      </c>
      <c r="P131" s="22" t="str">
        <f>IFERROR(IF('Bulk Order Details'!V141="","",IF(_xlfn.XLOOKUP('Bulk Order Details'!V141,RightSleeve[Display],RightSleeve[Use])="Flat",_xlfn.XLOOKUP('Bulk Order Details'!V141,RightSleeve[Display],RightSleeve[Flat]),ROUND(_xlfn.XLOOKUP('Bulk Order Details'!V141,RightSleeve[Display],RightSleeve[Pct])*$E131,2))),"")</f>
        <v/>
      </c>
      <c r="Q131" s="27" t="str">
        <f>IF('Bulk Order Details'!M141="","",SUM(F131:P131))</f>
        <v/>
      </c>
      <c r="R131" s="24" t="str">
        <f t="shared" si="6"/>
        <v/>
      </c>
      <c r="S131" s="23" t="str">
        <f>IFERROR(MIN(IF(Summary!$D$11="Yes",-J131,0),IF(H131&gt;0,-J131,0)),"")</f>
        <v/>
      </c>
      <c r="T131" s="16" t="str">
        <f>IFERROR(IF(Summary!$D$10="Yes",-K131,""),"")</f>
        <v/>
      </c>
      <c r="U131" s="18" t="str">
        <f>IFERROR(IF(Summary!$D$12="Yes",-L131,""),"")</f>
        <v/>
      </c>
      <c r="V131" s="25" t="str">
        <f>IF('Bulk Order Details'!M141="","",SUM(R131:U131))</f>
        <v/>
      </c>
      <c r="W131" s="36" t="str">
        <f>IF('Bulk Order Details'!M141="","",D131+Q131)</f>
        <v/>
      </c>
      <c r="X131" s="37" t="str">
        <f>IF('Bulk Order Details'!M141="","",D131+Q131+V131)</f>
        <v/>
      </c>
      <c r="Y131" s="168" t="str">
        <f t="shared" si="5"/>
        <v/>
      </c>
      <c r="Z131" s="173" t="str">
        <f>IF('Bulk Order Details'!M141="","",MAX(1,'Bulk Order Details'!G141))</f>
        <v/>
      </c>
      <c r="AA131" s="196" t="str">
        <f>IF(Pricing_Details[[#This Row],[Quantity]]="","",Pricing_Details[[#This Row],[Retail Price]]*Pricing_Details[[#This Row],[Quantity]])</f>
        <v/>
      </c>
      <c r="AB131" s="196" t="str">
        <f>IF(Pricing_Details[[#This Row],[Quantity]]="","",Pricing_Details[[#This Row],[Total Discount]]*Pricing_Details[[#This Row],[Quantity]])</f>
        <v/>
      </c>
      <c r="AC131" s="176" t="str">
        <f>IFERROR(ROUND(Pricing_Details[[#This Row],[Actual Price]]*Pricing_Details[[#This Row],[Quantity]],2),"")</f>
        <v/>
      </c>
      <c r="AE131" s="156" t="str">
        <f>IF('Bulk Order Details'!M141="","",VLOOKUP('Bulk Order Details'!K141,Collection[],3)&amp;VLOOKUP('Bulk Order Details'!M141,Collar[],4)&amp;VLOOKUP('Bulk Order Details'!L141,Sleeve[],4))</f>
        <v/>
      </c>
      <c r="AF131" s="156" t="str">
        <f>IF('Bulk Order Details'!M141="","",LOOKUP('Bulk Order Details'!H141,Cut[Display],Cut[Code])&amp;LOOKUP('Bulk Order Details'!I141,#REF!,#REF!)&amp;IF('Bulk Order Details'!J141="","",LOOKUP('Bulk Order Details'!J141,Length[Display],Length[Code])))</f>
        <v/>
      </c>
      <c r="AG131" s="156" t="str">
        <f>IF('Bulk Order Details'!M141="","",IF('Bulk Order Details'!F141="","",'Bulk Order Details'!F141))</f>
        <v/>
      </c>
      <c r="AH131" s="156" t="str">
        <f>IF('Bulk Order Details'!R141="","","-"&amp;LOOKUP('Bulk Order Details'!R141,#REF!,#REF!))</f>
        <v/>
      </c>
      <c r="AI131" s="156" t="str">
        <f>IF('Bulk Order Details'!S141="","","-"&amp;LOOKUP('Bulk Order Details'!S141,#REF!,#REF!))</f>
        <v/>
      </c>
      <c r="AJ131" s="156" t="str">
        <f>IF('Bulk Order Details'!T141="","","-"&amp;LOOKUP('Bulk Order Details'!T141,#REF!,#REF!))</f>
        <v/>
      </c>
      <c r="AK131" s="156" t="str">
        <f>IF('Bulk Order Details'!U141="","","-"&amp;LOOKUP('Bulk Order Details'!U141,#REF!,#REF!))</f>
        <v/>
      </c>
      <c r="AL131" s="156" t="str">
        <f>IF('Bulk Order Details'!V141="","","-"&amp;LOOKUP('Bulk Order Details'!V141,#REF!,#REF!))</f>
        <v/>
      </c>
      <c r="AM131" s="156" t="str">
        <f t="shared" si="7"/>
        <v/>
      </c>
      <c r="AN131" s="156" t="str">
        <f>IF('Bulk Order Details'!N141="","","Na-"&amp;'Bulk Order Details'!N141)</f>
        <v/>
      </c>
      <c r="AO131" s="156" t="str">
        <f>IF('Bulk Order Details'!Q141="","","Fo-"&amp;'Bulk Order Details'!Q141)</f>
        <v/>
      </c>
      <c r="AP131" s="156" t="str">
        <f t="shared" si="8"/>
        <v/>
      </c>
      <c r="AQ131" s="37" t="str">
        <f t="shared" si="9"/>
        <v/>
      </c>
    </row>
    <row r="132" spans="2:43" ht="15" customHeight="1" x14ac:dyDescent="0.2">
      <c r="B132" s="34">
        <f>'Bulk Order Details'!B142</f>
        <v>129</v>
      </c>
      <c r="C132" s="34" t="str">
        <f>IF('Bulk Order Details'!C142="","",'Bulk Order Details'!C142&amp;" "&amp;'Bulk Order Details'!D142)</f>
        <v/>
      </c>
      <c r="D132" s="31" t="str">
        <f>IF('Bulk Order Details'!M142="","",VLOOKUP(1,Price[],3))</f>
        <v/>
      </c>
      <c r="E132" s="29" t="str">
        <f>IF('Bulk Order Details'!M142="","",Summary!$D$9)</f>
        <v/>
      </c>
      <c r="F132" s="16" t="str">
        <f>IF('Bulk Order Details'!I142="","",_xlfn.XLOOKUP('Bulk Order Details'!I142,Size[Display],Size[Price]))</f>
        <v/>
      </c>
      <c r="G132" s="16" t="str">
        <f>IF('Bulk Order Details'!J142="","",_xlfn.XLOOKUP('Bulk Order Details'!J142,Length[Display],Length[Price]))</f>
        <v/>
      </c>
      <c r="H132" s="16" t="str">
        <f>IF('Bulk Order Details'!K142="","",_xlfn.XLOOKUP('Bulk Order Details'!K142,Collection[Display],Collection[Price]))</f>
        <v/>
      </c>
      <c r="I132" s="16" t="str">
        <f>IF('Bulk Order Details'!L142="","",_xlfn.XLOOKUP('Bulk Order Details'!L142,Sleeve[Display],Sleeve[Price]))</f>
        <v/>
      </c>
      <c r="J132" s="16" t="str">
        <f>IF('Bulk Order Details'!M142="","",_xlfn.XLOOKUP('Bulk Order Details'!M142,Collar[Display],Collar[Price]))</f>
        <v/>
      </c>
      <c r="K132" s="16" t="str">
        <f>IF('Bulk Order Details'!N142="","",_xlfn.XLOOKUP("Name",Name[Name],Name[Price]))</f>
        <v/>
      </c>
      <c r="L132" s="18" t="str">
        <f>IFERROR(IF('Bulk Order Details'!R142="","",IF(_xlfn.XLOOKUP('Bulk Order Details'!R142,Logos[Display],Logos[Use])="Flat",_xlfn.XLOOKUP('Bulk Order Details'!R142,Logos[Display],Logos[Flat]),ROUND(_xlfn.XLOOKUP('Bulk Order Details'!R142,Logos[Display],Logos[Pct])*$E132,2))),"")</f>
        <v/>
      </c>
      <c r="M132" s="22" t="str">
        <f>IFERROR(IF('Bulk Order Details'!S142="","",IF(_xlfn.XLOOKUP('Bulk Order Details'!S142,Chest[Display],Chest[Use])="Flat",_xlfn.XLOOKUP('Bulk Order Details'!S142,Chest[Display],Chest[Flat]),ROUND(_xlfn.XLOOKUP('Bulk Order Details'!S142,Chest[Display],Chest[Pct])*$E132,2))),"")</f>
        <v/>
      </c>
      <c r="N132" s="22" t="str">
        <f>IFERROR(IF('Bulk Order Details'!T142="","",IF(_xlfn.XLOOKUP('Bulk Order Details'!T142,Chest[Display],Chest[Use])="Flat",_xlfn.XLOOKUP('Bulk Order Details'!T142,Chest[Display],Chest[Flat]),ROUND(_xlfn.XLOOKUP('Bulk Order Details'!T142,Chest[Display],Chest[Pct])*$E132,2))),"")</f>
        <v/>
      </c>
      <c r="O132" s="22" t="str">
        <f>IFERROR(IF('Bulk Order Details'!U142="","",IF(_xlfn.XLOOKUP('Bulk Order Details'!U142,LeftSleeve[Display],LeftSleeve[Use])="Flat",_xlfn.XLOOKUP('Bulk Order Details'!U142,LeftSleeve[Display],LeftSleeve[Flat]),ROUND(_xlfn.XLOOKUP('Bulk Order Details'!U142,LeftSleeve[Display],LeftSleeve[Pct])*$E132,2))),"")</f>
        <v/>
      </c>
      <c r="P132" s="22" t="str">
        <f>IFERROR(IF('Bulk Order Details'!V142="","",IF(_xlfn.XLOOKUP('Bulk Order Details'!V142,RightSleeve[Display],RightSleeve[Use])="Flat",_xlfn.XLOOKUP('Bulk Order Details'!V142,RightSleeve[Display],RightSleeve[Flat]),ROUND(_xlfn.XLOOKUP('Bulk Order Details'!V142,RightSleeve[Display],RightSleeve[Pct])*$E132,2))),"")</f>
        <v/>
      </c>
      <c r="Q132" s="27" t="str">
        <f>IF('Bulk Order Details'!M142="","",SUM(F132:P132))</f>
        <v/>
      </c>
      <c r="R132" s="24" t="str">
        <f t="shared" si="6"/>
        <v/>
      </c>
      <c r="S132" s="23" t="str">
        <f>IFERROR(MIN(IF(Summary!$D$11="Yes",-J132,0),IF(H132&gt;0,-J132,0)),"")</f>
        <v/>
      </c>
      <c r="T132" s="16" t="str">
        <f>IFERROR(IF(Summary!$D$10="Yes",-K132,""),"")</f>
        <v/>
      </c>
      <c r="U132" s="18" t="str">
        <f>IFERROR(IF(Summary!$D$12="Yes",-L132,""),"")</f>
        <v/>
      </c>
      <c r="V132" s="25" t="str">
        <f>IF('Bulk Order Details'!M142="","",SUM(R132:U132))</f>
        <v/>
      </c>
      <c r="W132" s="36" t="str">
        <f>IF('Bulk Order Details'!M142="","",D132+Q132)</f>
        <v/>
      </c>
      <c r="X132" s="37" t="str">
        <f>IF('Bulk Order Details'!M142="","",D132+Q132+V132)</f>
        <v/>
      </c>
      <c r="Y132" s="168" t="str">
        <f t="shared" ref="Y132:Y195" si="10">IFERROR((W132-X132)/W132,"")</f>
        <v/>
      </c>
      <c r="Z132" s="173" t="str">
        <f>IF('Bulk Order Details'!M142="","",MAX(1,'Bulk Order Details'!G142))</f>
        <v/>
      </c>
      <c r="AA132" s="196" t="str">
        <f>IF(Pricing_Details[[#This Row],[Quantity]]="","",Pricing_Details[[#This Row],[Retail Price]]*Pricing_Details[[#This Row],[Quantity]])</f>
        <v/>
      </c>
      <c r="AB132" s="196" t="str">
        <f>IF(Pricing_Details[[#This Row],[Quantity]]="","",Pricing_Details[[#This Row],[Total Discount]]*Pricing_Details[[#This Row],[Quantity]])</f>
        <v/>
      </c>
      <c r="AC132" s="176" t="str">
        <f>IFERROR(ROUND(Pricing_Details[[#This Row],[Actual Price]]*Pricing_Details[[#This Row],[Quantity]],2),"")</f>
        <v/>
      </c>
      <c r="AE132" s="156" t="str">
        <f>IF('Bulk Order Details'!M142="","",VLOOKUP('Bulk Order Details'!K142,Collection[],3)&amp;VLOOKUP('Bulk Order Details'!M142,Collar[],4)&amp;VLOOKUP('Bulk Order Details'!L142,Sleeve[],4))</f>
        <v/>
      </c>
      <c r="AF132" s="156" t="str">
        <f>IF('Bulk Order Details'!M142="","",LOOKUP('Bulk Order Details'!H142,Cut[Display],Cut[Code])&amp;LOOKUP('Bulk Order Details'!I142,#REF!,#REF!)&amp;IF('Bulk Order Details'!J142="","",LOOKUP('Bulk Order Details'!J142,Length[Display],Length[Code])))</f>
        <v/>
      </c>
      <c r="AG132" s="156" t="str">
        <f>IF('Bulk Order Details'!M142="","",IF('Bulk Order Details'!F142="","",'Bulk Order Details'!F142))</f>
        <v/>
      </c>
      <c r="AH132" s="156" t="str">
        <f>IF('Bulk Order Details'!R142="","","-"&amp;LOOKUP('Bulk Order Details'!R142,#REF!,#REF!))</f>
        <v/>
      </c>
      <c r="AI132" s="156" t="str">
        <f>IF('Bulk Order Details'!S142="","","-"&amp;LOOKUP('Bulk Order Details'!S142,#REF!,#REF!))</f>
        <v/>
      </c>
      <c r="AJ132" s="156" t="str">
        <f>IF('Bulk Order Details'!T142="","","-"&amp;LOOKUP('Bulk Order Details'!T142,#REF!,#REF!))</f>
        <v/>
      </c>
      <c r="AK132" s="156" t="str">
        <f>IF('Bulk Order Details'!U142="","","-"&amp;LOOKUP('Bulk Order Details'!U142,#REF!,#REF!))</f>
        <v/>
      </c>
      <c r="AL132" s="156" t="str">
        <f>IF('Bulk Order Details'!V142="","","-"&amp;LOOKUP('Bulk Order Details'!V142,#REF!,#REF!))</f>
        <v/>
      </c>
      <c r="AM132" s="156" t="str">
        <f t="shared" si="7"/>
        <v/>
      </c>
      <c r="AN132" s="156" t="str">
        <f>IF('Bulk Order Details'!N142="","","Na-"&amp;'Bulk Order Details'!N142)</f>
        <v/>
      </c>
      <c r="AO132" s="156" t="str">
        <f>IF('Bulk Order Details'!Q142="","","Fo-"&amp;'Bulk Order Details'!Q142)</f>
        <v/>
      </c>
      <c r="AP132" s="156" t="str">
        <f t="shared" si="8"/>
        <v/>
      </c>
      <c r="AQ132" s="37" t="str">
        <f t="shared" si="9"/>
        <v/>
      </c>
    </row>
    <row r="133" spans="2:43" ht="15" customHeight="1" x14ac:dyDescent="0.2">
      <c r="B133" s="34">
        <f>'Bulk Order Details'!B143</f>
        <v>130</v>
      </c>
      <c r="C133" s="34" t="str">
        <f>IF('Bulk Order Details'!C143="","",'Bulk Order Details'!C143&amp;" "&amp;'Bulk Order Details'!D143)</f>
        <v/>
      </c>
      <c r="D133" s="31" t="str">
        <f>IF('Bulk Order Details'!M143="","",VLOOKUP(1,Price[],3))</f>
        <v/>
      </c>
      <c r="E133" s="29" t="str">
        <f>IF('Bulk Order Details'!M143="","",Summary!$D$9)</f>
        <v/>
      </c>
      <c r="F133" s="16" t="str">
        <f>IF('Bulk Order Details'!I143="","",_xlfn.XLOOKUP('Bulk Order Details'!I143,Size[Display],Size[Price]))</f>
        <v/>
      </c>
      <c r="G133" s="16" t="str">
        <f>IF('Bulk Order Details'!J143="","",_xlfn.XLOOKUP('Bulk Order Details'!J143,Length[Display],Length[Price]))</f>
        <v/>
      </c>
      <c r="H133" s="16" t="str">
        <f>IF('Bulk Order Details'!K143="","",_xlfn.XLOOKUP('Bulk Order Details'!K143,Collection[Display],Collection[Price]))</f>
        <v/>
      </c>
      <c r="I133" s="16" t="str">
        <f>IF('Bulk Order Details'!L143="","",_xlfn.XLOOKUP('Bulk Order Details'!L143,Sleeve[Display],Sleeve[Price]))</f>
        <v/>
      </c>
      <c r="J133" s="16" t="str">
        <f>IF('Bulk Order Details'!M143="","",_xlfn.XLOOKUP('Bulk Order Details'!M143,Collar[Display],Collar[Price]))</f>
        <v/>
      </c>
      <c r="K133" s="16" t="str">
        <f>IF('Bulk Order Details'!N143="","",_xlfn.XLOOKUP("Name",Name[Name],Name[Price]))</f>
        <v/>
      </c>
      <c r="L133" s="18" t="str">
        <f>IFERROR(IF('Bulk Order Details'!R143="","",IF(_xlfn.XLOOKUP('Bulk Order Details'!R143,Logos[Display],Logos[Use])="Flat",_xlfn.XLOOKUP('Bulk Order Details'!R143,Logos[Display],Logos[Flat]),ROUND(_xlfn.XLOOKUP('Bulk Order Details'!R143,Logos[Display],Logos[Pct])*$E133,2))),"")</f>
        <v/>
      </c>
      <c r="M133" s="22" t="str">
        <f>IFERROR(IF('Bulk Order Details'!S143="","",IF(_xlfn.XLOOKUP('Bulk Order Details'!S143,Chest[Display],Chest[Use])="Flat",_xlfn.XLOOKUP('Bulk Order Details'!S143,Chest[Display],Chest[Flat]),ROUND(_xlfn.XLOOKUP('Bulk Order Details'!S143,Chest[Display],Chest[Pct])*$E133,2))),"")</f>
        <v/>
      </c>
      <c r="N133" s="22" t="str">
        <f>IFERROR(IF('Bulk Order Details'!T143="","",IF(_xlfn.XLOOKUP('Bulk Order Details'!T143,Chest[Display],Chest[Use])="Flat",_xlfn.XLOOKUP('Bulk Order Details'!T143,Chest[Display],Chest[Flat]),ROUND(_xlfn.XLOOKUP('Bulk Order Details'!T143,Chest[Display],Chest[Pct])*$E133,2))),"")</f>
        <v/>
      </c>
      <c r="O133" s="22" t="str">
        <f>IFERROR(IF('Bulk Order Details'!U143="","",IF(_xlfn.XLOOKUP('Bulk Order Details'!U143,LeftSleeve[Display],LeftSleeve[Use])="Flat",_xlfn.XLOOKUP('Bulk Order Details'!U143,LeftSleeve[Display],LeftSleeve[Flat]),ROUND(_xlfn.XLOOKUP('Bulk Order Details'!U143,LeftSleeve[Display],LeftSleeve[Pct])*$E133,2))),"")</f>
        <v/>
      </c>
      <c r="P133" s="22" t="str">
        <f>IFERROR(IF('Bulk Order Details'!V143="","",IF(_xlfn.XLOOKUP('Bulk Order Details'!V143,RightSleeve[Display],RightSleeve[Use])="Flat",_xlfn.XLOOKUP('Bulk Order Details'!V143,RightSleeve[Display],RightSleeve[Flat]),ROUND(_xlfn.XLOOKUP('Bulk Order Details'!V143,RightSleeve[Display],RightSleeve[Pct])*$E133,2))),"")</f>
        <v/>
      </c>
      <c r="Q133" s="27" t="str">
        <f>IF('Bulk Order Details'!M143="","",SUM(F133:P133))</f>
        <v/>
      </c>
      <c r="R133" s="24" t="str">
        <f t="shared" ref="R133:R196" si="11">IFERROR(E133-D133,"")</f>
        <v/>
      </c>
      <c r="S133" s="23" t="str">
        <f>IFERROR(MIN(IF(Summary!$D$11="Yes",-J133,0),IF(H133&gt;0,-J133,0)),"")</f>
        <v/>
      </c>
      <c r="T133" s="16" t="str">
        <f>IFERROR(IF(Summary!$D$10="Yes",-K133,""),"")</f>
        <v/>
      </c>
      <c r="U133" s="18" t="str">
        <f>IFERROR(IF(Summary!$D$12="Yes",-L133,""),"")</f>
        <v/>
      </c>
      <c r="V133" s="25" t="str">
        <f>IF('Bulk Order Details'!M143="","",SUM(R133:U133))</f>
        <v/>
      </c>
      <c r="W133" s="36" t="str">
        <f>IF('Bulk Order Details'!M143="","",D133+Q133)</f>
        <v/>
      </c>
      <c r="X133" s="37" t="str">
        <f>IF('Bulk Order Details'!M143="","",D133+Q133+V133)</f>
        <v/>
      </c>
      <c r="Y133" s="168" t="str">
        <f t="shared" si="10"/>
        <v/>
      </c>
      <c r="Z133" s="173" t="str">
        <f>IF('Bulk Order Details'!M143="","",MAX(1,'Bulk Order Details'!G143))</f>
        <v/>
      </c>
      <c r="AA133" s="196" t="str">
        <f>IF(Pricing_Details[[#This Row],[Quantity]]="","",Pricing_Details[[#This Row],[Retail Price]]*Pricing_Details[[#This Row],[Quantity]])</f>
        <v/>
      </c>
      <c r="AB133" s="196" t="str">
        <f>IF(Pricing_Details[[#This Row],[Quantity]]="","",Pricing_Details[[#This Row],[Total Discount]]*Pricing_Details[[#This Row],[Quantity]])</f>
        <v/>
      </c>
      <c r="AC133" s="176" t="str">
        <f>IFERROR(ROUND(Pricing_Details[[#This Row],[Actual Price]]*Pricing_Details[[#This Row],[Quantity]],2),"")</f>
        <v/>
      </c>
      <c r="AE133" s="156" t="str">
        <f>IF('Bulk Order Details'!M143="","",VLOOKUP('Bulk Order Details'!K143,Collection[],3)&amp;VLOOKUP('Bulk Order Details'!M143,Collar[],4)&amp;VLOOKUP('Bulk Order Details'!L143,Sleeve[],4))</f>
        <v/>
      </c>
      <c r="AF133" s="156" t="str">
        <f>IF('Bulk Order Details'!M143="","",LOOKUP('Bulk Order Details'!H143,Cut[Display],Cut[Code])&amp;LOOKUP('Bulk Order Details'!I143,#REF!,#REF!)&amp;IF('Bulk Order Details'!J143="","",LOOKUP('Bulk Order Details'!J143,Length[Display],Length[Code])))</f>
        <v/>
      </c>
      <c r="AG133" s="156" t="str">
        <f>IF('Bulk Order Details'!M143="","",IF('Bulk Order Details'!F143="","",'Bulk Order Details'!F143))</f>
        <v/>
      </c>
      <c r="AH133" s="156" t="str">
        <f>IF('Bulk Order Details'!R143="","","-"&amp;LOOKUP('Bulk Order Details'!R143,#REF!,#REF!))</f>
        <v/>
      </c>
      <c r="AI133" s="156" t="str">
        <f>IF('Bulk Order Details'!S143="","","-"&amp;LOOKUP('Bulk Order Details'!S143,#REF!,#REF!))</f>
        <v/>
      </c>
      <c r="AJ133" s="156" t="str">
        <f>IF('Bulk Order Details'!T143="","","-"&amp;LOOKUP('Bulk Order Details'!T143,#REF!,#REF!))</f>
        <v/>
      </c>
      <c r="AK133" s="156" t="str">
        <f>IF('Bulk Order Details'!U143="","","-"&amp;LOOKUP('Bulk Order Details'!U143,#REF!,#REF!))</f>
        <v/>
      </c>
      <c r="AL133" s="156" t="str">
        <f>IF('Bulk Order Details'!V143="","","-"&amp;LOOKUP('Bulk Order Details'!V143,#REF!,#REF!))</f>
        <v/>
      </c>
      <c r="AM133" s="156" t="str">
        <f t="shared" ref="AM133:AM196" si="12">IF(_xlfn.CONCAT(AH133:AL133)="","","Lo"&amp;_xlfn.CONCAT(AH133:AL133))</f>
        <v/>
      </c>
      <c r="AN133" s="156" t="str">
        <f>IF('Bulk Order Details'!N143="","","Na-"&amp;'Bulk Order Details'!N143)</f>
        <v/>
      </c>
      <c r="AO133" s="156" t="str">
        <f>IF('Bulk Order Details'!Q143="","","Fo-"&amp;'Bulk Order Details'!Q143)</f>
        <v/>
      </c>
      <c r="AP133" s="156" t="str">
        <f t="shared" ref="AP133:AP196" si="13">IF(AE133="","",AE133&amp;"_"&amp;AF133&amp;"_"&amp;AG133&amp;IF(AM133="","","_"&amp;AM133)&amp;IF(AN133="","","_"&amp;AN133)&amp;IF(AO133="","","_"&amp;AO133))</f>
        <v/>
      </c>
      <c r="AQ133" s="37" t="str">
        <f t="shared" ref="AQ133:AQ196" si="14">IF(X133="","",X133)</f>
        <v/>
      </c>
    </row>
    <row r="134" spans="2:43" ht="15" customHeight="1" x14ac:dyDescent="0.2">
      <c r="B134" s="34">
        <f>'Bulk Order Details'!B144</f>
        <v>131</v>
      </c>
      <c r="C134" s="34" t="str">
        <f>IF('Bulk Order Details'!C144="","",'Bulk Order Details'!C144&amp;" "&amp;'Bulk Order Details'!D144)</f>
        <v/>
      </c>
      <c r="D134" s="31" t="str">
        <f>IF('Bulk Order Details'!M144="","",VLOOKUP(1,Price[],3))</f>
        <v/>
      </c>
      <c r="E134" s="29" t="str">
        <f>IF('Bulk Order Details'!M144="","",Summary!$D$9)</f>
        <v/>
      </c>
      <c r="F134" s="16" t="str">
        <f>IF('Bulk Order Details'!I144="","",_xlfn.XLOOKUP('Bulk Order Details'!I144,Size[Display],Size[Price]))</f>
        <v/>
      </c>
      <c r="G134" s="16" t="str">
        <f>IF('Bulk Order Details'!J144="","",_xlfn.XLOOKUP('Bulk Order Details'!J144,Length[Display],Length[Price]))</f>
        <v/>
      </c>
      <c r="H134" s="16" t="str">
        <f>IF('Bulk Order Details'!K144="","",_xlfn.XLOOKUP('Bulk Order Details'!K144,Collection[Display],Collection[Price]))</f>
        <v/>
      </c>
      <c r="I134" s="16" t="str">
        <f>IF('Bulk Order Details'!L144="","",_xlfn.XLOOKUP('Bulk Order Details'!L144,Sleeve[Display],Sleeve[Price]))</f>
        <v/>
      </c>
      <c r="J134" s="16" t="str">
        <f>IF('Bulk Order Details'!M144="","",_xlfn.XLOOKUP('Bulk Order Details'!M144,Collar[Display],Collar[Price]))</f>
        <v/>
      </c>
      <c r="K134" s="16" t="str">
        <f>IF('Bulk Order Details'!N144="","",_xlfn.XLOOKUP("Name",Name[Name],Name[Price]))</f>
        <v/>
      </c>
      <c r="L134" s="18" t="str">
        <f>IFERROR(IF('Bulk Order Details'!R144="","",IF(_xlfn.XLOOKUP('Bulk Order Details'!R144,Logos[Display],Logos[Use])="Flat",_xlfn.XLOOKUP('Bulk Order Details'!R144,Logos[Display],Logos[Flat]),ROUND(_xlfn.XLOOKUP('Bulk Order Details'!R144,Logos[Display],Logos[Pct])*$E134,2))),"")</f>
        <v/>
      </c>
      <c r="M134" s="22" t="str">
        <f>IFERROR(IF('Bulk Order Details'!S144="","",IF(_xlfn.XLOOKUP('Bulk Order Details'!S144,Chest[Display],Chest[Use])="Flat",_xlfn.XLOOKUP('Bulk Order Details'!S144,Chest[Display],Chest[Flat]),ROUND(_xlfn.XLOOKUP('Bulk Order Details'!S144,Chest[Display],Chest[Pct])*$E134,2))),"")</f>
        <v/>
      </c>
      <c r="N134" s="22" t="str">
        <f>IFERROR(IF('Bulk Order Details'!T144="","",IF(_xlfn.XLOOKUP('Bulk Order Details'!T144,Chest[Display],Chest[Use])="Flat",_xlfn.XLOOKUP('Bulk Order Details'!T144,Chest[Display],Chest[Flat]),ROUND(_xlfn.XLOOKUP('Bulk Order Details'!T144,Chest[Display],Chest[Pct])*$E134,2))),"")</f>
        <v/>
      </c>
      <c r="O134" s="22" t="str">
        <f>IFERROR(IF('Bulk Order Details'!U144="","",IF(_xlfn.XLOOKUP('Bulk Order Details'!U144,LeftSleeve[Display],LeftSleeve[Use])="Flat",_xlfn.XLOOKUP('Bulk Order Details'!U144,LeftSleeve[Display],LeftSleeve[Flat]),ROUND(_xlfn.XLOOKUP('Bulk Order Details'!U144,LeftSleeve[Display],LeftSleeve[Pct])*$E134,2))),"")</f>
        <v/>
      </c>
      <c r="P134" s="22" t="str">
        <f>IFERROR(IF('Bulk Order Details'!V144="","",IF(_xlfn.XLOOKUP('Bulk Order Details'!V144,RightSleeve[Display],RightSleeve[Use])="Flat",_xlfn.XLOOKUP('Bulk Order Details'!V144,RightSleeve[Display],RightSleeve[Flat]),ROUND(_xlfn.XLOOKUP('Bulk Order Details'!V144,RightSleeve[Display],RightSleeve[Pct])*$E134,2))),"")</f>
        <v/>
      </c>
      <c r="Q134" s="27" t="str">
        <f>IF('Bulk Order Details'!M144="","",SUM(F134:P134))</f>
        <v/>
      </c>
      <c r="R134" s="24" t="str">
        <f t="shared" si="11"/>
        <v/>
      </c>
      <c r="S134" s="23" t="str">
        <f>IFERROR(MIN(IF(Summary!$D$11="Yes",-J134,0),IF(H134&gt;0,-J134,0)),"")</f>
        <v/>
      </c>
      <c r="T134" s="16" t="str">
        <f>IFERROR(IF(Summary!$D$10="Yes",-K134,""),"")</f>
        <v/>
      </c>
      <c r="U134" s="18" t="str">
        <f>IFERROR(IF(Summary!$D$12="Yes",-L134,""),"")</f>
        <v/>
      </c>
      <c r="V134" s="25" t="str">
        <f>IF('Bulk Order Details'!M144="","",SUM(R134:U134))</f>
        <v/>
      </c>
      <c r="W134" s="36" t="str">
        <f>IF('Bulk Order Details'!M144="","",D134+Q134)</f>
        <v/>
      </c>
      <c r="X134" s="37" t="str">
        <f>IF('Bulk Order Details'!M144="","",D134+Q134+V134)</f>
        <v/>
      </c>
      <c r="Y134" s="168" t="str">
        <f t="shared" si="10"/>
        <v/>
      </c>
      <c r="Z134" s="173" t="str">
        <f>IF('Bulk Order Details'!M144="","",MAX(1,'Bulk Order Details'!G144))</f>
        <v/>
      </c>
      <c r="AA134" s="196" t="str">
        <f>IF(Pricing_Details[[#This Row],[Quantity]]="","",Pricing_Details[[#This Row],[Retail Price]]*Pricing_Details[[#This Row],[Quantity]])</f>
        <v/>
      </c>
      <c r="AB134" s="196" t="str">
        <f>IF(Pricing_Details[[#This Row],[Quantity]]="","",Pricing_Details[[#This Row],[Total Discount]]*Pricing_Details[[#This Row],[Quantity]])</f>
        <v/>
      </c>
      <c r="AC134" s="176" t="str">
        <f>IFERROR(ROUND(Pricing_Details[[#This Row],[Actual Price]]*Pricing_Details[[#This Row],[Quantity]],2),"")</f>
        <v/>
      </c>
      <c r="AE134" s="156" t="str">
        <f>IF('Bulk Order Details'!M144="","",VLOOKUP('Bulk Order Details'!K144,Collection[],3)&amp;VLOOKUP('Bulk Order Details'!M144,Collar[],4)&amp;VLOOKUP('Bulk Order Details'!L144,Sleeve[],4))</f>
        <v/>
      </c>
      <c r="AF134" s="156" t="str">
        <f>IF('Bulk Order Details'!M144="","",LOOKUP('Bulk Order Details'!H144,Cut[Display],Cut[Code])&amp;LOOKUP('Bulk Order Details'!I144,#REF!,#REF!)&amp;IF('Bulk Order Details'!J144="","",LOOKUP('Bulk Order Details'!J144,Length[Display],Length[Code])))</f>
        <v/>
      </c>
      <c r="AG134" s="156" t="str">
        <f>IF('Bulk Order Details'!M144="","",IF('Bulk Order Details'!F144="","",'Bulk Order Details'!F144))</f>
        <v/>
      </c>
      <c r="AH134" s="156" t="str">
        <f>IF('Bulk Order Details'!R144="","","-"&amp;LOOKUP('Bulk Order Details'!R144,#REF!,#REF!))</f>
        <v/>
      </c>
      <c r="AI134" s="156" t="str">
        <f>IF('Bulk Order Details'!S144="","","-"&amp;LOOKUP('Bulk Order Details'!S144,#REF!,#REF!))</f>
        <v/>
      </c>
      <c r="AJ134" s="156" t="str">
        <f>IF('Bulk Order Details'!T144="","","-"&amp;LOOKUP('Bulk Order Details'!T144,#REF!,#REF!))</f>
        <v/>
      </c>
      <c r="AK134" s="156" t="str">
        <f>IF('Bulk Order Details'!U144="","","-"&amp;LOOKUP('Bulk Order Details'!U144,#REF!,#REF!))</f>
        <v/>
      </c>
      <c r="AL134" s="156" t="str">
        <f>IF('Bulk Order Details'!V144="","","-"&amp;LOOKUP('Bulk Order Details'!V144,#REF!,#REF!))</f>
        <v/>
      </c>
      <c r="AM134" s="156" t="str">
        <f t="shared" si="12"/>
        <v/>
      </c>
      <c r="AN134" s="156" t="str">
        <f>IF('Bulk Order Details'!N144="","","Na-"&amp;'Bulk Order Details'!N144)</f>
        <v/>
      </c>
      <c r="AO134" s="156" t="str">
        <f>IF('Bulk Order Details'!Q144="","","Fo-"&amp;'Bulk Order Details'!Q144)</f>
        <v/>
      </c>
      <c r="AP134" s="156" t="str">
        <f t="shared" si="13"/>
        <v/>
      </c>
      <c r="AQ134" s="37" t="str">
        <f t="shared" si="14"/>
        <v/>
      </c>
    </row>
    <row r="135" spans="2:43" ht="15" customHeight="1" x14ac:dyDescent="0.2">
      <c r="B135" s="34">
        <f>'Bulk Order Details'!B145</f>
        <v>132</v>
      </c>
      <c r="C135" s="34" t="str">
        <f>IF('Bulk Order Details'!C145="","",'Bulk Order Details'!C145&amp;" "&amp;'Bulk Order Details'!D145)</f>
        <v/>
      </c>
      <c r="D135" s="31" t="str">
        <f>IF('Bulk Order Details'!M145="","",VLOOKUP(1,Price[],3))</f>
        <v/>
      </c>
      <c r="E135" s="29" t="str">
        <f>IF('Bulk Order Details'!M145="","",Summary!$D$9)</f>
        <v/>
      </c>
      <c r="F135" s="16" t="str">
        <f>IF('Bulk Order Details'!I145="","",_xlfn.XLOOKUP('Bulk Order Details'!I145,Size[Display],Size[Price]))</f>
        <v/>
      </c>
      <c r="G135" s="16" t="str">
        <f>IF('Bulk Order Details'!J145="","",_xlfn.XLOOKUP('Bulk Order Details'!J145,Length[Display],Length[Price]))</f>
        <v/>
      </c>
      <c r="H135" s="16" t="str">
        <f>IF('Bulk Order Details'!K145="","",_xlfn.XLOOKUP('Bulk Order Details'!K145,Collection[Display],Collection[Price]))</f>
        <v/>
      </c>
      <c r="I135" s="16" t="str">
        <f>IF('Bulk Order Details'!L145="","",_xlfn.XLOOKUP('Bulk Order Details'!L145,Sleeve[Display],Sleeve[Price]))</f>
        <v/>
      </c>
      <c r="J135" s="16" t="str">
        <f>IF('Bulk Order Details'!M145="","",_xlfn.XLOOKUP('Bulk Order Details'!M145,Collar[Display],Collar[Price]))</f>
        <v/>
      </c>
      <c r="K135" s="16" t="str">
        <f>IF('Bulk Order Details'!N145="","",_xlfn.XLOOKUP("Name",Name[Name],Name[Price]))</f>
        <v/>
      </c>
      <c r="L135" s="18" t="str">
        <f>IFERROR(IF('Bulk Order Details'!R145="","",IF(_xlfn.XLOOKUP('Bulk Order Details'!R145,Logos[Display],Logos[Use])="Flat",_xlfn.XLOOKUP('Bulk Order Details'!R145,Logos[Display],Logos[Flat]),ROUND(_xlfn.XLOOKUP('Bulk Order Details'!R145,Logos[Display],Logos[Pct])*$E135,2))),"")</f>
        <v/>
      </c>
      <c r="M135" s="22" t="str">
        <f>IFERROR(IF('Bulk Order Details'!S145="","",IF(_xlfn.XLOOKUP('Bulk Order Details'!S145,Chest[Display],Chest[Use])="Flat",_xlfn.XLOOKUP('Bulk Order Details'!S145,Chest[Display],Chest[Flat]),ROUND(_xlfn.XLOOKUP('Bulk Order Details'!S145,Chest[Display],Chest[Pct])*$E135,2))),"")</f>
        <v/>
      </c>
      <c r="N135" s="22" t="str">
        <f>IFERROR(IF('Bulk Order Details'!T145="","",IF(_xlfn.XLOOKUP('Bulk Order Details'!T145,Chest[Display],Chest[Use])="Flat",_xlfn.XLOOKUP('Bulk Order Details'!T145,Chest[Display],Chest[Flat]),ROUND(_xlfn.XLOOKUP('Bulk Order Details'!T145,Chest[Display],Chest[Pct])*$E135,2))),"")</f>
        <v/>
      </c>
      <c r="O135" s="22" t="str">
        <f>IFERROR(IF('Bulk Order Details'!U145="","",IF(_xlfn.XLOOKUP('Bulk Order Details'!U145,LeftSleeve[Display],LeftSleeve[Use])="Flat",_xlfn.XLOOKUP('Bulk Order Details'!U145,LeftSleeve[Display],LeftSleeve[Flat]),ROUND(_xlfn.XLOOKUP('Bulk Order Details'!U145,LeftSleeve[Display],LeftSleeve[Pct])*$E135,2))),"")</f>
        <v/>
      </c>
      <c r="P135" s="22" t="str">
        <f>IFERROR(IF('Bulk Order Details'!V145="","",IF(_xlfn.XLOOKUP('Bulk Order Details'!V145,RightSleeve[Display],RightSleeve[Use])="Flat",_xlfn.XLOOKUP('Bulk Order Details'!V145,RightSleeve[Display],RightSleeve[Flat]),ROUND(_xlfn.XLOOKUP('Bulk Order Details'!V145,RightSleeve[Display],RightSleeve[Pct])*$E135,2))),"")</f>
        <v/>
      </c>
      <c r="Q135" s="27" t="str">
        <f>IF('Bulk Order Details'!M145="","",SUM(F135:P135))</f>
        <v/>
      </c>
      <c r="R135" s="24" t="str">
        <f t="shared" si="11"/>
        <v/>
      </c>
      <c r="S135" s="23" t="str">
        <f>IFERROR(MIN(IF(Summary!$D$11="Yes",-J135,0),IF(H135&gt;0,-J135,0)),"")</f>
        <v/>
      </c>
      <c r="T135" s="16" t="str">
        <f>IFERROR(IF(Summary!$D$10="Yes",-K135,""),"")</f>
        <v/>
      </c>
      <c r="U135" s="18" t="str">
        <f>IFERROR(IF(Summary!$D$12="Yes",-L135,""),"")</f>
        <v/>
      </c>
      <c r="V135" s="25" t="str">
        <f>IF('Bulk Order Details'!M145="","",SUM(R135:U135))</f>
        <v/>
      </c>
      <c r="W135" s="36" t="str">
        <f>IF('Bulk Order Details'!M145="","",D135+Q135)</f>
        <v/>
      </c>
      <c r="X135" s="37" t="str">
        <f>IF('Bulk Order Details'!M145="","",D135+Q135+V135)</f>
        <v/>
      </c>
      <c r="Y135" s="168" t="str">
        <f t="shared" si="10"/>
        <v/>
      </c>
      <c r="Z135" s="173" t="str">
        <f>IF('Bulk Order Details'!M145="","",MAX(1,'Bulk Order Details'!G145))</f>
        <v/>
      </c>
      <c r="AA135" s="196" t="str">
        <f>IF(Pricing_Details[[#This Row],[Quantity]]="","",Pricing_Details[[#This Row],[Retail Price]]*Pricing_Details[[#This Row],[Quantity]])</f>
        <v/>
      </c>
      <c r="AB135" s="196" t="str">
        <f>IF(Pricing_Details[[#This Row],[Quantity]]="","",Pricing_Details[[#This Row],[Total Discount]]*Pricing_Details[[#This Row],[Quantity]])</f>
        <v/>
      </c>
      <c r="AC135" s="176" t="str">
        <f>IFERROR(ROUND(Pricing_Details[[#This Row],[Actual Price]]*Pricing_Details[[#This Row],[Quantity]],2),"")</f>
        <v/>
      </c>
      <c r="AE135" s="156" t="str">
        <f>IF('Bulk Order Details'!M145="","",VLOOKUP('Bulk Order Details'!K145,Collection[],3)&amp;VLOOKUP('Bulk Order Details'!M145,Collar[],4)&amp;VLOOKUP('Bulk Order Details'!L145,Sleeve[],4))</f>
        <v/>
      </c>
      <c r="AF135" s="156" t="str">
        <f>IF('Bulk Order Details'!M145="","",LOOKUP('Bulk Order Details'!H145,Cut[Display],Cut[Code])&amp;LOOKUP('Bulk Order Details'!I145,#REF!,#REF!)&amp;IF('Bulk Order Details'!J145="","",LOOKUP('Bulk Order Details'!J145,Length[Display],Length[Code])))</f>
        <v/>
      </c>
      <c r="AG135" s="156" t="str">
        <f>IF('Bulk Order Details'!M145="","",IF('Bulk Order Details'!F145="","",'Bulk Order Details'!F145))</f>
        <v/>
      </c>
      <c r="AH135" s="156" t="str">
        <f>IF('Bulk Order Details'!R145="","","-"&amp;LOOKUP('Bulk Order Details'!R145,#REF!,#REF!))</f>
        <v/>
      </c>
      <c r="AI135" s="156" t="str">
        <f>IF('Bulk Order Details'!S145="","","-"&amp;LOOKUP('Bulk Order Details'!S145,#REF!,#REF!))</f>
        <v/>
      </c>
      <c r="AJ135" s="156" t="str">
        <f>IF('Bulk Order Details'!T145="","","-"&amp;LOOKUP('Bulk Order Details'!T145,#REF!,#REF!))</f>
        <v/>
      </c>
      <c r="AK135" s="156" t="str">
        <f>IF('Bulk Order Details'!U145="","","-"&amp;LOOKUP('Bulk Order Details'!U145,#REF!,#REF!))</f>
        <v/>
      </c>
      <c r="AL135" s="156" t="str">
        <f>IF('Bulk Order Details'!V145="","","-"&amp;LOOKUP('Bulk Order Details'!V145,#REF!,#REF!))</f>
        <v/>
      </c>
      <c r="AM135" s="156" t="str">
        <f t="shared" si="12"/>
        <v/>
      </c>
      <c r="AN135" s="156" t="str">
        <f>IF('Bulk Order Details'!N145="","","Na-"&amp;'Bulk Order Details'!N145)</f>
        <v/>
      </c>
      <c r="AO135" s="156" t="str">
        <f>IF('Bulk Order Details'!Q145="","","Fo-"&amp;'Bulk Order Details'!Q145)</f>
        <v/>
      </c>
      <c r="AP135" s="156" t="str">
        <f t="shared" si="13"/>
        <v/>
      </c>
      <c r="AQ135" s="37" t="str">
        <f t="shared" si="14"/>
        <v/>
      </c>
    </row>
    <row r="136" spans="2:43" ht="15" customHeight="1" x14ac:dyDescent="0.2">
      <c r="B136" s="34">
        <f>'Bulk Order Details'!B146</f>
        <v>133</v>
      </c>
      <c r="C136" s="34" t="str">
        <f>IF('Bulk Order Details'!C146="","",'Bulk Order Details'!C146&amp;" "&amp;'Bulk Order Details'!D146)</f>
        <v/>
      </c>
      <c r="D136" s="31" t="str">
        <f>IF('Bulk Order Details'!M146="","",VLOOKUP(1,Price[],3))</f>
        <v/>
      </c>
      <c r="E136" s="29" t="str">
        <f>IF('Bulk Order Details'!M146="","",Summary!$D$9)</f>
        <v/>
      </c>
      <c r="F136" s="16" t="str">
        <f>IF('Bulk Order Details'!I146="","",_xlfn.XLOOKUP('Bulk Order Details'!I146,Size[Display],Size[Price]))</f>
        <v/>
      </c>
      <c r="G136" s="16" t="str">
        <f>IF('Bulk Order Details'!J146="","",_xlfn.XLOOKUP('Bulk Order Details'!J146,Length[Display],Length[Price]))</f>
        <v/>
      </c>
      <c r="H136" s="16" t="str">
        <f>IF('Bulk Order Details'!K146="","",_xlfn.XLOOKUP('Bulk Order Details'!K146,Collection[Display],Collection[Price]))</f>
        <v/>
      </c>
      <c r="I136" s="16" t="str">
        <f>IF('Bulk Order Details'!L146="","",_xlfn.XLOOKUP('Bulk Order Details'!L146,Sleeve[Display],Sleeve[Price]))</f>
        <v/>
      </c>
      <c r="J136" s="16" t="str">
        <f>IF('Bulk Order Details'!M146="","",_xlfn.XLOOKUP('Bulk Order Details'!M146,Collar[Display],Collar[Price]))</f>
        <v/>
      </c>
      <c r="K136" s="16" t="str">
        <f>IF('Bulk Order Details'!N146="","",_xlfn.XLOOKUP("Name",Name[Name],Name[Price]))</f>
        <v/>
      </c>
      <c r="L136" s="18" t="str">
        <f>IFERROR(IF('Bulk Order Details'!R146="","",IF(_xlfn.XLOOKUP('Bulk Order Details'!R146,Logos[Display],Logos[Use])="Flat",_xlfn.XLOOKUP('Bulk Order Details'!R146,Logos[Display],Logos[Flat]),ROUND(_xlfn.XLOOKUP('Bulk Order Details'!R146,Logos[Display],Logos[Pct])*$E136,2))),"")</f>
        <v/>
      </c>
      <c r="M136" s="22" t="str">
        <f>IFERROR(IF('Bulk Order Details'!S146="","",IF(_xlfn.XLOOKUP('Bulk Order Details'!S146,Chest[Display],Chest[Use])="Flat",_xlfn.XLOOKUP('Bulk Order Details'!S146,Chest[Display],Chest[Flat]),ROUND(_xlfn.XLOOKUP('Bulk Order Details'!S146,Chest[Display],Chest[Pct])*$E136,2))),"")</f>
        <v/>
      </c>
      <c r="N136" s="22" t="str">
        <f>IFERROR(IF('Bulk Order Details'!T146="","",IF(_xlfn.XLOOKUP('Bulk Order Details'!T146,Chest[Display],Chest[Use])="Flat",_xlfn.XLOOKUP('Bulk Order Details'!T146,Chest[Display],Chest[Flat]),ROUND(_xlfn.XLOOKUP('Bulk Order Details'!T146,Chest[Display],Chest[Pct])*$E136,2))),"")</f>
        <v/>
      </c>
      <c r="O136" s="22" t="str">
        <f>IFERROR(IF('Bulk Order Details'!U146="","",IF(_xlfn.XLOOKUP('Bulk Order Details'!U146,LeftSleeve[Display],LeftSleeve[Use])="Flat",_xlfn.XLOOKUP('Bulk Order Details'!U146,LeftSleeve[Display],LeftSleeve[Flat]),ROUND(_xlfn.XLOOKUP('Bulk Order Details'!U146,LeftSleeve[Display],LeftSleeve[Pct])*$E136,2))),"")</f>
        <v/>
      </c>
      <c r="P136" s="22" t="str">
        <f>IFERROR(IF('Bulk Order Details'!V146="","",IF(_xlfn.XLOOKUP('Bulk Order Details'!V146,RightSleeve[Display],RightSleeve[Use])="Flat",_xlfn.XLOOKUP('Bulk Order Details'!V146,RightSleeve[Display],RightSleeve[Flat]),ROUND(_xlfn.XLOOKUP('Bulk Order Details'!V146,RightSleeve[Display],RightSleeve[Pct])*$E136,2))),"")</f>
        <v/>
      </c>
      <c r="Q136" s="27" t="str">
        <f>IF('Bulk Order Details'!M146="","",SUM(F136:P136))</f>
        <v/>
      </c>
      <c r="R136" s="24" t="str">
        <f t="shared" si="11"/>
        <v/>
      </c>
      <c r="S136" s="23" t="str">
        <f>IFERROR(MIN(IF(Summary!$D$11="Yes",-J136,0),IF(H136&gt;0,-J136,0)),"")</f>
        <v/>
      </c>
      <c r="T136" s="16" t="str">
        <f>IFERROR(IF(Summary!$D$10="Yes",-K136,""),"")</f>
        <v/>
      </c>
      <c r="U136" s="18" t="str">
        <f>IFERROR(IF(Summary!$D$12="Yes",-L136,""),"")</f>
        <v/>
      </c>
      <c r="V136" s="25" t="str">
        <f>IF('Bulk Order Details'!M146="","",SUM(R136:U136))</f>
        <v/>
      </c>
      <c r="W136" s="36" t="str">
        <f>IF('Bulk Order Details'!M146="","",D136+Q136)</f>
        <v/>
      </c>
      <c r="X136" s="37" t="str">
        <f>IF('Bulk Order Details'!M146="","",D136+Q136+V136)</f>
        <v/>
      </c>
      <c r="Y136" s="168" t="str">
        <f t="shared" si="10"/>
        <v/>
      </c>
      <c r="Z136" s="173" t="str">
        <f>IF('Bulk Order Details'!M146="","",MAX(1,'Bulk Order Details'!G146))</f>
        <v/>
      </c>
      <c r="AA136" s="196" t="str">
        <f>IF(Pricing_Details[[#This Row],[Quantity]]="","",Pricing_Details[[#This Row],[Retail Price]]*Pricing_Details[[#This Row],[Quantity]])</f>
        <v/>
      </c>
      <c r="AB136" s="196" t="str">
        <f>IF(Pricing_Details[[#This Row],[Quantity]]="","",Pricing_Details[[#This Row],[Total Discount]]*Pricing_Details[[#This Row],[Quantity]])</f>
        <v/>
      </c>
      <c r="AC136" s="176" t="str">
        <f>IFERROR(ROUND(Pricing_Details[[#This Row],[Actual Price]]*Pricing_Details[[#This Row],[Quantity]],2),"")</f>
        <v/>
      </c>
      <c r="AE136" s="156" t="str">
        <f>IF('Bulk Order Details'!M146="","",VLOOKUP('Bulk Order Details'!K146,Collection[],3)&amp;VLOOKUP('Bulk Order Details'!M146,Collar[],4)&amp;VLOOKUP('Bulk Order Details'!L146,Sleeve[],4))</f>
        <v/>
      </c>
      <c r="AF136" s="156" t="str">
        <f>IF('Bulk Order Details'!M146="","",LOOKUP('Bulk Order Details'!H146,Cut[Display],Cut[Code])&amp;LOOKUP('Bulk Order Details'!I146,#REF!,#REF!)&amp;IF('Bulk Order Details'!J146="","",LOOKUP('Bulk Order Details'!J146,Length[Display],Length[Code])))</f>
        <v/>
      </c>
      <c r="AG136" s="156" t="str">
        <f>IF('Bulk Order Details'!M146="","",IF('Bulk Order Details'!F146="","",'Bulk Order Details'!F146))</f>
        <v/>
      </c>
      <c r="AH136" s="156" t="str">
        <f>IF('Bulk Order Details'!R146="","","-"&amp;LOOKUP('Bulk Order Details'!R146,#REF!,#REF!))</f>
        <v/>
      </c>
      <c r="AI136" s="156" t="str">
        <f>IF('Bulk Order Details'!S146="","","-"&amp;LOOKUP('Bulk Order Details'!S146,#REF!,#REF!))</f>
        <v/>
      </c>
      <c r="AJ136" s="156" t="str">
        <f>IF('Bulk Order Details'!T146="","","-"&amp;LOOKUP('Bulk Order Details'!T146,#REF!,#REF!))</f>
        <v/>
      </c>
      <c r="AK136" s="156" t="str">
        <f>IF('Bulk Order Details'!U146="","","-"&amp;LOOKUP('Bulk Order Details'!U146,#REF!,#REF!))</f>
        <v/>
      </c>
      <c r="AL136" s="156" t="str">
        <f>IF('Bulk Order Details'!V146="","","-"&amp;LOOKUP('Bulk Order Details'!V146,#REF!,#REF!))</f>
        <v/>
      </c>
      <c r="AM136" s="156" t="str">
        <f t="shared" si="12"/>
        <v/>
      </c>
      <c r="AN136" s="156" t="str">
        <f>IF('Bulk Order Details'!N146="","","Na-"&amp;'Bulk Order Details'!N146)</f>
        <v/>
      </c>
      <c r="AO136" s="156" t="str">
        <f>IF('Bulk Order Details'!Q146="","","Fo-"&amp;'Bulk Order Details'!Q146)</f>
        <v/>
      </c>
      <c r="AP136" s="156" t="str">
        <f t="shared" si="13"/>
        <v/>
      </c>
      <c r="AQ136" s="37" t="str">
        <f t="shared" si="14"/>
        <v/>
      </c>
    </row>
    <row r="137" spans="2:43" ht="15" customHeight="1" x14ac:dyDescent="0.2">
      <c r="B137" s="34">
        <f>'Bulk Order Details'!B147</f>
        <v>134</v>
      </c>
      <c r="C137" s="34" t="str">
        <f>IF('Bulk Order Details'!C147="","",'Bulk Order Details'!C147&amp;" "&amp;'Bulk Order Details'!D147)</f>
        <v/>
      </c>
      <c r="D137" s="31" t="str">
        <f>IF('Bulk Order Details'!M147="","",VLOOKUP(1,Price[],3))</f>
        <v/>
      </c>
      <c r="E137" s="29" t="str">
        <f>IF('Bulk Order Details'!M147="","",Summary!$D$9)</f>
        <v/>
      </c>
      <c r="F137" s="16" t="str">
        <f>IF('Bulk Order Details'!I147="","",_xlfn.XLOOKUP('Bulk Order Details'!I147,Size[Display],Size[Price]))</f>
        <v/>
      </c>
      <c r="G137" s="16" t="str">
        <f>IF('Bulk Order Details'!J147="","",_xlfn.XLOOKUP('Bulk Order Details'!J147,Length[Display],Length[Price]))</f>
        <v/>
      </c>
      <c r="H137" s="16" t="str">
        <f>IF('Bulk Order Details'!K147="","",_xlfn.XLOOKUP('Bulk Order Details'!K147,Collection[Display],Collection[Price]))</f>
        <v/>
      </c>
      <c r="I137" s="16" t="str">
        <f>IF('Bulk Order Details'!L147="","",_xlfn.XLOOKUP('Bulk Order Details'!L147,Sleeve[Display],Sleeve[Price]))</f>
        <v/>
      </c>
      <c r="J137" s="16" t="str">
        <f>IF('Bulk Order Details'!M147="","",_xlfn.XLOOKUP('Bulk Order Details'!M147,Collar[Display],Collar[Price]))</f>
        <v/>
      </c>
      <c r="K137" s="16" t="str">
        <f>IF('Bulk Order Details'!N147="","",_xlfn.XLOOKUP("Name",Name[Name],Name[Price]))</f>
        <v/>
      </c>
      <c r="L137" s="18" t="str">
        <f>IFERROR(IF('Bulk Order Details'!R147="","",IF(_xlfn.XLOOKUP('Bulk Order Details'!R147,Logos[Display],Logos[Use])="Flat",_xlfn.XLOOKUP('Bulk Order Details'!R147,Logos[Display],Logos[Flat]),ROUND(_xlfn.XLOOKUP('Bulk Order Details'!R147,Logos[Display],Logos[Pct])*$E137,2))),"")</f>
        <v/>
      </c>
      <c r="M137" s="22" t="str">
        <f>IFERROR(IF('Bulk Order Details'!S147="","",IF(_xlfn.XLOOKUP('Bulk Order Details'!S147,Chest[Display],Chest[Use])="Flat",_xlfn.XLOOKUP('Bulk Order Details'!S147,Chest[Display],Chest[Flat]),ROUND(_xlfn.XLOOKUP('Bulk Order Details'!S147,Chest[Display],Chest[Pct])*$E137,2))),"")</f>
        <v/>
      </c>
      <c r="N137" s="22" t="str">
        <f>IFERROR(IF('Bulk Order Details'!T147="","",IF(_xlfn.XLOOKUP('Bulk Order Details'!T147,Chest[Display],Chest[Use])="Flat",_xlfn.XLOOKUP('Bulk Order Details'!T147,Chest[Display],Chest[Flat]),ROUND(_xlfn.XLOOKUP('Bulk Order Details'!T147,Chest[Display],Chest[Pct])*$E137,2))),"")</f>
        <v/>
      </c>
      <c r="O137" s="22" t="str">
        <f>IFERROR(IF('Bulk Order Details'!U147="","",IF(_xlfn.XLOOKUP('Bulk Order Details'!U147,LeftSleeve[Display],LeftSleeve[Use])="Flat",_xlfn.XLOOKUP('Bulk Order Details'!U147,LeftSleeve[Display],LeftSleeve[Flat]),ROUND(_xlfn.XLOOKUP('Bulk Order Details'!U147,LeftSleeve[Display],LeftSleeve[Pct])*$E137,2))),"")</f>
        <v/>
      </c>
      <c r="P137" s="22" t="str">
        <f>IFERROR(IF('Bulk Order Details'!V147="","",IF(_xlfn.XLOOKUP('Bulk Order Details'!V147,RightSleeve[Display],RightSleeve[Use])="Flat",_xlfn.XLOOKUP('Bulk Order Details'!V147,RightSleeve[Display],RightSleeve[Flat]),ROUND(_xlfn.XLOOKUP('Bulk Order Details'!V147,RightSleeve[Display],RightSleeve[Pct])*$E137,2))),"")</f>
        <v/>
      </c>
      <c r="Q137" s="27" t="str">
        <f>IF('Bulk Order Details'!M147="","",SUM(F137:P137))</f>
        <v/>
      </c>
      <c r="R137" s="24" t="str">
        <f t="shared" si="11"/>
        <v/>
      </c>
      <c r="S137" s="23" t="str">
        <f>IFERROR(MIN(IF(Summary!$D$11="Yes",-J137,0),IF(H137&gt;0,-J137,0)),"")</f>
        <v/>
      </c>
      <c r="T137" s="16" t="str">
        <f>IFERROR(IF(Summary!$D$10="Yes",-K137,""),"")</f>
        <v/>
      </c>
      <c r="U137" s="18" t="str">
        <f>IFERROR(IF(Summary!$D$12="Yes",-L137,""),"")</f>
        <v/>
      </c>
      <c r="V137" s="25" t="str">
        <f>IF('Bulk Order Details'!M147="","",SUM(R137:U137))</f>
        <v/>
      </c>
      <c r="W137" s="36" t="str">
        <f>IF('Bulk Order Details'!M147="","",D137+Q137)</f>
        <v/>
      </c>
      <c r="X137" s="37" t="str">
        <f>IF('Bulk Order Details'!M147="","",D137+Q137+V137)</f>
        <v/>
      </c>
      <c r="Y137" s="168" t="str">
        <f t="shared" si="10"/>
        <v/>
      </c>
      <c r="Z137" s="173" t="str">
        <f>IF('Bulk Order Details'!M147="","",MAX(1,'Bulk Order Details'!G147))</f>
        <v/>
      </c>
      <c r="AA137" s="196" t="str">
        <f>IF(Pricing_Details[[#This Row],[Quantity]]="","",Pricing_Details[[#This Row],[Retail Price]]*Pricing_Details[[#This Row],[Quantity]])</f>
        <v/>
      </c>
      <c r="AB137" s="196" t="str">
        <f>IF(Pricing_Details[[#This Row],[Quantity]]="","",Pricing_Details[[#This Row],[Total Discount]]*Pricing_Details[[#This Row],[Quantity]])</f>
        <v/>
      </c>
      <c r="AC137" s="176" t="str">
        <f>IFERROR(ROUND(Pricing_Details[[#This Row],[Actual Price]]*Pricing_Details[[#This Row],[Quantity]],2),"")</f>
        <v/>
      </c>
      <c r="AE137" s="156" t="str">
        <f>IF('Bulk Order Details'!M147="","",VLOOKUP('Bulk Order Details'!K147,Collection[],3)&amp;VLOOKUP('Bulk Order Details'!M147,Collar[],4)&amp;VLOOKUP('Bulk Order Details'!L147,Sleeve[],4))</f>
        <v/>
      </c>
      <c r="AF137" s="156" t="str">
        <f>IF('Bulk Order Details'!M147="","",LOOKUP('Bulk Order Details'!H147,Cut[Display],Cut[Code])&amp;LOOKUP('Bulk Order Details'!I147,#REF!,#REF!)&amp;IF('Bulk Order Details'!J147="","",LOOKUP('Bulk Order Details'!J147,Length[Display],Length[Code])))</f>
        <v/>
      </c>
      <c r="AG137" s="156" t="str">
        <f>IF('Bulk Order Details'!M147="","",IF('Bulk Order Details'!F147="","",'Bulk Order Details'!F147))</f>
        <v/>
      </c>
      <c r="AH137" s="156" t="str">
        <f>IF('Bulk Order Details'!R147="","","-"&amp;LOOKUP('Bulk Order Details'!R147,#REF!,#REF!))</f>
        <v/>
      </c>
      <c r="AI137" s="156" t="str">
        <f>IF('Bulk Order Details'!S147="","","-"&amp;LOOKUP('Bulk Order Details'!S147,#REF!,#REF!))</f>
        <v/>
      </c>
      <c r="AJ137" s="156" t="str">
        <f>IF('Bulk Order Details'!T147="","","-"&amp;LOOKUP('Bulk Order Details'!T147,#REF!,#REF!))</f>
        <v/>
      </c>
      <c r="AK137" s="156" t="str">
        <f>IF('Bulk Order Details'!U147="","","-"&amp;LOOKUP('Bulk Order Details'!U147,#REF!,#REF!))</f>
        <v/>
      </c>
      <c r="AL137" s="156" t="str">
        <f>IF('Bulk Order Details'!V147="","","-"&amp;LOOKUP('Bulk Order Details'!V147,#REF!,#REF!))</f>
        <v/>
      </c>
      <c r="AM137" s="156" t="str">
        <f t="shared" si="12"/>
        <v/>
      </c>
      <c r="AN137" s="156" t="str">
        <f>IF('Bulk Order Details'!N147="","","Na-"&amp;'Bulk Order Details'!N147)</f>
        <v/>
      </c>
      <c r="AO137" s="156" t="str">
        <f>IF('Bulk Order Details'!Q147="","","Fo-"&amp;'Bulk Order Details'!Q147)</f>
        <v/>
      </c>
      <c r="AP137" s="156" t="str">
        <f t="shared" si="13"/>
        <v/>
      </c>
      <c r="AQ137" s="37" t="str">
        <f t="shared" si="14"/>
        <v/>
      </c>
    </row>
    <row r="138" spans="2:43" ht="15" customHeight="1" x14ac:dyDescent="0.2">
      <c r="B138" s="34">
        <f>'Bulk Order Details'!B148</f>
        <v>135</v>
      </c>
      <c r="C138" s="34" t="str">
        <f>IF('Bulk Order Details'!C148="","",'Bulk Order Details'!C148&amp;" "&amp;'Bulk Order Details'!D148)</f>
        <v/>
      </c>
      <c r="D138" s="31" t="str">
        <f>IF('Bulk Order Details'!M148="","",VLOOKUP(1,Price[],3))</f>
        <v/>
      </c>
      <c r="E138" s="29" t="str">
        <f>IF('Bulk Order Details'!M148="","",Summary!$D$9)</f>
        <v/>
      </c>
      <c r="F138" s="16" t="str">
        <f>IF('Bulk Order Details'!I148="","",_xlfn.XLOOKUP('Bulk Order Details'!I148,Size[Display],Size[Price]))</f>
        <v/>
      </c>
      <c r="G138" s="16" t="str">
        <f>IF('Bulk Order Details'!J148="","",_xlfn.XLOOKUP('Bulk Order Details'!J148,Length[Display],Length[Price]))</f>
        <v/>
      </c>
      <c r="H138" s="16" t="str">
        <f>IF('Bulk Order Details'!K148="","",_xlfn.XLOOKUP('Bulk Order Details'!K148,Collection[Display],Collection[Price]))</f>
        <v/>
      </c>
      <c r="I138" s="16" t="str">
        <f>IF('Bulk Order Details'!L148="","",_xlfn.XLOOKUP('Bulk Order Details'!L148,Sleeve[Display],Sleeve[Price]))</f>
        <v/>
      </c>
      <c r="J138" s="16" t="str">
        <f>IF('Bulk Order Details'!M148="","",_xlfn.XLOOKUP('Bulk Order Details'!M148,Collar[Display],Collar[Price]))</f>
        <v/>
      </c>
      <c r="K138" s="16" t="str">
        <f>IF('Bulk Order Details'!N148="","",_xlfn.XLOOKUP("Name",Name[Name],Name[Price]))</f>
        <v/>
      </c>
      <c r="L138" s="18" t="str">
        <f>IFERROR(IF('Bulk Order Details'!R148="","",IF(_xlfn.XLOOKUP('Bulk Order Details'!R148,Logos[Display],Logos[Use])="Flat",_xlfn.XLOOKUP('Bulk Order Details'!R148,Logos[Display],Logos[Flat]),ROUND(_xlfn.XLOOKUP('Bulk Order Details'!R148,Logos[Display],Logos[Pct])*$E138,2))),"")</f>
        <v/>
      </c>
      <c r="M138" s="22" t="str">
        <f>IFERROR(IF('Bulk Order Details'!S148="","",IF(_xlfn.XLOOKUP('Bulk Order Details'!S148,Chest[Display],Chest[Use])="Flat",_xlfn.XLOOKUP('Bulk Order Details'!S148,Chest[Display],Chest[Flat]),ROUND(_xlfn.XLOOKUP('Bulk Order Details'!S148,Chest[Display],Chest[Pct])*$E138,2))),"")</f>
        <v/>
      </c>
      <c r="N138" s="22" t="str">
        <f>IFERROR(IF('Bulk Order Details'!T148="","",IF(_xlfn.XLOOKUP('Bulk Order Details'!T148,Chest[Display],Chest[Use])="Flat",_xlfn.XLOOKUP('Bulk Order Details'!T148,Chest[Display],Chest[Flat]),ROUND(_xlfn.XLOOKUP('Bulk Order Details'!T148,Chest[Display],Chest[Pct])*$E138,2))),"")</f>
        <v/>
      </c>
      <c r="O138" s="22" t="str">
        <f>IFERROR(IF('Bulk Order Details'!U148="","",IF(_xlfn.XLOOKUP('Bulk Order Details'!U148,LeftSleeve[Display],LeftSleeve[Use])="Flat",_xlfn.XLOOKUP('Bulk Order Details'!U148,LeftSleeve[Display],LeftSleeve[Flat]),ROUND(_xlfn.XLOOKUP('Bulk Order Details'!U148,LeftSleeve[Display],LeftSleeve[Pct])*$E138,2))),"")</f>
        <v/>
      </c>
      <c r="P138" s="22" t="str">
        <f>IFERROR(IF('Bulk Order Details'!V148="","",IF(_xlfn.XLOOKUP('Bulk Order Details'!V148,RightSleeve[Display],RightSleeve[Use])="Flat",_xlfn.XLOOKUP('Bulk Order Details'!V148,RightSleeve[Display],RightSleeve[Flat]),ROUND(_xlfn.XLOOKUP('Bulk Order Details'!V148,RightSleeve[Display],RightSleeve[Pct])*$E138,2))),"")</f>
        <v/>
      </c>
      <c r="Q138" s="27" t="str">
        <f>IF('Bulk Order Details'!M148="","",SUM(F138:P138))</f>
        <v/>
      </c>
      <c r="R138" s="24" t="str">
        <f t="shared" si="11"/>
        <v/>
      </c>
      <c r="S138" s="23" t="str">
        <f>IFERROR(MIN(IF(Summary!$D$11="Yes",-J138,0),IF(H138&gt;0,-J138,0)),"")</f>
        <v/>
      </c>
      <c r="T138" s="16" t="str">
        <f>IFERROR(IF(Summary!$D$10="Yes",-K138,""),"")</f>
        <v/>
      </c>
      <c r="U138" s="18" t="str">
        <f>IFERROR(IF(Summary!$D$12="Yes",-L138,""),"")</f>
        <v/>
      </c>
      <c r="V138" s="25" t="str">
        <f>IF('Bulk Order Details'!M148="","",SUM(R138:U138))</f>
        <v/>
      </c>
      <c r="W138" s="36" t="str">
        <f>IF('Bulk Order Details'!M148="","",D138+Q138)</f>
        <v/>
      </c>
      <c r="X138" s="37" t="str">
        <f>IF('Bulk Order Details'!M148="","",D138+Q138+V138)</f>
        <v/>
      </c>
      <c r="Y138" s="168" t="str">
        <f t="shared" si="10"/>
        <v/>
      </c>
      <c r="Z138" s="173" t="str">
        <f>IF('Bulk Order Details'!M148="","",MAX(1,'Bulk Order Details'!G148))</f>
        <v/>
      </c>
      <c r="AA138" s="196" t="str">
        <f>IF(Pricing_Details[[#This Row],[Quantity]]="","",Pricing_Details[[#This Row],[Retail Price]]*Pricing_Details[[#This Row],[Quantity]])</f>
        <v/>
      </c>
      <c r="AB138" s="196" t="str">
        <f>IF(Pricing_Details[[#This Row],[Quantity]]="","",Pricing_Details[[#This Row],[Total Discount]]*Pricing_Details[[#This Row],[Quantity]])</f>
        <v/>
      </c>
      <c r="AC138" s="176" t="str">
        <f>IFERROR(ROUND(Pricing_Details[[#This Row],[Actual Price]]*Pricing_Details[[#This Row],[Quantity]],2),"")</f>
        <v/>
      </c>
      <c r="AE138" s="156" t="str">
        <f>IF('Bulk Order Details'!M148="","",VLOOKUP('Bulk Order Details'!K148,Collection[],3)&amp;VLOOKUP('Bulk Order Details'!M148,Collar[],4)&amp;VLOOKUP('Bulk Order Details'!L148,Sleeve[],4))</f>
        <v/>
      </c>
      <c r="AF138" s="156" t="str">
        <f>IF('Bulk Order Details'!M148="","",LOOKUP('Bulk Order Details'!H148,Cut[Display],Cut[Code])&amp;LOOKUP('Bulk Order Details'!I148,#REF!,#REF!)&amp;IF('Bulk Order Details'!J148="","",LOOKUP('Bulk Order Details'!J148,Length[Display],Length[Code])))</f>
        <v/>
      </c>
      <c r="AG138" s="156" t="str">
        <f>IF('Bulk Order Details'!M148="","",IF('Bulk Order Details'!F148="","",'Bulk Order Details'!F148))</f>
        <v/>
      </c>
      <c r="AH138" s="156" t="str">
        <f>IF('Bulk Order Details'!R148="","","-"&amp;LOOKUP('Bulk Order Details'!R148,#REF!,#REF!))</f>
        <v/>
      </c>
      <c r="AI138" s="156" t="str">
        <f>IF('Bulk Order Details'!S148="","","-"&amp;LOOKUP('Bulk Order Details'!S148,#REF!,#REF!))</f>
        <v/>
      </c>
      <c r="AJ138" s="156" t="str">
        <f>IF('Bulk Order Details'!T148="","","-"&amp;LOOKUP('Bulk Order Details'!T148,#REF!,#REF!))</f>
        <v/>
      </c>
      <c r="AK138" s="156" t="str">
        <f>IF('Bulk Order Details'!U148="","","-"&amp;LOOKUP('Bulk Order Details'!U148,#REF!,#REF!))</f>
        <v/>
      </c>
      <c r="AL138" s="156" t="str">
        <f>IF('Bulk Order Details'!V148="","","-"&amp;LOOKUP('Bulk Order Details'!V148,#REF!,#REF!))</f>
        <v/>
      </c>
      <c r="AM138" s="156" t="str">
        <f t="shared" si="12"/>
        <v/>
      </c>
      <c r="AN138" s="156" t="str">
        <f>IF('Bulk Order Details'!N148="","","Na-"&amp;'Bulk Order Details'!N148)</f>
        <v/>
      </c>
      <c r="AO138" s="156" t="str">
        <f>IF('Bulk Order Details'!Q148="","","Fo-"&amp;'Bulk Order Details'!Q148)</f>
        <v/>
      </c>
      <c r="AP138" s="156" t="str">
        <f t="shared" si="13"/>
        <v/>
      </c>
      <c r="AQ138" s="37" t="str">
        <f t="shared" si="14"/>
        <v/>
      </c>
    </row>
    <row r="139" spans="2:43" ht="15" customHeight="1" x14ac:dyDescent="0.2">
      <c r="B139" s="34">
        <f>'Bulk Order Details'!B149</f>
        <v>136</v>
      </c>
      <c r="C139" s="34" t="str">
        <f>IF('Bulk Order Details'!C149="","",'Bulk Order Details'!C149&amp;" "&amp;'Bulk Order Details'!D149)</f>
        <v/>
      </c>
      <c r="D139" s="31" t="str">
        <f>IF('Bulk Order Details'!M149="","",VLOOKUP(1,Price[],3))</f>
        <v/>
      </c>
      <c r="E139" s="29" t="str">
        <f>IF('Bulk Order Details'!M149="","",Summary!$D$9)</f>
        <v/>
      </c>
      <c r="F139" s="16" t="str">
        <f>IF('Bulk Order Details'!I149="","",_xlfn.XLOOKUP('Bulk Order Details'!I149,Size[Display],Size[Price]))</f>
        <v/>
      </c>
      <c r="G139" s="16" t="str">
        <f>IF('Bulk Order Details'!J149="","",_xlfn.XLOOKUP('Bulk Order Details'!J149,Length[Display],Length[Price]))</f>
        <v/>
      </c>
      <c r="H139" s="16" t="str">
        <f>IF('Bulk Order Details'!K149="","",_xlfn.XLOOKUP('Bulk Order Details'!K149,Collection[Display],Collection[Price]))</f>
        <v/>
      </c>
      <c r="I139" s="16" t="str">
        <f>IF('Bulk Order Details'!L149="","",_xlfn.XLOOKUP('Bulk Order Details'!L149,Sleeve[Display],Sleeve[Price]))</f>
        <v/>
      </c>
      <c r="J139" s="16" t="str">
        <f>IF('Bulk Order Details'!M149="","",_xlfn.XLOOKUP('Bulk Order Details'!M149,Collar[Display],Collar[Price]))</f>
        <v/>
      </c>
      <c r="K139" s="16" t="str">
        <f>IF('Bulk Order Details'!N149="","",_xlfn.XLOOKUP("Name",Name[Name],Name[Price]))</f>
        <v/>
      </c>
      <c r="L139" s="18" t="str">
        <f>IFERROR(IF('Bulk Order Details'!R149="","",IF(_xlfn.XLOOKUP('Bulk Order Details'!R149,Logos[Display],Logos[Use])="Flat",_xlfn.XLOOKUP('Bulk Order Details'!R149,Logos[Display],Logos[Flat]),ROUND(_xlfn.XLOOKUP('Bulk Order Details'!R149,Logos[Display],Logos[Pct])*$E139,2))),"")</f>
        <v/>
      </c>
      <c r="M139" s="22" t="str">
        <f>IFERROR(IF('Bulk Order Details'!S149="","",IF(_xlfn.XLOOKUP('Bulk Order Details'!S149,Chest[Display],Chest[Use])="Flat",_xlfn.XLOOKUP('Bulk Order Details'!S149,Chest[Display],Chest[Flat]),ROUND(_xlfn.XLOOKUP('Bulk Order Details'!S149,Chest[Display],Chest[Pct])*$E139,2))),"")</f>
        <v/>
      </c>
      <c r="N139" s="22" t="str">
        <f>IFERROR(IF('Bulk Order Details'!T149="","",IF(_xlfn.XLOOKUP('Bulk Order Details'!T149,Chest[Display],Chest[Use])="Flat",_xlfn.XLOOKUP('Bulk Order Details'!T149,Chest[Display],Chest[Flat]),ROUND(_xlfn.XLOOKUP('Bulk Order Details'!T149,Chest[Display],Chest[Pct])*$E139,2))),"")</f>
        <v/>
      </c>
      <c r="O139" s="22" t="str">
        <f>IFERROR(IF('Bulk Order Details'!U149="","",IF(_xlfn.XLOOKUP('Bulk Order Details'!U149,LeftSleeve[Display],LeftSleeve[Use])="Flat",_xlfn.XLOOKUP('Bulk Order Details'!U149,LeftSleeve[Display],LeftSleeve[Flat]),ROUND(_xlfn.XLOOKUP('Bulk Order Details'!U149,LeftSleeve[Display],LeftSleeve[Pct])*$E139,2))),"")</f>
        <v/>
      </c>
      <c r="P139" s="22" t="str">
        <f>IFERROR(IF('Bulk Order Details'!V149="","",IF(_xlfn.XLOOKUP('Bulk Order Details'!V149,RightSleeve[Display],RightSleeve[Use])="Flat",_xlfn.XLOOKUP('Bulk Order Details'!V149,RightSleeve[Display],RightSleeve[Flat]),ROUND(_xlfn.XLOOKUP('Bulk Order Details'!V149,RightSleeve[Display],RightSleeve[Pct])*$E139,2))),"")</f>
        <v/>
      </c>
      <c r="Q139" s="27" t="str">
        <f>IF('Bulk Order Details'!M149="","",SUM(F139:P139))</f>
        <v/>
      </c>
      <c r="R139" s="24" t="str">
        <f t="shared" si="11"/>
        <v/>
      </c>
      <c r="S139" s="23" t="str">
        <f>IFERROR(MIN(IF(Summary!$D$11="Yes",-J139,0),IF(H139&gt;0,-J139,0)),"")</f>
        <v/>
      </c>
      <c r="T139" s="16" t="str">
        <f>IFERROR(IF(Summary!$D$10="Yes",-K139,""),"")</f>
        <v/>
      </c>
      <c r="U139" s="18" t="str">
        <f>IFERROR(IF(Summary!$D$12="Yes",-L139,""),"")</f>
        <v/>
      </c>
      <c r="V139" s="25" t="str">
        <f>IF('Bulk Order Details'!M149="","",SUM(R139:U139))</f>
        <v/>
      </c>
      <c r="W139" s="36" t="str">
        <f>IF('Bulk Order Details'!M149="","",D139+Q139)</f>
        <v/>
      </c>
      <c r="X139" s="37" t="str">
        <f>IF('Bulk Order Details'!M149="","",D139+Q139+V139)</f>
        <v/>
      </c>
      <c r="Y139" s="168" t="str">
        <f t="shared" si="10"/>
        <v/>
      </c>
      <c r="Z139" s="173" t="str">
        <f>IF('Bulk Order Details'!M149="","",MAX(1,'Bulk Order Details'!G149))</f>
        <v/>
      </c>
      <c r="AA139" s="196" t="str">
        <f>IF(Pricing_Details[[#This Row],[Quantity]]="","",Pricing_Details[[#This Row],[Retail Price]]*Pricing_Details[[#This Row],[Quantity]])</f>
        <v/>
      </c>
      <c r="AB139" s="196" t="str">
        <f>IF(Pricing_Details[[#This Row],[Quantity]]="","",Pricing_Details[[#This Row],[Total Discount]]*Pricing_Details[[#This Row],[Quantity]])</f>
        <v/>
      </c>
      <c r="AC139" s="176" t="str">
        <f>IFERROR(ROUND(Pricing_Details[[#This Row],[Actual Price]]*Pricing_Details[[#This Row],[Quantity]],2),"")</f>
        <v/>
      </c>
      <c r="AE139" s="156" t="str">
        <f>IF('Bulk Order Details'!M149="","",VLOOKUP('Bulk Order Details'!K149,Collection[],3)&amp;VLOOKUP('Bulk Order Details'!M149,Collar[],4)&amp;VLOOKUP('Bulk Order Details'!L149,Sleeve[],4))</f>
        <v/>
      </c>
      <c r="AF139" s="156" t="str">
        <f>IF('Bulk Order Details'!M149="","",LOOKUP('Bulk Order Details'!H149,Cut[Display],Cut[Code])&amp;LOOKUP('Bulk Order Details'!I149,#REF!,#REF!)&amp;IF('Bulk Order Details'!J149="","",LOOKUP('Bulk Order Details'!J149,Length[Display],Length[Code])))</f>
        <v/>
      </c>
      <c r="AG139" s="156" t="str">
        <f>IF('Bulk Order Details'!M149="","",IF('Bulk Order Details'!F149="","",'Bulk Order Details'!F149))</f>
        <v/>
      </c>
      <c r="AH139" s="156" t="str">
        <f>IF('Bulk Order Details'!R149="","","-"&amp;LOOKUP('Bulk Order Details'!R149,#REF!,#REF!))</f>
        <v/>
      </c>
      <c r="AI139" s="156" t="str">
        <f>IF('Bulk Order Details'!S149="","","-"&amp;LOOKUP('Bulk Order Details'!S149,#REF!,#REF!))</f>
        <v/>
      </c>
      <c r="AJ139" s="156" t="str">
        <f>IF('Bulk Order Details'!T149="","","-"&amp;LOOKUP('Bulk Order Details'!T149,#REF!,#REF!))</f>
        <v/>
      </c>
      <c r="AK139" s="156" t="str">
        <f>IF('Bulk Order Details'!U149="","","-"&amp;LOOKUP('Bulk Order Details'!U149,#REF!,#REF!))</f>
        <v/>
      </c>
      <c r="AL139" s="156" t="str">
        <f>IF('Bulk Order Details'!V149="","","-"&amp;LOOKUP('Bulk Order Details'!V149,#REF!,#REF!))</f>
        <v/>
      </c>
      <c r="AM139" s="156" t="str">
        <f t="shared" si="12"/>
        <v/>
      </c>
      <c r="AN139" s="156" t="str">
        <f>IF('Bulk Order Details'!N149="","","Na-"&amp;'Bulk Order Details'!N149)</f>
        <v/>
      </c>
      <c r="AO139" s="156" t="str">
        <f>IF('Bulk Order Details'!Q149="","","Fo-"&amp;'Bulk Order Details'!Q149)</f>
        <v/>
      </c>
      <c r="AP139" s="156" t="str">
        <f t="shared" si="13"/>
        <v/>
      </c>
      <c r="AQ139" s="37" t="str">
        <f t="shared" si="14"/>
        <v/>
      </c>
    </row>
    <row r="140" spans="2:43" ht="15" customHeight="1" x14ac:dyDescent="0.2">
      <c r="B140" s="34">
        <f>'Bulk Order Details'!B150</f>
        <v>137</v>
      </c>
      <c r="C140" s="34" t="str">
        <f>IF('Bulk Order Details'!C150="","",'Bulk Order Details'!C150&amp;" "&amp;'Bulk Order Details'!D150)</f>
        <v/>
      </c>
      <c r="D140" s="31" t="str">
        <f>IF('Bulk Order Details'!M150="","",VLOOKUP(1,Price[],3))</f>
        <v/>
      </c>
      <c r="E140" s="29" t="str">
        <f>IF('Bulk Order Details'!M150="","",Summary!$D$9)</f>
        <v/>
      </c>
      <c r="F140" s="16" t="str">
        <f>IF('Bulk Order Details'!I150="","",_xlfn.XLOOKUP('Bulk Order Details'!I150,Size[Display],Size[Price]))</f>
        <v/>
      </c>
      <c r="G140" s="16" t="str">
        <f>IF('Bulk Order Details'!J150="","",_xlfn.XLOOKUP('Bulk Order Details'!J150,Length[Display],Length[Price]))</f>
        <v/>
      </c>
      <c r="H140" s="16" t="str">
        <f>IF('Bulk Order Details'!K150="","",_xlfn.XLOOKUP('Bulk Order Details'!K150,Collection[Display],Collection[Price]))</f>
        <v/>
      </c>
      <c r="I140" s="16" t="str">
        <f>IF('Bulk Order Details'!L150="","",_xlfn.XLOOKUP('Bulk Order Details'!L150,Sleeve[Display],Sleeve[Price]))</f>
        <v/>
      </c>
      <c r="J140" s="16" t="str">
        <f>IF('Bulk Order Details'!M150="","",_xlfn.XLOOKUP('Bulk Order Details'!M150,Collar[Display],Collar[Price]))</f>
        <v/>
      </c>
      <c r="K140" s="16" t="str">
        <f>IF('Bulk Order Details'!N150="","",_xlfn.XLOOKUP("Name",Name[Name],Name[Price]))</f>
        <v/>
      </c>
      <c r="L140" s="18" t="str">
        <f>IFERROR(IF('Bulk Order Details'!R150="","",IF(_xlfn.XLOOKUP('Bulk Order Details'!R150,Logos[Display],Logos[Use])="Flat",_xlfn.XLOOKUP('Bulk Order Details'!R150,Logos[Display],Logos[Flat]),ROUND(_xlfn.XLOOKUP('Bulk Order Details'!R150,Logos[Display],Logos[Pct])*$E140,2))),"")</f>
        <v/>
      </c>
      <c r="M140" s="22" t="str">
        <f>IFERROR(IF('Bulk Order Details'!S150="","",IF(_xlfn.XLOOKUP('Bulk Order Details'!S150,Chest[Display],Chest[Use])="Flat",_xlfn.XLOOKUP('Bulk Order Details'!S150,Chest[Display],Chest[Flat]),ROUND(_xlfn.XLOOKUP('Bulk Order Details'!S150,Chest[Display],Chest[Pct])*$E140,2))),"")</f>
        <v/>
      </c>
      <c r="N140" s="22" t="str">
        <f>IFERROR(IF('Bulk Order Details'!T150="","",IF(_xlfn.XLOOKUP('Bulk Order Details'!T150,Chest[Display],Chest[Use])="Flat",_xlfn.XLOOKUP('Bulk Order Details'!T150,Chest[Display],Chest[Flat]),ROUND(_xlfn.XLOOKUP('Bulk Order Details'!T150,Chest[Display],Chest[Pct])*$E140,2))),"")</f>
        <v/>
      </c>
      <c r="O140" s="22" t="str">
        <f>IFERROR(IF('Bulk Order Details'!U150="","",IF(_xlfn.XLOOKUP('Bulk Order Details'!U150,LeftSleeve[Display],LeftSleeve[Use])="Flat",_xlfn.XLOOKUP('Bulk Order Details'!U150,LeftSleeve[Display],LeftSleeve[Flat]),ROUND(_xlfn.XLOOKUP('Bulk Order Details'!U150,LeftSleeve[Display],LeftSleeve[Pct])*$E140,2))),"")</f>
        <v/>
      </c>
      <c r="P140" s="22" t="str">
        <f>IFERROR(IF('Bulk Order Details'!V150="","",IF(_xlfn.XLOOKUP('Bulk Order Details'!V150,RightSleeve[Display],RightSleeve[Use])="Flat",_xlfn.XLOOKUP('Bulk Order Details'!V150,RightSleeve[Display],RightSleeve[Flat]),ROUND(_xlfn.XLOOKUP('Bulk Order Details'!V150,RightSleeve[Display],RightSleeve[Pct])*$E140,2))),"")</f>
        <v/>
      </c>
      <c r="Q140" s="27" t="str">
        <f>IF('Bulk Order Details'!M150="","",SUM(F140:P140))</f>
        <v/>
      </c>
      <c r="R140" s="24" t="str">
        <f t="shared" si="11"/>
        <v/>
      </c>
      <c r="S140" s="23" t="str">
        <f>IFERROR(MIN(IF(Summary!$D$11="Yes",-J140,0),IF(H140&gt;0,-J140,0)),"")</f>
        <v/>
      </c>
      <c r="T140" s="16" t="str">
        <f>IFERROR(IF(Summary!$D$10="Yes",-K140,""),"")</f>
        <v/>
      </c>
      <c r="U140" s="18" t="str">
        <f>IFERROR(IF(Summary!$D$12="Yes",-L140,""),"")</f>
        <v/>
      </c>
      <c r="V140" s="25" t="str">
        <f>IF('Bulk Order Details'!M150="","",SUM(R140:U140))</f>
        <v/>
      </c>
      <c r="W140" s="36" t="str">
        <f>IF('Bulk Order Details'!M150="","",D140+Q140)</f>
        <v/>
      </c>
      <c r="X140" s="37" t="str">
        <f>IF('Bulk Order Details'!M150="","",D140+Q140+V140)</f>
        <v/>
      </c>
      <c r="Y140" s="168" t="str">
        <f t="shared" si="10"/>
        <v/>
      </c>
      <c r="Z140" s="173" t="str">
        <f>IF('Bulk Order Details'!M150="","",MAX(1,'Bulk Order Details'!G150))</f>
        <v/>
      </c>
      <c r="AA140" s="196" t="str">
        <f>IF(Pricing_Details[[#This Row],[Quantity]]="","",Pricing_Details[[#This Row],[Retail Price]]*Pricing_Details[[#This Row],[Quantity]])</f>
        <v/>
      </c>
      <c r="AB140" s="196" t="str">
        <f>IF(Pricing_Details[[#This Row],[Quantity]]="","",Pricing_Details[[#This Row],[Total Discount]]*Pricing_Details[[#This Row],[Quantity]])</f>
        <v/>
      </c>
      <c r="AC140" s="176" t="str">
        <f>IFERROR(ROUND(Pricing_Details[[#This Row],[Actual Price]]*Pricing_Details[[#This Row],[Quantity]],2),"")</f>
        <v/>
      </c>
      <c r="AE140" s="156" t="str">
        <f>IF('Bulk Order Details'!M150="","",VLOOKUP('Bulk Order Details'!K150,Collection[],3)&amp;VLOOKUP('Bulk Order Details'!M150,Collar[],4)&amp;VLOOKUP('Bulk Order Details'!L150,Sleeve[],4))</f>
        <v/>
      </c>
      <c r="AF140" s="156" t="str">
        <f>IF('Bulk Order Details'!M150="","",LOOKUP('Bulk Order Details'!H150,Cut[Display],Cut[Code])&amp;LOOKUP('Bulk Order Details'!I150,#REF!,#REF!)&amp;IF('Bulk Order Details'!J150="","",LOOKUP('Bulk Order Details'!J150,Length[Display],Length[Code])))</f>
        <v/>
      </c>
      <c r="AG140" s="156" t="str">
        <f>IF('Bulk Order Details'!M150="","",IF('Bulk Order Details'!F150="","",'Bulk Order Details'!F150))</f>
        <v/>
      </c>
      <c r="AH140" s="156" t="str">
        <f>IF('Bulk Order Details'!R150="","","-"&amp;LOOKUP('Bulk Order Details'!R150,#REF!,#REF!))</f>
        <v/>
      </c>
      <c r="AI140" s="156" t="str">
        <f>IF('Bulk Order Details'!S150="","","-"&amp;LOOKUP('Bulk Order Details'!S150,#REF!,#REF!))</f>
        <v/>
      </c>
      <c r="AJ140" s="156" t="str">
        <f>IF('Bulk Order Details'!T150="","","-"&amp;LOOKUP('Bulk Order Details'!T150,#REF!,#REF!))</f>
        <v/>
      </c>
      <c r="AK140" s="156" t="str">
        <f>IF('Bulk Order Details'!U150="","","-"&amp;LOOKUP('Bulk Order Details'!U150,#REF!,#REF!))</f>
        <v/>
      </c>
      <c r="AL140" s="156" t="str">
        <f>IF('Bulk Order Details'!V150="","","-"&amp;LOOKUP('Bulk Order Details'!V150,#REF!,#REF!))</f>
        <v/>
      </c>
      <c r="AM140" s="156" t="str">
        <f t="shared" si="12"/>
        <v/>
      </c>
      <c r="AN140" s="156" t="str">
        <f>IF('Bulk Order Details'!N150="","","Na-"&amp;'Bulk Order Details'!N150)</f>
        <v/>
      </c>
      <c r="AO140" s="156" t="str">
        <f>IF('Bulk Order Details'!Q150="","","Fo-"&amp;'Bulk Order Details'!Q150)</f>
        <v/>
      </c>
      <c r="AP140" s="156" t="str">
        <f t="shared" si="13"/>
        <v/>
      </c>
      <c r="AQ140" s="37" t="str">
        <f t="shared" si="14"/>
        <v/>
      </c>
    </row>
    <row r="141" spans="2:43" ht="15" customHeight="1" x14ac:dyDescent="0.2">
      <c r="B141" s="34">
        <f>'Bulk Order Details'!B151</f>
        <v>138</v>
      </c>
      <c r="C141" s="34" t="str">
        <f>IF('Bulk Order Details'!C151="","",'Bulk Order Details'!C151&amp;" "&amp;'Bulk Order Details'!D151)</f>
        <v/>
      </c>
      <c r="D141" s="31" t="str">
        <f>IF('Bulk Order Details'!M151="","",VLOOKUP(1,Price[],3))</f>
        <v/>
      </c>
      <c r="E141" s="29" t="str">
        <f>IF('Bulk Order Details'!M151="","",Summary!$D$9)</f>
        <v/>
      </c>
      <c r="F141" s="16" t="str">
        <f>IF('Bulk Order Details'!I151="","",_xlfn.XLOOKUP('Bulk Order Details'!I151,Size[Display],Size[Price]))</f>
        <v/>
      </c>
      <c r="G141" s="16" t="str">
        <f>IF('Bulk Order Details'!J151="","",_xlfn.XLOOKUP('Bulk Order Details'!J151,Length[Display],Length[Price]))</f>
        <v/>
      </c>
      <c r="H141" s="16" t="str">
        <f>IF('Bulk Order Details'!K151="","",_xlfn.XLOOKUP('Bulk Order Details'!K151,Collection[Display],Collection[Price]))</f>
        <v/>
      </c>
      <c r="I141" s="16" t="str">
        <f>IF('Bulk Order Details'!L151="","",_xlfn.XLOOKUP('Bulk Order Details'!L151,Sleeve[Display],Sleeve[Price]))</f>
        <v/>
      </c>
      <c r="J141" s="16" t="str">
        <f>IF('Bulk Order Details'!M151="","",_xlfn.XLOOKUP('Bulk Order Details'!M151,Collar[Display],Collar[Price]))</f>
        <v/>
      </c>
      <c r="K141" s="16" t="str">
        <f>IF('Bulk Order Details'!N151="","",_xlfn.XLOOKUP("Name",Name[Name],Name[Price]))</f>
        <v/>
      </c>
      <c r="L141" s="18" t="str">
        <f>IFERROR(IF('Bulk Order Details'!R151="","",IF(_xlfn.XLOOKUP('Bulk Order Details'!R151,Logos[Display],Logos[Use])="Flat",_xlfn.XLOOKUP('Bulk Order Details'!R151,Logos[Display],Logos[Flat]),ROUND(_xlfn.XLOOKUP('Bulk Order Details'!R151,Logos[Display],Logos[Pct])*$E141,2))),"")</f>
        <v/>
      </c>
      <c r="M141" s="22" t="str">
        <f>IFERROR(IF('Bulk Order Details'!S151="","",IF(_xlfn.XLOOKUP('Bulk Order Details'!S151,Chest[Display],Chest[Use])="Flat",_xlfn.XLOOKUP('Bulk Order Details'!S151,Chest[Display],Chest[Flat]),ROUND(_xlfn.XLOOKUP('Bulk Order Details'!S151,Chest[Display],Chest[Pct])*$E141,2))),"")</f>
        <v/>
      </c>
      <c r="N141" s="22" t="str">
        <f>IFERROR(IF('Bulk Order Details'!T151="","",IF(_xlfn.XLOOKUP('Bulk Order Details'!T151,Chest[Display],Chest[Use])="Flat",_xlfn.XLOOKUP('Bulk Order Details'!T151,Chest[Display],Chest[Flat]),ROUND(_xlfn.XLOOKUP('Bulk Order Details'!T151,Chest[Display],Chest[Pct])*$E141,2))),"")</f>
        <v/>
      </c>
      <c r="O141" s="22" t="str">
        <f>IFERROR(IF('Bulk Order Details'!U151="","",IF(_xlfn.XLOOKUP('Bulk Order Details'!U151,LeftSleeve[Display],LeftSleeve[Use])="Flat",_xlfn.XLOOKUP('Bulk Order Details'!U151,LeftSleeve[Display],LeftSleeve[Flat]),ROUND(_xlfn.XLOOKUP('Bulk Order Details'!U151,LeftSleeve[Display],LeftSleeve[Pct])*$E141,2))),"")</f>
        <v/>
      </c>
      <c r="P141" s="22" t="str">
        <f>IFERROR(IF('Bulk Order Details'!V151="","",IF(_xlfn.XLOOKUP('Bulk Order Details'!V151,RightSleeve[Display],RightSleeve[Use])="Flat",_xlfn.XLOOKUP('Bulk Order Details'!V151,RightSleeve[Display],RightSleeve[Flat]),ROUND(_xlfn.XLOOKUP('Bulk Order Details'!V151,RightSleeve[Display],RightSleeve[Pct])*$E141,2))),"")</f>
        <v/>
      </c>
      <c r="Q141" s="27" t="str">
        <f>IF('Bulk Order Details'!M151="","",SUM(F141:P141))</f>
        <v/>
      </c>
      <c r="R141" s="24" t="str">
        <f t="shared" si="11"/>
        <v/>
      </c>
      <c r="S141" s="23" t="str">
        <f>IFERROR(MIN(IF(Summary!$D$11="Yes",-J141,0),IF(H141&gt;0,-J141,0)),"")</f>
        <v/>
      </c>
      <c r="T141" s="16" t="str">
        <f>IFERROR(IF(Summary!$D$10="Yes",-K141,""),"")</f>
        <v/>
      </c>
      <c r="U141" s="18" t="str">
        <f>IFERROR(IF(Summary!$D$12="Yes",-L141,""),"")</f>
        <v/>
      </c>
      <c r="V141" s="25" t="str">
        <f>IF('Bulk Order Details'!M151="","",SUM(R141:U141))</f>
        <v/>
      </c>
      <c r="W141" s="36" t="str">
        <f>IF('Bulk Order Details'!M151="","",D141+Q141)</f>
        <v/>
      </c>
      <c r="X141" s="37" t="str">
        <f>IF('Bulk Order Details'!M151="","",D141+Q141+V141)</f>
        <v/>
      </c>
      <c r="Y141" s="168" t="str">
        <f t="shared" si="10"/>
        <v/>
      </c>
      <c r="Z141" s="173" t="str">
        <f>IF('Bulk Order Details'!M151="","",MAX(1,'Bulk Order Details'!G151))</f>
        <v/>
      </c>
      <c r="AA141" s="196" t="str">
        <f>IF(Pricing_Details[[#This Row],[Quantity]]="","",Pricing_Details[[#This Row],[Retail Price]]*Pricing_Details[[#This Row],[Quantity]])</f>
        <v/>
      </c>
      <c r="AB141" s="196" t="str">
        <f>IF(Pricing_Details[[#This Row],[Quantity]]="","",Pricing_Details[[#This Row],[Total Discount]]*Pricing_Details[[#This Row],[Quantity]])</f>
        <v/>
      </c>
      <c r="AC141" s="176" t="str">
        <f>IFERROR(ROUND(Pricing_Details[[#This Row],[Actual Price]]*Pricing_Details[[#This Row],[Quantity]],2),"")</f>
        <v/>
      </c>
      <c r="AE141" s="156" t="str">
        <f>IF('Bulk Order Details'!M151="","",VLOOKUP('Bulk Order Details'!K151,Collection[],3)&amp;VLOOKUP('Bulk Order Details'!M151,Collar[],4)&amp;VLOOKUP('Bulk Order Details'!L151,Sleeve[],4))</f>
        <v/>
      </c>
      <c r="AF141" s="156" t="str">
        <f>IF('Bulk Order Details'!M151="","",LOOKUP('Bulk Order Details'!H151,Cut[Display],Cut[Code])&amp;LOOKUP('Bulk Order Details'!I151,#REF!,#REF!)&amp;IF('Bulk Order Details'!J151="","",LOOKUP('Bulk Order Details'!J151,Length[Display],Length[Code])))</f>
        <v/>
      </c>
      <c r="AG141" s="156" t="str">
        <f>IF('Bulk Order Details'!M151="","",IF('Bulk Order Details'!F151="","",'Bulk Order Details'!F151))</f>
        <v/>
      </c>
      <c r="AH141" s="156" t="str">
        <f>IF('Bulk Order Details'!R151="","","-"&amp;LOOKUP('Bulk Order Details'!R151,#REF!,#REF!))</f>
        <v/>
      </c>
      <c r="AI141" s="156" t="str">
        <f>IF('Bulk Order Details'!S151="","","-"&amp;LOOKUP('Bulk Order Details'!S151,#REF!,#REF!))</f>
        <v/>
      </c>
      <c r="AJ141" s="156" t="str">
        <f>IF('Bulk Order Details'!T151="","","-"&amp;LOOKUP('Bulk Order Details'!T151,#REF!,#REF!))</f>
        <v/>
      </c>
      <c r="AK141" s="156" t="str">
        <f>IF('Bulk Order Details'!U151="","","-"&amp;LOOKUP('Bulk Order Details'!U151,#REF!,#REF!))</f>
        <v/>
      </c>
      <c r="AL141" s="156" t="str">
        <f>IF('Bulk Order Details'!V151="","","-"&amp;LOOKUP('Bulk Order Details'!V151,#REF!,#REF!))</f>
        <v/>
      </c>
      <c r="AM141" s="156" t="str">
        <f t="shared" si="12"/>
        <v/>
      </c>
      <c r="AN141" s="156" t="str">
        <f>IF('Bulk Order Details'!N151="","","Na-"&amp;'Bulk Order Details'!N151)</f>
        <v/>
      </c>
      <c r="AO141" s="156" t="str">
        <f>IF('Bulk Order Details'!Q151="","","Fo-"&amp;'Bulk Order Details'!Q151)</f>
        <v/>
      </c>
      <c r="AP141" s="156" t="str">
        <f t="shared" si="13"/>
        <v/>
      </c>
      <c r="AQ141" s="37" t="str">
        <f t="shared" si="14"/>
        <v/>
      </c>
    </row>
    <row r="142" spans="2:43" ht="15" customHeight="1" x14ac:dyDescent="0.2">
      <c r="B142" s="34">
        <f>'Bulk Order Details'!B152</f>
        <v>139</v>
      </c>
      <c r="C142" s="34" t="str">
        <f>IF('Bulk Order Details'!C152="","",'Bulk Order Details'!C152&amp;" "&amp;'Bulk Order Details'!D152)</f>
        <v/>
      </c>
      <c r="D142" s="31" t="str">
        <f>IF('Bulk Order Details'!M152="","",VLOOKUP(1,Price[],3))</f>
        <v/>
      </c>
      <c r="E142" s="29" t="str">
        <f>IF('Bulk Order Details'!M152="","",Summary!$D$9)</f>
        <v/>
      </c>
      <c r="F142" s="16" t="str">
        <f>IF('Bulk Order Details'!I152="","",_xlfn.XLOOKUP('Bulk Order Details'!I152,Size[Display],Size[Price]))</f>
        <v/>
      </c>
      <c r="G142" s="16" t="str">
        <f>IF('Bulk Order Details'!J152="","",_xlfn.XLOOKUP('Bulk Order Details'!J152,Length[Display],Length[Price]))</f>
        <v/>
      </c>
      <c r="H142" s="16" t="str">
        <f>IF('Bulk Order Details'!K152="","",_xlfn.XLOOKUP('Bulk Order Details'!K152,Collection[Display],Collection[Price]))</f>
        <v/>
      </c>
      <c r="I142" s="16" t="str">
        <f>IF('Bulk Order Details'!L152="","",_xlfn.XLOOKUP('Bulk Order Details'!L152,Sleeve[Display],Sleeve[Price]))</f>
        <v/>
      </c>
      <c r="J142" s="16" t="str">
        <f>IF('Bulk Order Details'!M152="","",_xlfn.XLOOKUP('Bulk Order Details'!M152,Collar[Display],Collar[Price]))</f>
        <v/>
      </c>
      <c r="K142" s="16" t="str">
        <f>IF('Bulk Order Details'!N152="","",_xlfn.XLOOKUP("Name",Name[Name],Name[Price]))</f>
        <v/>
      </c>
      <c r="L142" s="18" t="str">
        <f>IFERROR(IF('Bulk Order Details'!R152="","",IF(_xlfn.XLOOKUP('Bulk Order Details'!R152,Logos[Display],Logos[Use])="Flat",_xlfn.XLOOKUP('Bulk Order Details'!R152,Logos[Display],Logos[Flat]),ROUND(_xlfn.XLOOKUP('Bulk Order Details'!R152,Logos[Display],Logos[Pct])*$E142,2))),"")</f>
        <v/>
      </c>
      <c r="M142" s="22" t="str">
        <f>IFERROR(IF('Bulk Order Details'!S152="","",IF(_xlfn.XLOOKUP('Bulk Order Details'!S152,Chest[Display],Chest[Use])="Flat",_xlfn.XLOOKUP('Bulk Order Details'!S152,Chest[Display],Chest[Flat]),ROUND(_xlfn.XLOOKUP('Bulk Order Details'!S152,Chest[Display],Chest[Pct])*$E142,2))),"")</f>
        <v/>
      </c>
      <c r="N142" s="22" t="str">
        <f>IFERROR(IF('Bulk Order Details'!T152="","",IF(_xlfn.XLOOKUP('Bulk Order Details'!T152,Chest[Display],Chest[Use])="Flat",_xlfn.XLOOKUP('Bulk Order Details'!T152,Chest[Display],Chest[Flat]),ROUND(_xlfn.XLOOKUP('Bulk Order Details'!T152,Chest[Display],Chest[Pct])*$E142,2))),"")</f>
        <v/>
      </c>
      <c r="O142" s="22" t="str">
        <f>IFERROR(IF('Bulk Order Details'!U152="","",IF(_xlfn.XLOOKUP('Bulk Order Details'!U152,LeftSleeve[Display],LeftSleeve[Use])="Flat",_xlfn.XLOOKUP('Bulk Order Details'!U152,LeftSleeve[Display],LeftSleeve[Flat]),ROUND(_xlfn.XLOOKUP('Bulk Order Details'!U152,LeftSleeve[Display],LeftSleeve[Pct])*$E142,2))),"")</f>
        <v/>
      </c>
      <c r="P142" s="22" t="str">
        <f>IFERROR(IF('Bulk Order Details'!V152="","",IF(_xlfn.XLOOKUP('Bulk Order Details'!V152,RightSleeve[Display],RightSleeve[Use])="Flat",_xlfn.XLOOKUP('Bulk Order Details'!V152,RightSleeve[Display],RightSleeve[Flat]),ROUND(_xlfn.XLOOKUP('Bulk Order Details'!V152,RightSleeve[Display],RightSleeve[Pct])*$E142,2))),"")</f>
        <v/>
      </c>
      <c r="Q142" s="27" t="str">
        <f>IF('Bulk Order Details'!M152="","",SUM(F142:P142))</f>
        <v/>
      </c>
      <c r="R142" s="24" t="str">
        <f t="shared" si="11"/>
        <v/>
      </c>
      <c r="S142" s="23" t="str">
        <f>IFERROR(MIN(IF(Summary!$D$11="Yes",-J142,0),IF(H142&gt;0,-J142,0)),"")</f>
        <v/>
      </c>
      <c r="T142" s="16" t="str">
        <f>IFERROR(IF(Summary!$D$10="Yes",-K142,""),"")</f>
        <v/>
      </c>
      <c r="U142" s="18" t="str">
        <f>IFERROR(IF(Summary!$D$12="Yes",-L142,""),"")</f>
        <v/>
      </c>
      <c r="V142" s="25" t="str">
        <f>IF('Bulk Order Details'!M152="","",SUM(R142:U142))</f>
        <v/>
      </c>
      <c r="W142" s="36" t="str">
        <f>IF('Bulk Order Details'!M152="","",D142+Q142)</f>
        <v/>
      </c>
      <c r="X142" s="37" t="str">
        <f>IF('Bulk Order Details'!M152="","",D142+Q142+V142)</f>
        <v/>
      </c>
      <c r="Y142" s="168" t="str">
        <f t="shared" si="10"/>
        <v/>
      </c>
      <c r="Z142" s="173" t="str">
        <f>IF('Bulk Order Details'!M152="","",MAX(1,'Bulk Order Details'!G152))</f>
        <v/>
      </c>
      <c r="AA142" s="196" t="str">
        <f>IF(Pricing_Details[[#This Row],[Quantity]]="","",Pricing_Details[[#This Row],[Retail Price]]*Pricing_Details[[#This Row],[Quantity]])</f>
        <v/>
      </c>
      <c r="AB142" s="196" t="str">
        <f>IF(Pricing_Details[[#This Row],[Quantity]]="","",Pricing_Details[[#This Row],[Total Discount]]*Pricing_Details[[#This Row],[Quantity]])</f>
        <v/>
      </c>
      <c r="AC142" s="176" t="str">
        <f>IFERROR(ROUND(Pricing_Details[[#This Row],[Actual Price]]*Pricing_Details[[#This Row],[Quantity]],2),"")</f>
        <v/>
      </c>
      <c r="AE142" s="156" t="str">
        <f>IF('Bulk Order Details'!M152="","",VLOOKUP('Bulk Order Details'!K152,Collection[],3)&amp;VLOOKUP('Bulk Order Details'!M152,Collar[],4)&amp;VLOOKUP('Bulk Order Details'!L152,Sleeve[],4))</f>
        <v/>
      </c>
      <c r="AF142" s="156" t="str">
        <f>IF('Bulk Order Details'!M152="","",LOOKUP('Bulk Order Details'!H152,Cut[Display],Cut[Code])&amp;LOOKUP('Bulk Order Details'!I152,#REF!,#REF!)&amp;IF('Bulk Order Details'!J152="","",LOOKUP('Bulk Order Details'!J152,Length[Display],Length[Code])))</f>
        <v/>
      </c>
      <c r="AG142" s="156" t="str">
        <f>IF('Bulk Order Details'!M152="","",IF('Bulk Order Details'!F152="","",'Bulk Order Details'!F152))</f>
        <v/>
      </c>
      <c r="AH142" s="156" t="str">
        <f>IF('Bulk Order Details'!R152="","","-"&amp;LOOKUP('Bulk Order Details'!R152,#REF!,#REF!))</f>
        <v/>
      </c>
      <c r="AI142" s="156" t="str">
        <f>IF('Bulk Order Details'!S152="","","-"&amp;LOOKUP('Bulk Order Details'!S152,#REF!,#REF!))</f>
        <v/>
      </c>
      <c r="AJ142" s="156" t="str">
        <f>IF('Bulk Order Details'!T152="","","-"&amp;LOOKUP('Bulk Order Details'!T152,#REF!,#REF!))</f>
        <v/>
      </c>
      <c r="AK142" s="156" t="str">
        <f>IF('Bulk Order Details'!U152="","","-"&amp;LOOKUP('Bulk Order Details'!U152,#REF!,#REF!))</f>
        <v/>
      </c>
      <c r="AL142" s="156" t="str">
        <f>IF('Bulk Order Details'!V152="","","-"&amp;LOOKUP('Bulk Order Details'!V152,#REF!,#REF!))</f>
        <v/>
      </c>
      <c r="AM142" s="156" t="str">
        <f t="shared" si="12"/>
        <v/>
      </c>
      <c r="AN142" s="156" t="str">
        <f>IF('Bulk Order Details'!N152="","","Na-"&amp;'Bulk Order Details'!N152)</f>
        <v/>
      </c>
      <c r="AO142" s="156" t="str">
        <f>IF('Bulk Order Details'!Q152="","","Fo-"&amp;'Bulk Order Details'!Q152)</f>
        <v/>
      </c>
      <c r="AP142" s="156" t="str">
        <f t="shared" si="13"/>
        <v/>
      </c>
      <c r="AQ142" s="37" t="str">
        <f t="shared" si="14"/>
        <v/>
      </c>
    </row>
    <row r="143" spans="2:43" ht="15" customHeight="1" x14ac:dyDescent="0.2">
      <c r="B143" s="34">
        <f>'Bulk Order Details'!B153</f>
        <v>140</v>
      </c>
      <c r="C143" s="34" t="str">
        <f>IF('Bulk Order Details'!C153="","",'Bulk Order Details'!C153&amp;" "&amp;'Bulk Order Details'!D153)</f>
        <v/>
      </c>
      <c r="D143" s="31" t="str">
        <f>IF('Bulk Order Details'!M153="","",VLOOKUP(1,Price[],3))</f>
        <v/>
      </c>
      <c r="E143" s="29" t="str">
        <f>IF('Bulk Order Details'!M153="","",Summary!$D$9)</f>
        <v/>
      </c>
      <c r="F143" s="16" t="str">
        <f>IF('Bulk Order Details'!I153="","",_xlfn.XLOOKUP('Bulk Order Details'!I153,Size[Display],Size[Price]))</f>
        <v/>
      </c>
      <c r="G143" s="16" t="str">
        <f>IF('Bulk Order Details'!J153="","",_xlfn.XLOOKUP('Bulk Order Details'!J153,Length[Display],Length[Price]))</f>
        <v/>
      </c>
      <c r="H143" s="16" t="str">
        <f>IF('Bulk Order Details'!K153="","",_xlfn.XLOOKUP('Bulk Order Details'!K153,Collection[Display],Collection[Price]))</f>
        <v/>
      </c>
      <c r="I143" s="16" t="str">
        <f>IF('Bulk Order Details'!L153="","",_xlfn.XLOOKUP('Bulk Order Details'!L153,Sleeve[Display],Sleeve[Price]))</f>
        <v/>
      </c>
      <c r="J143" s="16" t="str">
        <f>IF('Bulk Order Details'!M153="","",_xlfn.XLOOKUP('Bulk Order Details'!M153,Collar[Display],Collar[Price]))</f>
        <v/>
      </c>
      <c r="K143" s="16" t="str">
        <f>IF('Bulk Order Details'!N153="","",_xlfn.XLOOKUP("Name",Name[Name],Name[Price]))</f>
        <v/>
      </c>
      <c r="L143" s="18" t="str">
        <f>IFERROR(IF('Bulk Order Details'!R153="","",IF(_xlfn.XLOOKUP('Bulk Order Details'!R153,Logos[Display],Logos[Use])="Flat",_xlfn.XLOOKUP('Bulk Order Details'!R153,Logos[Display],Logos[Flat]),ROUND(_xlfn.XLOOKUP('Bulk Order Details'!R153,Logos[Display],Logos[Pct])*$E143,2))),"")</f>
        <v/>
      </c>
      <c r="M143" s="22" t="str">
        <f>IFERROR(IF('Bulk Order Details'!S153="","",IF(_xlfn.XLOOKUP('Bulk Order Details'!S153,Chest[Display],Chest[Use])="Flat",_xlfn.XLOOKUP('Bulk Order Details'!S153,Chest[Display],Chest[Flat]),ROUND(_xlfn.XLOOKUP('Bulk Order Details'!S153,Chest[Display],Chest[Pct])*$E143,2))),"")</f>
        <v/>
      </c>
      <c r="N143" s="22" t="str">
        <f>IFERROR(IF('Bulk Order Details'!T153="","",IF(_xlfn.XLOOKUP('Bulk Order Details'!T153,Chest[Display],Chest[Use])="Flat",_xlfn.XLOOKUP('Bulk Order Details'!T153,Chest[Display],Chest[Flat]),ROUND(_xlfn.XLOOKUP('Bulk Order Details'!T153,Chest[Display],Chest[Pct])*$E143,2))),"")</f>
        <v/>
      </c>
      <c r="O143" s="22" t="str">
        <f>IFERROR(IF('Bulk Order Details'!U153="","",IF(_xlfn.XLOOKUP('Bulk Order Details'!U153,LeftSleeve[Display],LeftSleeve[Use])="Flat",_xlfn.XLOOKUP('Bulk Order Details'!U153,LeftSleeve[Display],LeftSleeve[Flat]),ROUND(_xlfn.XLOOKUP('Bulk Order Details'!U153,LeftSleeve[Display],LeftSleeve[Pct])*$E143,2))),"")</f>
        <v/>
      </c>
      <c r="P143" s="22" t="str">
        <f>IFERROR(IF('Bulk Order Details'!V153="","",IF(_xlfn.XLOOKUP('Bulk Order Details'!V153,RightSleeve[Display],RightSleeve[Use])="Flat",_xlfn.XLOOKUP('Bulk Order Details'!V153,RightSleeve[Display],RightSleeve[Flat]),ROUND(_xlfn.XLOOKUP('Bulk Order Details'!V153,RightSleeve[Display],RightSleeve[Pct])*$E143,2))),"")</f>
        <v/>
      </c>
      <c r="Q143" s="27" t="str">
        <f>IF('Bulk Order Details'!M153="","",SUM(F143:P143))</f>
        <v/>
      </c>
      <c r="R143" s="24" t="str">
        <f t="shared" si="11"/>
        <v/>
      </c>
      <c r="S143" s="23" t="str">
        <f>IFERROR(MIN(IF(Summary!$D$11="Yes",-J143,0),IF(H143&gt;0,-J143,0)),"")</f>
        <v/>
      </c>
      <c r="T143" s="16" t="str">
        <f>IFERROR(IF(Summary!$D$10="Yes",-K143,""),"")</f>
        <v/>
      </c>
      <c r="U143" s="18" t="str">
        <f>IFERROR(IF(Summary!$D$12="Yes",-L143,""),"")</f>
        <v/>
      </c>
      <c r="V143" s="25" t="str">
        <f>IF('Bulk Order Details'!M153="","",SUM(R143:U143))</f>
        <v/>
      </c>
      <c r="W143" s="36" t="str">
        <f>IF('Bulk Order Details'!M153="","",D143+Q143)</f>
        <v/>
      </c>
      <c r="X143" s="37" t="str">
        <f>IF('Bulk Order Details'!M153="","",D143+Q143+V143)</f>
        <v/>
      </c>
      <c r="Y143" s="168" t="str">
        <f t="shared" si="10"/>
        <v/>
      </c>
      <c r="Z143" s="173" t="str">
        <f>IF('Bulk Order Details'!M153="","",MAX(1,'Bulk Order Details'!G153))</f>
        <v/>
      </c>
      <c r="AA143" s="196" t="str">
        <f>IF(Pricing_Details[[#This Row],[Quantity]]="","",Pricing_Details[[#This Row],[Retail Price]]*Pricing_Details[[#This Row],[Quantity]])</f>
        <v/>
      </c>
      <c r="AB143" s="196" t="str">
        <f>IF(Pricing_Details[[#This Row],[Quantity]]="","",Pricing_Details[[#This Row],[Total Discount]]*Pricing_Details[[#This Row],[Quantity]])</f>
        <v/>
      </c>
      <c r="AC143" s="176" t="str">
        <f>IFERROR(ROUND(Pricing_Details[[#This Row],[Actual Price]]*Pricing_Details[[#This Row],[Quantity]],2),"")</f>
        <v/>
      </c>
      <c r="AE143" s="156" t="str">
        <f>IF('Bulk Order Details'!M153="","",VLOOKUP('Bulk Order Details'!K153,Collection[],3)&amp;VLOOKUP('Bulk Order Details'!M153,Collar[],4)&amp;VLOOKUP('Bulk Order Details'!L153,Sleeve[],4))</f>
        <v/>
      </c>
      <c r="AF143" s="156" t="str">
        <f>IF('Bulk Order Details'!M153="","",LOOKUP('Bulk Order Details'!H153,Cut[Display],Cut[Code])&amp;LOOKUP('Bulk Order Details'!I153,#REF!,#REF!)&amp;IF('Bulk Order Details'!J153="","",LOOKUP('Bulk Order Details'!J153,Length[Display],Length[Code])))</f>
        <v/>
      </c>
      <c r="AG143" s="156" t="str">
        <f>IF('Bulk Order Details'!M153="","",IF('Bulk Order Details'!F153="","",'Bulk Order Details'!F153))</f>
        <v/>
      </c>
      <c r="AH143" s="156" t="str">
        <f>IF('Bulk Order Details'!R153="","","-"&amp;LOOKUP('Bulk Order Details'!R153,#REF!,#REF!))</f>
        <v/>
      </c>
      <c r="AI143" s="156" t="str">
        <f>IF('Bulk Order Details'!S153="","","-"&amp;LOOKUP('Bulk Order Details'!S153,#REF!,#REF!))</f>
        <v/>
      </c>
      <c r="AJ143" s="156" t="str">
        <f>IF('Bulk Order Details'!T153="","","-"&amp;LOOKUP('Bulk Order Details'!T153,#REF!,#REF!))</f>
        <v/>
      </c>
      <c r="AK143" s="156" t="str">
        <f>IF('Bulk Order Details'!U153="","","-"&amp;LOOKUP('Bulk Order Details'!U153,#REF!,#REF!))</f>
        <v/>
      </c>
      <c r="AL143" s="156" t="str">
        <f>IF('Bulk Order Details'!V153="","","-"&amp;LOOKUP('Bulk Order Details'!V153,#REF!,#REF!))</f>
        <v/>
      </c>
      <c r="AM143" s="156" t="str">
        <f t="shared" si="12"/>
        <v/>
      </c>
      <c r="AN143" s="156" t="str">
        <f>IF('Bulk Order Details'!N153="","","Na-"&amp;'Bulk Order Details'!N153)</f>
        <v/>
      </c>
      <c r="AO143" s="156" t="str">
        <f>IF('Bulk Order Details'!Q153="","","Fo-"&amp;'Bulk Order Details'!Q153)</f>
        <v/>
      </c>
      <c r="AP143" s="156" t="str">
        <f t="shared" si="13"/>
        <v/>
      </c>
      <c r="AQ143" s="37" t="str">
        <f t="shared" si="14"/>
        <v/>
      </c>
    </row>
    <row r="144" spans="2:43" ht="15" customHeight="1" x14ac:dyDescent="0.2">
      <c r="B144" s="34">
        <f>'Bulk Order Details'!B154</f>
        <v>141</v>
      </c>
      <c r="C144" s="34" t="str">
        <f>IF('Bulk Order Details'!C154="","",'Bulk Order Details'!C154&amp;" "&amp;'Bulk Order Details'!D154)</f>
        <v/>
      </c>
      <c r="D144" s="31" t="str">
        <f>IF('Bulk Order Details'!M154="","",VLOOKUP(1,Price[],3))</f>
        <v/>
      </c>
      <c r="E144" s="29" t="str">
        <f>IF('Bulk Order Details'!M154="","",Summary!$D$9)</f>
        <v/>
      </c>
      <c r="F144" s="16" t="str">
        <f>IF('Bulk Order Details'!I154="","",_xlfn.XLOOKUP('Bulk Order Details'!I154,Size[Display],Size[Price]))</f>
        <v/>
      </c>
      <c r="G144" s="16" t="str">
        <f>IF('Bulk Order Details'!J154="","",_xlfn.XLOOKUP('Bulk Order Details'!J154,Length[Display],Length[Price]))</f>
        <v/>
      </c>
      <c r="H144" s="16" t="str">
        <f>IF('Bulk Order Details'!K154="","",_xlfn.XLOOKUP('Bulk Order Details'!K154,Collection[Display],Collection[Price]))</f>
        <v/>
      </c>
      <c r="I144" s="16" t="str">
        <f>IF('Bulk Order Details'!L154="","",_xlfn.XLOOKUP('Bulk Order Details'!L154,Sleeve[Display],Sleeve[Price]))</f>
        <v/>
      </c>
      <c r="J144" s="16" t="str">
        <f>IF('Bulk Order Details'!M154="","",_xlfn.XLOOKUP('Bulk Order Details'!M154,Collar[Display],Collar[Price]))</f>
        <v/>
      </c>
      <c r="K144" s="16" t="str">
        <f>IF('Bulk Order Details'!N154="","",_xlfn.XLOOKUP("Name",Name[Name],Name[Price]))</f>
        <v/>
      </c>
      <c r="L144" s="18" t="str">
        <f>IFERROR(IF('Bulk Order Details'!R154="","",IF(_xlfn.XLOOKUP('Bulk Order Details'!R154,Logos[Display],Logos[Use])="Flat",_xlfn.XLOOKUP('Bulk Order Details'!R154,Logos[Display],Logos[Flat]),ROUND(_xlfn.XLOOKUP('Bulk Order Details'!R154,Logos[Display],Logos[Pct])*$E144,2))),"")</f>
        <v/>
      </c>
      <c r="M144" s="22" t="str">
        <f>IFERROR(IF('Bulk Order Details'!S154="","",IF(_xlfn.XLOOKUP('Bulk Order Details'!S154,Chest[Display],Chest[Use])="Flat",_xlfn.XLOOKUP('Bulk Order Details'!S154,Chest[Display],Chest[Flat]),ROUND(_xlfn.XLOOKUP('Bulk Order Details'!S154,Chest[Display],Chest[Pct])*$E144,2))),"")</f>
        <v/>
      </c>
      <c r="N144" s="22" t="str">
        <f>IFERROR(IF('Bulk Order Details'!T154="","",IF(_xlfn.XLOOKUP('Bulk Order Details'!T154,Chest[Display],Chest[Use])="Flat",_xlfn.XLOOKUP('Bulk Order Details'!T154,Chest[Display],Chest[Flat]),ROUND(_xlfn.XLOOKUP('Bulk Order Details'!T154,Chest[Display],Chest[Pct])*$E144,2))),"")</f>
        <v/>
      </c>
      <c r="O144" s="22" t="str">
        <f>IFERROR(IF('Bulk Order Details'!U154="","",IF(_xlfn.XLOOKUP('Bulk Order Details'!U154,LeftSleeve[Display],LeftSleeve[Use])="Flat",_xlfn.XLOOKUP('Bulk Order Details'!U154,LeftSleeve[Display],LeftSleeve[Flat]),ROUND(_xlfn.XLOOKUP('Bulk Order Details'!U154,LeftSleeve[Display],LeftSleeve[Pct])*$E144,2))),"")</f>
        <v/>
      </c>
      <c r="P144" s="22" t="str">
        <f>IFERROR(IF('Bulk Order Details'!V154="","",IF(_xlfn.XLOOKUP('Bulk Order Details'!V154,RightSleeve[Display],RightSleeve[Use])="Flat",_xlfn.XLOOKUP('Bulk Order Details'!V154,RightSleeve[Display],RightSleeve[Flat]),ROUND(_xlfn.XLOOKUP('Bulk Order Details'!V154,RightSleeve[Display],RightSleeve[Pct])*$E144,2))),"")</f>
        <v/>
      </c>
      <c r="Q144" s="27" t="str">
        <f>IF('Bulk Order Details'!M154="","",SUM(F144:P144))</f>
        <v/>
      </c>
      <c r="R144" s="24" t="str">
        <f t="shared" si="11"/>
        <v/>
      </c>
      <c r="S144" s="23" t="str">
        <f>IFERROR(MIN(IF(Summary!$D$11="Yes",-J144,0),IF(H144&gt;0,-J144,0)),"")</f>
        <v/>
      </c>
      <c r="T144" s="16" t="str">
        <f>IFERROR(IF(Summary!$D$10="Yes",-K144,""),"")</f>
        <v/>
      </c>
      <c r="U144" s="18" t="str">
        <f>IFERROR(IF(Summary!$D$12="Yes",-L144,""),"")</f>
        <v/>
      </c>
      <c r="V144" s="25" t="str">
        <f>IF('Bulk Order Details'!M154="","",SUM(R144:U144))</f>
        <v/>
      </c>
      <c r="W144" s="36" t="str">
        <f>IF('Bulk Order Details'!M154="","",D144+Q144)</f>
        <v/>
      </c>
      <c r="X144" s="37" t="str">
        <f>IF('Bulk Order Details'!M154="","",D144+Q144+V144)</f>
        <v/>
      </c>
      <c r="Y144" s="168" t="str">
        <f t="shared" si="10"/>
        <v/>
      </c>
      <c r="Z144" s="173" t="str">
        <f>IF('Bulk Order Details'!M154="","",MAX(1,'Bulk Order Details'!G154))</f>
        <v/>
      </c>
      <c r="AA144" s="196" t="str">
        <f>IF(Pricing_Details[[#This Row],[Quantity]]="","",Pricing_Details[[#This Row],[Retail Price]]*Pricing_Details[[#This Row],[Quantity]])</f>
        <v/>
      </c>
      <c r="AB144" s="196" t="str">
        <f>IF(Pricing_Details[[#This Row],[Quantity]]="","",Pricing_Details[[#This Row],[Total Discount]]*Pricing_Details[[#This Row],[Quantity]])</f>
        <v/>
      </c>
      <c r="AC144" s="176" t="str">
        <f>IFERROR(ROUND(Pricing_Details[[#This Row],[Actual Price]]*Pricing_Details[[#This Row],[Quantity]],2),"")</f>
        <v/>
      </c>
      <c r="AE144" s="156" t="str">
        <f>IF('Bulk Order Details'!M154="","",VLOOKUP('Bulk Order Details'!K154,Collection[],3)&amp;VLOOKUP('Bulk Order Details'!M154,Collar[],4)&amp;VLOOKUP('Bulk Order Details'!L154,Sleeve[],4))</f>
        <v/>
      </c>
      <c r="AF144" s="156" t="str">
        <f>IF('Bulk Order Details'!M154="","",LOOKUP('Bulk Order Details'!H154,Cut[Display],Cut[Code])&amp;LOOKUP('Bulk Order Details'!I154,#REF!,#REF!)&amp;IF('Bulk Order Details'!J154="","",LOOKUP('Bulk Order Details'!J154,Length[Display],Length[Code])))</f>
        <v/>
      </c>
      <c r="AG144" s="156" t="str">
        <f>IF('Bulk Order Details'!M154="","",IF('Bulk Order Details'!F154="","",'Bulk Order Details'!F154))</f>
        <v/>
      </c>
      <c r="AH144" s="156" t="str">
        <f>IF('Bulk Order Details'!R154="","","-"&amp;LOOKUP('Bulk Order Details'!R154,#REF!,#REF!))</f>
        <v/>
      </c>
      <c r="AI144" s="156" t="str">
        <f>IF('Bulk Order Details'!S154="","","-"&amp;LOOKUP('Bulk Order Details'!S154,#REF!,#REF!))</f>
        <v/>
      </c>
      <c r="AJ144" s="156" t="str">
        <f>IF('Bulk Order Details'!T154="","","-"&amp;LOOKUP('Bulk Order Details'!T154,#REF!,#REF!))</f>
        <v/>
      </c>
      <c r="AK144" s="156" t="str">
        <f>IF('Bulk Order Details'!U154="","","-"&amp;LOOKUP('Bulk Order Details'!U154,#REF!,#REF!))</f>
        <v/>
      </c>
      <c r="AL144" s="156" t="str">
        <f>IF('Bulk Order Details'!V154="","","-"&amp;LOOKUP('Bulk Order Details'!V154,#REF!,#REF!))</f>
        <v/>
      </c>
      <c r="AM144" s="156" t="str">
        <f t="shared" si="12"/>
        <v/>
      </c>
      <c r="AN144" s="156" t="str">
        <f>IF('Bulk Order Details'!N154="","","Na-"&amp;'Bulk Order Details'!N154)</f>
        <v/>
      </c>
      <c r="AO144" s="156" t="str">
        <f>IF('Bulk Order Details'!Q154="","","Fo-"&amp;'Bulk Order Details'!Q154)</f>
        <v/>
      </c>
      <c r="AP144" s="156" t="str">
        <f t="shared" si="13"/>
        <v/>
      </c>
      <c r="AQ144" s="37" t="str">
        <f t="shared" si="14"/>
        <v/>
      </c>
    </row>
    <row r="145" spans="2:43" ht="15" customHeight="1" x14ac:dyDescent="0.2">
      <c r="B145" s="34">
        <f>'Bulk Order Details'!B155</f>
        <v>142</v>
      </c>
      <c r="C145" s="34" t="str">
        <f>IF('Bulk Order Details'!C155="","",'Bulk Order Details'!C155&amp;" "&amp;'Bulk Order Details'!D155)</f>
        <v/>
      </c>
      <c r="D145" s="31" t="str">
        <f>IF('Bulk Order Details'!M155="","",VLOOKUP(1,Price[],3))</f>
        <v/>
      </c>
      <c r="E145" s="29" t="str">
        <f>IF('Bulk Order Details'!M155="","",Summary!$D$9)</f>
        <v/>
      </c>
      <c r="F145" s="16" t="str">
        <f>IF('Bulk Order Details'!I155="","",_xlfn.XLOOKUP('Bulk Order Details'!I155,Size[Display],Size[Price]))</f>
        <v/>
      </c>
      <c r="G145" s="16" t="str">
        <f>IF('Bulk Order Details'!J155="","",_xlfn.XLOOKUP('Bulk Order Details'!J155,Length[Display],Length[Price]))</f>
        <v/>
      </c>
      <c r="H145" s="16" t="str">
        <f>IF('Bulk Order Details'!K155="","",_xlfn.XLOOKUP('Bulk Order Details'!K155,Collection[Display],Collection[Price]))</f>
        <v/>
      </c>
      <c r="I145" s="16" t="str">
        <f>IF('Bulk Order Details'!L155="","",_xlfn.XLOOKUP('Bulk Order Details'!L155,Sleeve[Display],Sleeve[Price]))</f>
        <v/>
      </c>
      <c r="J145" s="16" t="str">
        <f>IF('Bulk Order Details'!M155="","",_xlfn.XLOOKUP('Bulk Order Details'!M155,Collar[Display],Collar[Price]))</f>
        <v/>
      </c>
      <c r="K145" s="16" t="str">
        <f>IF('Bulk Order Details'!N155="","",_xlfn.XLOOKUP("Name",Name[Name],Name[Price]))</f>
        <v/>
      </c>
      <c r="L145" s="18" t="str">
        <f>IFERROR(IF('Bulk Order Details'!R155="","",IF(_xlfn.XLOOKUP('Bulk Order Details'!R155,Logos[Display],Logos[Use])="Flat",_xlfn.XLOOKUP('Bulk Order Details'!R155,Logos[Display],Logos[Flat]),ROUND(_xlfn.XLOOKUP('Bulk Order Details'!R155,Logos[Display],Logos[Pct])*$E145,2))),"")</f>
        <v/>
      </c>
      <c r="M145" s="22" t="str">
        <f>IFERROR(IF('Bulk Order Details'!S155="","",IF(_xlfn.XLOOKUP('Bulk Order Details'!S155,Chest[Display],Chest[Use])="Flat",_xlfn.XLOOKUP('Bulk Order Details'!S155,Chest[Display],Chest[Flat]),ROUND(_xlfn.XLOOKUP('Bulk Order Details'!S155,Chest[Display],Chest[Pct])*$E145,2))),"")</f>
        <v/>
      </c>
      <c r="N145" s="22" t="str">
        <f>IFERROR(IF('Bulk Order Details'!T155="","",IF(_xlfn.XLOOKUP('Bulk Order Details'!T155,Chest[Display],Chest[Use])="Flat",_xlfn.XLOOKUP('Bulk Order Details'!T155,Chest[Display],Chest[Flat]),ROUND(_xlfn.XLOOKUP('Bulk Order Details'!T155,Chest[Display],Chest[Pct])*$E145,2))),"")</f>
        <v/>
      </c>
      <c r="O145" s="22" t="str">
        <f>IFERROR(IF('Bulk Order Details'!U155="","",IF(_xlfn.XLOOKUP('Bulk Order Details'!U155,LeftSleeve[Display],LeftSleeve[Use])="Flat",_xlfn.XLOOKUP('Bulk Order Details'!U155,LeftSleeve[Display],LeftSleeve[Flat]),ROUND(_xlfn.XLOOKUP('Bulk Order Details'!U155,LeftSleeve[Display],LeftSleeve[Pct])*$E145,2))),"")</f>
        <v/>
      </c>
      <c r="P145" s="22" t="str">
        <f>IFERROR(IF('Bulk Order Details'!V155="","",IF(_xlfn.XLOOKUP('Bulk Order Details'!V155,RightSleeve[Display],RightSleeve[Use])="Flat",_xlfn.XLOOKUP('Bulk Order Details'!V155,RightSleeve[Display],RightSleeve[Flat]),ROUND(_xlfn.XLOOKUP('Bulk Order Details'!V155,RightSleeve[Display],RightSleeve[Pct])*$E145,2))),"")</f>
        <v/>
      </c>
      <c r="Q145" s="27" t="str">
        <f>IF('Bulk Order Details'!M155="","",SUM(F145:P145))</f>
        <v/>
      </c>
      <c r="R145" s="24" t="str">
        <f t="shared" si="11"/>
        <v/>
      </c>
      <c r="S145" s="23" t="str">
        <f>IFERROR(MIN(IF(Summary!$D$11="Yes",-J145,0),IF(H145&gt;0,-J145,0)),"")</f>
        <v/>
      </c>
      <c r="T145" s="16" t="str">
        <f>IFERROR(IF(Summary!$D$10="Yes",-K145,""),"")</f>
        <v/>
      </c>
      <c r="U145" s="18" t="str">
        <f>IFERROR(IF(Summary!$D$12="Yes",-L145,""),"")</f>
        <v/>
      </c>
      <c r="V145" s="25" t="str">
        <f>IF('Bulk Order Details'!M155="","",SUM(R145:U145))</f>
        <v/>
      </c>
      <c r="W145" s="36" t="str">
        <f>IF('Bulk Order Details'!M155="","",D145+Q145)</f>
        <v/>
      </c>
      <c r="X145" s="37" t="str">
        <f>IF('Bulk Order Details'!M155="","",D145+Q145+V145)</f>
        <v/>
      </c>
      <c r="Y145" s="168" t="str">
        <f t="shared" si="10"/>
        <v/>
      </c>
      <c r="Z145" s="173" t="str">
        <f>IF('Bulk Order Details'!M155="","",MAX(1,'Bulk Order Details'!G155))</f>
        <v/>
      </c>
      <c r="AA145" s="196" t="str">
        <f>IF(Pricing_Details[[#This Row],[Quantity]]="","",Pricing_Details[[#This Row],[Retail Price]]*Pricing_Details[[#This Row],[Quantity]])</f>
        <v/>
      </c>
      <c r="AB145" s="196" t="str">
        <f>IF(Pricing_Details[[#This Row],[Quantity]]="","",Pricing_Details[[#This Row],[Total Discount]]*Pricing_Details[[#This Row],[Quantity]])</f>
        <v/>
      </c>
      <c r="AC145" s="176" t="str">
        <f>IFERROR(ROUND(Pricing_Details[[#This Row],[Actual Price]]*Pricing_Details[[#This Row],[Quantity]],2),"")</f>
        <v/>
      </c>
      <c r="AE145" s="156" t="str">
        <f>IF('Bulk Order Details'!M155="","",VLOOKUP('Bulk Order Details'!K155,Collection[],3)&amp;VLOOKUP('Bulk Order Details'!M155,Collar[],4)&amp;VLOOKUP('Bulk Order Details'!L155,Sleeve[],4))</f>
        <v/>
      </c>
      <c r="AF145" s="156" t="str">
        <f>IF('Bulk Order Details'!M155="","",LOOKUP('Bulk Order Details'!H155,Cut[Display],Cut[Code])&amp;LOOKUP('Bulk Order Details'!I155,#REF!,#REF!)&amp;IF('Bulk Order Details'!J155="","",LOOKUP('Bulk Order Details'!J155,Length[Display],Length[Code])))</f>
        <v/>
      </c>
      <c r="AG145" s="156" t="str">
        <f>IF('Bulk Order Details'!M155="","",IF('Bulk Order Details'!F155="","",'Bulk Order Details'!F155))</f>
        <v/>
      </c>
      <c r="AH145" s="156" t="str">
        <f>IF('Bulk Order Details'!R155="","","-"&amp;LOOKUP('Bulk Order Details'!R155,#REF!,#REF!))</f>
        <v/>
      </c>
      <c r="AI145" s="156" t="str">
        <f>IF('Bulk Order Details'!S155="","","-"&amp;LOOKUP('Bulk Order Details'!S155,#REF!,#REF!))</f>
        <v/>
      </c>
      <c r="AJ145" s="156" t="str">
        <f>IF('Bulk Order Details'!T155="","","-"&amp;LOOKUP('Bulk Order Details'!T155,#REF!,#REF!))</f>
        <v/>
      </c>
      <c r="AK145" s="156" t="str">
        <f>IF('Bulk Order Details'!U155="","","-"&amp;LOOKUP('Bulk Order Details'!U155,#REF!,#REF!))</f>
        <v/>
      </c>
      <c r="AL145" s="156" t="str">
        <f>IF('Bulk Order Details'!V155="","","-"&amp;LOOKUP('Bulk Order Details'!V155,#REF!,#REF!))</f>
        <v/>
      </c>
      <c r="AM145" s="156" t="str">
        <f t="shared" si="12"/>
        <v/>
      </c>
      <c r="AN145" s="156" t="str">
        <f>IF('Bulk Order Details'!N155="","","Na-"&amp;'Bulk Order Details'!N155)</f>
        <v/>
      </c>
      <c r="AO145" s="156" t="str">
        <f>IF('Bulk Order Details'!Q155="","","Fo-"&amp;'Bulk Order Details'!Q155)</f>
        <v/>
      </c>
      <c r="AP145" s="156" t="str">
        <f t="shared" si="13"/>
        <v/>
      </c>
      <c r="AQ145" s="37" t="str">
        <f t="shared" si="14"/>
        <v/>
      </c>
    </row>
    <row r="146" spans="2:43" ht="15" customHeight="1" x14ac:dyDescent="0.2">
      <c r="B146" s="34">
        <f>'Bulk Order Details'!B156</f>
        <v>143</v>
      </c>
      <c r="C146" s="34" t="str">
        <f>IF('Bulk Order Details'!C156="","",'Bulk Order Details'!C156&amp;" "&amp;'Bulk Order Details'!D156)</f>
        <v/>
      </c>
      <c r="D146" s="31" t="str">
        <f>IF('Bulk Order Details'!M156="","",VLOOKUP(1,Price[],3))</f>
        <v/>
      </c>
      <c r="E146" s="29" t="str">
        <f>IF('Bulk Order Details'!M156="","",Summary!$D$9)</f>
        <v/>
      </c>
      <c r="F146" s="16" t="str">
        <f>IF('Bulk Order Details'!I156="","",_xlfn.XLOOKUP('Bulk Order Details'!I156,Size[Display],Size[Price]))</f>
        <v/>
      </c>
      <c r="G146" s="16" t="str">
        <f>IF('Bulk Order Details'!J156="","",_xlfn.XLOOKUP('Bulk Order Details'!J156,Length[Display],Length[Price]))</f>
        <v/>
      </c>
      <c r="H146" s="16" t="str">
        <f>IF('Bulk Order Details'!K156="","",_xlfn.XLOOKUP('Bulk Order Details'!K156,Collection[Display],Collection[Price]))</f>
        <v/>
      </c>
      <c r="I146" s="16" t="str">
        <f>IF('Bulk Order Details'!L156="","",_xlfn.XLOOKUP('Bulk Order Details'!L156,Sleeve[Display],Sleeve[Price]))</f>
        <v/>
      </c>
      <c r="J146" s="16" t="str">
        <f>IF('Bulk Order Details'!M156="","",_xlfn.XLOOKUP('Bulk Order Details'!M156,Collar[Display],Collar[Price]))</f>
        <v/>
      </c>
      <c r="K146" s="16" t="str">
        <f>IF('Bulk Order Details'!N156="","",_xlfn.XLOOKUP("Name",Name[Name],Name[Price]))</f>
        <v/>
      </c>
      <c r="L146" s="18" t="str">
        <f>IFERROR(IF('Bulk Order Details'!R156="","",IF(_xlfn.XLOOKUP('Bulk Order Details'!R156,Logos[Display],Logos[Use])="Flat",_xlfn.XLOOKUP('Bulk Order Details'!R156,Logos[Display],Logos[Flat]),ROUND(_xlfn.XLOOKUP('Bulk Order Details'!R156,Logos[Display],Logos[Pct])*$E146,2))),"")</f>
        <v/>
      </c>
      <c r="M146" s="22" t="str">
        <f>IFERROR(IF('Bulk Order Details'!S156="","",IF(_xlfn.XLOOKUP('Bulk Order Details'!S156,Chest[Display],Chest[Use])="Flat",_xlfn.XLOOKUP('Bulk Order Details'!S156,Chest[Display],Chest[Flat]),ROUND(_xlfn.XLOOKUP('Bulk Order Details'!S156,Chest[Display],Chest[Pct])*$E146,2))),"")</f>
        <v/>
      </c>
      <c r="N146" s="22" t="str">
        <f>IFERROR(IF('Bulk Order Details'!T156="","",IF(_xlfn.XLOOKUP('Bulk Order Details'!T156,Chest[Display],Chest[Use])="Flat",_xlfn.XLOOKUP('Bulk Order Details'!T156,Chest[Display],Chest[Flat]),ROUND(_xlfn.XLOOKUP('Bulk Order Details'!T156,Chest[Display],Chest[Pct])*$E146,2))),"")</f>
        <v/>
      </c>
      <c r="O146" s="22" t="str">
        <f>IFERROR(IF('Bulk Order Details'!U156="","",IF(_xlfn.XLOOKUP('Bulk Order Details'!U156,LeftSleeve[Display],LeftSleeve[Use])="Flat",_xlfn.XLOOKUP('Bulk Order Details'!U156,LeftSleeve[Display],LeftSleeve[Flat]),ROUND(_xlfn.XLOOKUP('Bulk Order Details'!U156,LeftSleeve[Display],LeftSleeve[Pct])*$E146,2))),"")</f>
        <v/>
      </c>
      <c r="P146" s="22" t="str">
        <f>IFERROR(IF('Bulk Order Details'!V156="","",IF(_xlfn.XLOOKUP('Bulk Order Details'!V156,RightSleeve[Display],RightSleeve[Use])="Flat",_xlfn.XLOOKUP('Bulk Order Details'!V156,RightSleeve[Display],RightSleeve[Flat]),ROUND(_xlfn.XLOOKUP('Bulk Order Details'!V156,RightSleeve[Display],RightSleeve[Pct])*$E146,2))),"")</f>
        <v/>
      </c>
      <c r="Q146" s="27" t="str">
        <f>IF('Bulk Order Details'!M156="","",SUM(F146:P146))</f>
        <v/>
      </c>
      <c r="R146" s="24" t="str">
        <f t="shared" si="11"/>
        <v/>
      </c>
      <c r="S146" s="23" t="str">
        <f>IFERROR(MIN(IF(Summary!$D$11="Yes",-J146,0),IF(H146&gt;0,-J146,0)),"")</f>
        <v/>
      </c>
      <c r="T146" s="16" t="str">
        <f>IFERROR(IF(Summary!$D$10="Yes",-K146,""),"")</f>
        <v/>
      </c>
      <c r="U146" s="18" t="str">
        <f>IFERROR(IF(Summary!$D$12="Yes",-L146,""),"")</f>
        <v/>
      </c>
      <c r="V146" s="25" t="str">
        <f>IF('Bulk Order Details'!M156="","",SUM(R146:U146))</f>
        <v/>
      </c>
      <c r="W146" s="36" t="str">
        <f>IF('Bulk Order Details'!M156="","",D146+Q146)</f>
        <v/>
      </c>
      <c r="X146" s="37" t="str">
        <f>IF('Bulk Order Details'!M156="","",D146+Q146+V146)</f>
        <v/>
      </c>
      <c r="Y146" s="168" t="str">
        <f t="shared" si="10"/>
        <v/>
      </c>
      <c r="Z146" s="173" t="str">
        <f>IF('Bulk Order Details'!M156="","",MAX(1,'Bulk Order Details'!G156))</f>
        <v/>
      </c>
      <c r="AA146" s="196" t="str">
        <f>IF(Pricing_Details[[#This Row],[Quantity]]="","",Pricing_Details[[#This Row],[Retail Price]]*Pricing_Details[[#This Row],[Quantity]])</f>
        <v/>
      </c>
      <c r="AB146" s="196" t="str">
        <f>IF(Pricing_Details[[#This Row],[Quantity]]="","",Pricing_Details[[#This Row],[Total Discount]]*Pricing_Details[[#This Row],[Quantity]])</f>
        <v/>
      </c>
      <c r="AC146" s="176" t="str">
        <f>IFERROR(ROUND(Pricing_Details[[#This Row],[Actual Price]]*Pricing_Details[[#This Row],[Quantity]],2),"")</f>
        <v/>
      </c>
      <c r="AE146" s="156" t="str">
        <f>IF('Bulk Order Details'!M156="","",VLOOKUP('Bulk Order Details'!K156,Collection[],3)&amp;VLOOKUP('Bulk Order Details'!M156,Collar[],4)&amp;VLOOKUP('Bulk Order Details'!L156,Sleeve[],4))</f>
        <v/>
      </c>
      <c r="AF146" s="156" t="str">
        <f>IF('Bulk Order Details'!M156="","",LOOKUP('Bulk Order Details'!H156,Cut[Display],Cut[Code])&amp;LOOKUP('Bulk Order Details'!I156,#REF!,#REF!)&amp;IF('Bulk Order Details'!J156="","",LOOKUP('Bulk Order Details'!J156,Length[Display],Length[Code])))</f>
        <v/>
      </c>
      <c r="AG146" s="156" t="str">
        <f>IF('Bulk Order Details'!M156="","",IF('Bulk Order Details'!F156="","",'Bulk Order Details'!F156))</f>
        <v/>
      </c>
      <c r="AH146" s="156" t="str">
        <f>IF('Bulk Order Details'!R156="","","-"&amp;LOOKUP('Bulk Order Details'!R156,#REF!,#REF!))</f>
        <v/>
      </c>
      <c r="AI146" s="156" t="str">
        <f>IF('Bulk Order Details'!S156="","","-"&amp;LOOKUP('Bulk Order Details'!S156,#REF!,#REF!))</f>
        <v/>
      </c>
      <c r="AJ146" s="156" t="str">
        <f>IF('Bulk Order Details'!T156="","","-"&amp;LOOKUP('Bulk Order Details'!T156,#REF!,#REF!))</f>
        <v/>
      </c>
      <c r="AK146" s="156" t="str">
        <f>IF('Bulk Order Details'!U156="","","-"&amp;LOOKUP('Bulk Order Details'!U156,#REF!,#REF!))</f>
        <v/>
      </c>
      <c r="AL146" s="156" t="str">
        <f>IF('Bulk Order Details'!V156="","","-"&amp;LOOKUP('Bulk Order Details'!V156,#REF!,#REF!))</f>
        <v/>
      </c>
      <c r="AM146" s="156" t="str">
        <f t="shared" si="12"/>
        <v/>
      </c>
      <c r="AN146" s="156" t="str">
        <f>IF('Bulk Order Details'!N156="","","Na-"&amp;'Bulk Order Details'!N156)</f>
        <v/>
      </c>
      <c r="AO146" s="156" t="str">
        <f>IF('Bulk Order Details'!Q156="","","Fo-"&amp;'Bulk Order Details'!Q156)</f>
        <v/>
      </c>
      <c r="AP146" s="156" t="str">
        <f t="shared" si="13"/>
        <v/>
      </c>
      <c r="AQ146" s="37" t="str">
        <f t="shared" si="14"/>
        <v/>
      </c>
    </row>
    <row r="147" spans="2:43" ht="15" customHeight="1" x14ac:dyDescent="0.2">
      <c r="B147" s="34">
        <f>'Bulk Order Details'!B157</f>
        <v>144</v>
      </c>
      <c r="C147" s="34" t="str">
        <f>IF('Bulk Order Details'!C157="","",'Bulk Order Details'!C157&amp;" "&amp;'Bulk Order Details'!D157)</f>
        <v/>
      </c>
      <c r="D147" s="31" t="str">
        <f>IF('Bulk Order Details'!M157="","",VLOOKUP(1,Price[],3))</f>
        <v/>
      </c>
      <c r="E147" s="29" t="str">
        <f>IF('Bulk Order Details'!M157="","",Summary!$D$9)</f>
        <v/>
      </c>
      <c r="F147" s="16" t="str">
        <f>IF('Bulk Order Details'!I157="","",_xlfn.XLOOKUP('Bulk Order Details'!I157,Size[Display],Size[Price]))</f>
        <v/>
      </c>
      <c r="G147" s="16" t="str">
        <f>IF('Bulk Order Details'!J157="","",_xlfn.XLOOKUP('Bulk Order Details'!J157,Length[Display],Length[Price]))</f>
        <v/>
      </c>
      <c r="H147" s="16" t="str">
        <f>IF('Bulk Order Details'!K157="","",_xlfn.XLOOKUP('Bulk Order Details'!K157,Collection[Display],Collection[Price]))</f>
        <v/>
      </c>
      <c r="I147" s="16" t="str">
        <f>IF('Bulk Order Details'!L157="","",_xlfn.XLOOKUP('Bulk Order Details'!L157,Sleeve[Display],Sleeve[Price]))</f>
        <v/>
      </c>
      <c r="J147" s="16" t="str">
        <f>IF('Bulk Order Details'!M157="","",_xlfn.XLOOKUP('Bulk Order Details'!M157,Collar[Display],Collar[Price]))</f>
        <v/>
      </c>
      <c r="K147" s="16" t="str">
        <f>IF('Bulk Order Details'!N157="","",_xlfn.XLOOKUP("Name",Name[Name],Name[Price]))</f>
        <v/>
      </c>
      <c r="L147" s="18" t="str">
        <f>IFERROR(IF('Bulk Order Details'!R157="","",IF(_xlfn.XLOOKUP('Bulk Order Details'!R157,Logos[Display],Logos[Use])="Flat",_xlfn.XLOOKUP('Bulk Order Details'!R157,Logos[Display],Logos[Flat]),ROUND(_xlfn.XLOOKUP('Bulk Order Details'!R157,Logos[Display],Logos[Pct])*$E147,2))),"")</f>
        <v/>
      </c>
      <c r="M147" s="22" t="str">
        <f>IFERROR(IF('Bulk Order Details'!S157="","",IF(_xlfn.XLOOKUP('Bulk Order Details'!S157,Chest[Display],Chest[Use])="Flat",_xlfn.XLOOKUP('Bulk Order Details'!S157,Chest[Display],Chest[Flat]),ROUND(_xlfn.XLOOKUP('Bulk Order Details'!S157,Chest[Display],Chest[Pct])*$E147,2))),"")</f>
        <v/>
      </c>
      <c r="N147" s="22" t="str">
        <f>IFERROR(IF('Bulk Order Details'!T157="","",IF(_xlfn.XLOOKUP('Bulk Order Details'!T157,Chest[Display],Chest[Use])="Flat",_xlfn.XLOOKUP('Bulk Order Details'!T157,Chest[Display],Chest[Flat]),ROUND(_xlfn.XLOOKUP('Bulk Order Details'!T157,Chest[Display],Chest[Pct])*$E147,2))),"")</f>
        <v/>
      </c>
      <c r="O147" s="22" t="str">
        <f>IFERROR(IF('Bulk Order Details'!U157="","",IF(_xlfn.XLOOKUP('Bulk Order Details'!U157,LeftSleeve[Display],LeftSleeve[Use])="Flat",_xlfn.XLOOKUP('Bulk Order Details'!U157,LeftSleeve[Display],LeftSleeve[Flat]),ROUND(_xlfn.XLOOKUP('Bulk Order Details'!U157,LeftSleeve[Display],LeftSleeve[Pct])*$E147,2))),"")</f>
        <v/>
      </c>
      <c r="P147" s="22" t="str">
        <f>IFERROR(IF('Bulk Order Details'!V157="","",IF(_xlfn.XLOOKUP('Bulk Order Details'!V157,RightSleeve[Display],RightSleeve[Use])="Flat",_xlfn.XLOOKUP('Bulk Order Details'!V157,RightSleeve[Display],RightSleeve[Flat]),ROUND(_xlfn.XLOOKUP('Bulk Order Details'!V157,RightSleeve[Display],RightSleeve[Pct])*$E147,2))),"")</f>
        <v/>
      </c>
      <c r="Q147" s="27" t="str">
        <f>IF('Bulk Order Details'!M157="","",SUM(F147:P147))</f>
        <v/>
      </c>
      <c r="R147" s="24" t="str">
        <f t="shared" si="11"/>
        <v/>
      </c>
      <c r="S147" s="23" t="str">
        <f>IFERROR(MIN(IF(Summary!$D$11="Yes",-J147,0),IF(H147&gt;0,-J147,0)),"")</f>
        <v/>
      </c>
      <c r="T147" s="16" t="str">
        <f>IFERROR(IF(Summary!$D$10="Yes",-K147,""),"")</f>
        <v/>
      </c>
      <c r="U147" s="18" t="str">
        <f>IFERROR(IF(Summary!$D$12="Yes",-L147,""),"")</f>
        <v/>
      </c>
      <c r="V147" s="25" t="str">
        <f>IF('Bulk Order Details'!M157="","",SUM(R147:U147))</f>
        <v/>
      </c>
      <c r="W147" s="36" t="str">
        <f>IF('Bulk Order Details'!M157="","",D147+Q147)</f>
        <v/>
      </c>
      <c r="X147" s="37" t="str">
        <f>IF('Bulk Order Details'!M157="","",D147+Q147+V147)</f>
        <v/>
      </c>
      <c r="Y147" s="168" t="str">
        <f t="shared" si="10"/>
        <v/>
      </c>
      <c r="Z147" s="173" t="str">
        <f>IF('Bulk Order Details'!M157="","",MAX(1,'Bulk Order Details'!G157))</f>
        <v/>
      </c>
      <c r="AA147" s="196" t="str">
        <f>IF(Pricing_Details[[#This Row],[Quantity]]="","",Pricing_Details[[#This Row],[Retail Price]]*Pricing_Details[[#This Row],[Quantity]])</f>
        <v/>
      </c>
      <c r="AB147" s="196" t="str">
        <f>IF(Pricing_Details[[#This Row],[Quantity]]="","",Pricing_Details[[#This Row],[Total Discount]]*Pricing_Details[[#This Row],[Quantity]])</f>
        <v/>
      </c>
      <c r="AC147" s="176" t="str">
        <f>IFERROR(ROUND(Pricing_Details[[#This Row],[Actual Price]]*Pricing_Details[[#This Row],[Quantity]],2),"")</f>
        <v/>
      </c>
      <c r="AE147" s="156" t="str">
        <f>IF('Bulk Order Details'!M157="","",VLOOKUP('Bulk Order Details'!K157,Collection[],3)&amp;VLOOKUP('Bulk Order Details'!M157,Collar[],4)&amp;VLOOKUP('Bulk Order Details'!L157,Sleeve[],4))</f>
        <v/>
      </c>
      <c r="AF147" s="156" t="str">
        <f>IF('Bulk Order Details'!M157="","",LOOKUP('Bulk Order Details'!H157,Cut[Display],Cut[Code])&amp;LOOKUP('Bulk Order Details'!I157,#REF!,#REF!)&amp;IF('Bulk Order Details'!J157="","",LOOKUP('Bulk Order Details'!J157,Length[Display],Length[Code])))</f>
        <v/>
      </c>
      <c r="AG147" s="156" t="str">
        <f>IF('Bulk Order Details'!M157="","",IF('Bulk Order Details'!F157="","",'Bulk Order Details'!F157))</f>
        <v/>
      </c>
      <c r="AH147" s="156" t="str">
        <f>IF('Bulk Order Details'!R157="","","-"&amp;LOOKUP('Bulk Order Details'!R157,#REF!,#REF!))</f>
        <v/>
      </c>
      <c r="AI147" s="156" t="str">
        <f>IF('Bulk Order Details'!S157="","","-"&amp;LOOKUP('Bulk Order Details'!S157,#REF!,#REF!))</f>
        <v/>
      </c>
      <c r="AJ147" s="156" t="str">
        <f>IF('Bulk Order Details'!T157="","","-"&amp;LOOKUP('Bulk Order Details'!T157,#REF!,#REF!))</f>
        <v/>
      </c>
      <c r="AK147" s="156" t="str">
        <f>IF('Bulk Order Details'!U157="","","-"&amp;LOOKUP('Bulk Order Details'!U157,#REF!,#REF!))</f>
        <v/>
      </c>
      <c r="AL147" s="156" t="str">
        <f>IF('Bulk Order Details'!V157="","","-"&amp;LOOKUP('Bulk Order Details'!V157,#REF!,#REF!))</f>
        <v/>
      </c>
      <c r="AM147" s="156" t="str">
        <f t="shared" si="12"/>
        <v/>
      </c>
      <c r="AN147" s="156" t="str">
        <f>IF('Bulk Order Details'!N157="","","Na-"&amp;'Bulk Order Details'!N157)</f>
        <v/>
      </c>
      <c r="AO147" s="156" t="str">
        <f>IF('Bulk Order Details'!Q157="","","Fo-"&amp;'Bulk Order Details'!Q157)</f>
        <v/>
      </c>
      <c r="AP147" s="156" t="str">
        <f t="shared" si="13"/>
        <v/>
      </c>
      <c r="AQ147" s="37" t="str">
        <f t="shared" si="14"/>
        <v/>
      </c>
    </row>
    <row r="148" spans="2:43" ht="15" customHeight="1" x14ac:dyDescent="0.2">
      <c r="B148" s="34">
        <f>'Bulk Order Details'!B158</f>
        <v>145</v>
      </c>
      <c r="C148" s="34" t="str">
        <f>IF('Bulk Order Details'!C158="","",'Bulk Order Details'!C158&amp;" "&amp;'Bulk Order Details'!D158)</f>
        <v/>
      </c>
      <c r="D148" s="31" t="str">
        <f>IF('Bulk Order Details'!M158="","",VLOOKUP(1,Price[],3))</f>
        <v/>
      </c>
      <c r="E148" s="29" t="str">
        <f>IF('Bulk Order Details'!M158="","",Summary!$D$9)</f>
        <v/>
      </c>
      <c r="F148" s="16" t="str">
        <f>IF('Bulk Order Details'!I158="","",_xlfn.XLOOKUP('Bulk Order Details'!I158,Size[Display],Size[Price]))</f>
        <v/>
      </c>
      <c r="G148" s="16" t="str">
        <f>IF('Bulk Order Details'!J158="","",_xlfn.XLOOKUP('Bulk Order Details'!J158,Length[Display],Length[Price]))</f>
        <v/>
      </c>
      <c r="H148" s="16" t="str">
        <f>IF('Bulk Order Details'!K158="","",_xlfn.XLOOKUP('Bulk Order Details'!K158,Collection[Display],Collection[Price]))</f>
        <v/>
      </c>
      <c r="I148" s="16" t="str">
        <f>IF('Bulk Order Details'!L158="","",_xlfn.XLOOKUP('Bulk Order Details'!L158,Sleeve[Display],Sleeve[Price]))</f>
        <v/>
      </c>
      <c r="J148" s="16" t="str">
        <f>IF('Bulk Order Details'!M158="","",_xlfn.XLOOKUP('Bulk Order Details'!M158,Collar[Display],Collar[Price]))</f>
        <v/>
      </c>
      <c r="K148" s="16" t="str">
        <f>IF('Bulk Order Details'!N158="","",_xlfn.XLOOKUP("Name",Name[Name],Name[Price]))</f>
        <v/>
      </c>
      <c r="L148" s="18" t="str">
        <f>IFERROR(IF('Bulk Order Details'!R158="","",IF(_xlfn.XLOOKUP('Bulk Order Details'!R158,Logos[Display],Logos[Use])="Flat",_xlfn.XLOOKUP('Bulk Order Details'!R158,Logos[Display],Logos[Flat]),ROUND(_xlfn.XLOOKUP('Bulk Order Details'!R158,Logos[Display],Logos[Pct])*$E148,2))),"")</f>
        <v/>
      </c>
      <c r="M148" s="22" t="str">
        <f>IFERROR(IF('Bulk Order Details'!S158="","",IF(_xlfn.XLOOKUP('Bulk Order Details'!S158,Chest[Display],Chest[Use])="Flat",_xlfn.XLOOKUP('Bulk Order Details'!S158,Chest[Display],Chest[Flat]),ROUND(_xlfn.XLOOKUP('Bulk Order Details'!S158,Chest[Display],Chest[Pct])*$E148,2))),"")</f>
        <v/>
      </c>
      <c r="N148" s="22" t="str">
        <f>IFERROR(IF('Bulk Order Details'!T158="","",IF(_xlfn.XLOOKUP('Bulk Order Details'!T158,Chest[Display],Chest[Use])="Flat",_xlfn.XLOOKUP('Bulk Order Details'!T158,Chest[Display],Chest[Flat]),ROUND(_xlfn.XLOOKUP('Bulk Order Details'!T158,Chest[Display],Chest[Pct])*$E148,2))),"")</f>
        <v/>
      </c>
      <c r="O148" s="22" t="str">
        <f>IFERROR(IF('Bulk Order Details'!U158="","",IF(_xlfn.XLOOKUP('Bulk Order Details'!U158,LeftSleeve[Display],LeftSleeve[Use])="Flat",_xlfn.XLOOKUP('Bulk Order Details'!U158,LeftSleeve[Display],LeftSleeve[Flat]),ROUND(_xlfn.XLOOKUP('Bulk Order Details'!U158,LeftSleeve[Display],LeftSleeve[Pct])*$E148,2))),"")</f>
        <v/>
      </c>
      <c r="P148" s="22" t="str">
        <f>IFERROR(IF('Bulk Order Details'!V158="","",IF(_xlfn.XLOOKUP('Bulk Order Details'!V158,RightSleeve[Display],RightSleeve[Use])="Flat",_xlfn.XLOOKUP('Bulk Order Details'!V158,RightSleeve[Display],RightSleeve[Flat]),ROUND(_xlfn.XLOOKUP('Bulk Order Details'!V158,RightSleeve[Display],RightSleeve[Pct])*$E148,2))),"")</f>
        <v/>
      </c>
      <c r="Q148" s="27" t="str">
        <f>IF('Bulk Order Details'!M158="","",SUM(F148:P148))</f>
        <v/>
      </c>
      <c r="R148" s="24" t="str">
        <f t="shared" si="11"/>
        <v/>
      </c>
      <c r="S148" s="23" t="str">
        <f>IFERROR(MIN(IF(Summary!$D$11="Yes",-J148,0),IF(H148&gt;0,-J148,0)),"")</f>
        <v/>
      </c>
      <c r="T148" s="16" t="str">
        <f>IFERROR(IF(Summary!$D$10="Yes",-K148,""),"")</f>
        <v/>
      </c>
      <c r="U148" s="18" t="str">
        <f>IFERROR(IF(Summary!$D$12="Yes",-L148,""),"")</f>
        <v/>
      </c>
      <c r="V148" s="25" t="str">
        <f>IF('Bulk Order Details'!M158="","",SUM(R148:U148))</f>
        <v/>
      </c>
      <c r="W148" s="36" t="str">
        <f>IF('Bulk Order Details'!M158="","",D148+Q148)</f>
        <v/>
      </c>
      <c r="X148" s="37" t="str">
        <f>IF('Bulk Order Details'!M158="","",D148+Q148+V148)</f>
        <v/>
      </c>
      <c r="Y148" s="168" t="str">
        <f t="shared" si="10"/>
        <v/>
      </c>
      <c r="Z148" s="173" t="str">
        <f>IF('Bulk Order Details'!M158="","",MAX(1,'Bulk Order Details'!G158))</f>
        <v/>
      </c>
      <c r="AA148" s="196" t="str">
        <f>IF(Pricing_Details[[#This Row],[Quantity]]="","",Pricing_Details[[#This Row],[Retail Price]]*Pricing_Details[[#This Row],[Quantity]])</f>
        <v/>
      </c>
      <c r="AB148" s="196" t="str">
        <f>IF(Pricing_Details[[#This Row],[Quantity]]="","",Pricing_Details[[#This Row],[Total Discount]]*Pricing_Details[[#This Row],[Quantity]])</f>
        <v/>
      </c>
      <c r="AC148" s="176" t="str">
        <f>IFERROR(ROUND(Pricing_Details[[#This Row],[Actual Price]]*Pricing_Details[[#This Row],[Quantity]],2),"")</f>
        <v/>
      </c>
      <c r="AE148" s="156" t="str">
        <f>IF('Bulk Order Details'!M158="","",VLOOKUP('Bulk Order Details'!K158,Collection[],3)&amp;VLOOKUP('Bulk Order Details'!M158,Collar[],4)&amp;VLOOKUP('Bulk Order Details'!L158,Sleeve[],4))</f>
        <v/>
      </c>
      <c r="AF148" s="156" t="str">
        <f>IF('Bulk Order Details'!M158="","",LOOKUP('Bulk Order Details'!H158,Cut[Display],Cut[Code])&amp;LOOKUP('Bulk Order Details'!I158,#REF!,#REF!)&amp;IF('Bulk Order Details'!J158="","",LOOKUP('Bulk Order Details'!J158,Length[Display],Length[Code])))</f>
        <v/>
      </c>
      <c r="AG148" s="156" t="str">
        <f>IF('Bulk Order Details'!M158="","",IF('Bulk Order Details'!F158="","",'Bulk Order Details'!F158))</f>
        <v/>
      </c>
      <c r="AH148" s="156" t="str">
        <f>IF('Bulk Order Details'!R158="","","-"&amp;LOOKUP('Bulk Order Details'!R158,#REF!,#REF!))</f>
        <v/>
      </c>
      <c r="AI148" s="156" t="str">
        <f>IF('Bulk Order Details'!S158="","","-"&amp;LOOKUP('Bulk Order Details'!S158,#REF!,#REF!))</f>
        <v/>
      </c>
      <c r="AJ148" s="156" t="str">
        <f>IF('Bulk Order Details'!T158="","","-"&amp;LOOKUP('Bulk Order Details'!T158,#REF!,#REF!))</f>
        <v/>
      </c>
      <c r="AK148" s="156" t="str">
        <f>IF('Bulk Order Details'!U158="","","-"&amp;LOOKUP('Bulk Order Details'!U158,#REF!,#REF!))</f>
        <v/>
      </c>
      <c r="AL148" s="156" t="str">
        <f>IF('Bulk Order Details'!V158="","","-"&amp;LOOKUP('Bulk Order Details'!V158,#REF!,#REF!))</f>
        <v/>
      </c>
      <c r="AM148" s="156" t="str">
        <f t="shared" si="12"/>
        <v/>
      </c>
      <c r="AN148" s="156" t="str">
        <f>IF('Bulk Order Details'!N158="","","Na-"&amp;'Bulk Order Details'!N158)</f>
        <v/>
      </c>
      <c r="AO148" s="156" t="str">
        <f>IF('Bulk Order Details'!Q158="","","Fo-"&amp;'Bulk Order Details'!Q158)</f>
        <v/>
      </c>
      <c r="AP148" s="156" t="str">
        <f t="shared" si="13"/>
        <v/>
      </c>
      <c r="AQ148" s="37" t="str">
        <f t="shared" si="14"/>
        <v/>
      </c>
    </row>
    <row r="149" spans="2:43" ht="15" customHeight="1" x14ac:dyDescent="0.2">
      <c r="B149" s="34">
        <f>'Bulk Order Details'!B159</f>
        <v>146</v>
      </c>
      <c r="C149" s="34" t="str">
        <f>IF('Bulk Order Details'!C159="","",'Bulk Order Details'!C159&amp;" "&amp;'Bulk Order Details'!D159)</f>
        <v/>
      </c>
      <c r="D149" s="31" t="str">
        <f>IF('Bulk Order Details'!M159="","",VLOOKUP(1,Price[],3))</f>
        <v/>
      </c>
      <c r="E149" s="29" t="str">
        <f>IF('Bulk Order Details'!M159="","",Summary!$D$9)</f>
        <v/>
      </c>
      <c r="F149" s="16" t="str">
        <f>IF('Bulk Order Details'!I159="","",_xlfn.XLOOKUP('Bulk Order Details'!I159,Size[Display],Size[Price]))</f>
        <v/>
      </c>
      <c r="G149" s="16" t="str">
        <f>IF('Bulk Order Details'!J159="","",_xlfn.XLOOKUP('Bulk Order Details'!J159,Length[Display],Length[Price]))</f>
        <v/>
      </c>
      <c r="H149" s="16" t="str">
        <f>IF('Bulk Order Details'!K159="","",_xlfn.XLOOKUP('Bulk Order Details'!K159,Collection[Display],Collection[Price]))</f>
        <v/>
      </c>
      <c r="I149" s="16" t="str">
        <f>IF('Bulk Order Details'!L159="","",_xlfn.XLOOKUP('Bulk Order Details'!L159,Sleeve[Display],Sleeve[Price]))</f>
        <v/>
      </c>
      <c r="J149" s="16" t="str">
        <f>IF('Bulk Order Details'!M159="","",_xlfn.XLOOKUP('Bulk Order Details'!M159,Collar[Display],Collar[Price]))</f>
        <v/>
      </c>
      <c r="K149" s="16" t="str">
        <f>IF('Bulk Order Details'!N159="","",_xlfn.XLOOKUP("Name",Name[Name],Name[Price]))</f>
        <v/>
      </c>
      <c r="L149" s="18" t="str">
        <f>IFERROR(IF('Bulk Order Details'!R159="","",IF(_xlfn.XLOOKUP('Bulk Order Details'!R159,Logos[Display],Logos[Use])="Flat",_xlfn.XLOOKUP('Bulk Order Details'!R159,Logos[Display],Logos[Flat]),ROUND(_xlfn.XLOOKUP('Bulk Order Details'!R159,Logos[Display],Logos[Pct])*$E149,2))),"")</f>
        <v/>
      </c>
      <c r="M149" s="22" t="str">
        <f>IFERROR(IF('Bulk Order Details'!S159="","",IF(_xlfn.XLOOKUP('Bulk Order Details'!S159,Chest[Display],Chest[Use])="Flat",_xlfn.XLOOKUP('Bulk Order Details'!S159,Chest[Display],Chest[Flat]),ROUND(_xlfn.XLOOKUP('Bulk Order Details'!S159,Chest[Display],Chest[Pct])*$E149,2))),"")</f>
        <v/>
      </c>
      <c r="N149" s="22" t="str">
        <f>IFERROR(IF('Bulk Order Details'!T159="","",IF(_xlfn.XLOOKUP('Bulk Order Details'!T159,Chest[Display],Chest[Use])="Flat",_xlfn.XLOOKUP('Bulk Order Details'!T159,Chest[Display],Chest[Flat]),ROUND(_xlfn.XLOOKUP('Bulk Order Details'!T159,Chest[Display],Chest[Pct])*$E149,2))),"")</f>
        <v/>
      </c>
      <c r="O149" s="22" t="str">
        <f>IFERROR(IF('Bulk Order Details'!U159="","",IF(_xlfn.XLOOKUP('Bulk Order Details'!U159,LeftSleeve[Display],LeftSleeve[Use])="Flat",_xlfn.XLOOKUP('Bulk Order Details'!U159,LeftSleeve[Display],LeftSleeve[Flat]),ROUND(_xlfn.XLOOKUP('Bulk Order Details'!U159,LeftSleeve[Display],LeftSleeve[Pct])*$E149,2))),"")</f>
        <v/>
      </c>
      <c r="P149" s="22" t="str">
        <f>IFERROR(IF('Bulk Order Details'!V159="","",IF(_xlfn.XLOOKUP('Bulk Order Details'!V159,RightSleeve[Display],RightSleeve[Use])="Flat",_xlfn.XLOOKUP('Bulk Order Details'!V159,RightSleeve[Display],RightSleeve[Flat]),ROUND(_xlfn.XLOOKUP('Bulk Order Details'!V159,RightSleeve[Display],RightSleeve[Pct])*$E149,2))),"")</f>
        <v/>
      </c>
      <c r="Q149" s="27" t="str">
        <f>IF('Bulk Order Details'!M159="","",SUM(F149:P149))</f>
        <v/>
      </c>
      <c r="R149" s="24" t="str">
        <f t="shared" si="11"/>
        <v/>
      </c>
      <c r="S149" s="23" t="str">
        <f>IFERROR(MIN(IF(Summary!$D$11="Yes",-J149,0),IF(H149&gt;0,-J149,0)),"")</f>
        <v/>
      </c>
      <c r="T149" s="16" t="str">
        <f>IFERROR(IF(Summary!$D$10="Yes",-K149,""),"")</f>
        <v/>
      </c>
      <c r="U149" s="18" t="str">
        <f>IFERROR(IF(Summary!$D$12="Yes",-L149,""),"")</f>
        <v/>
      </c>
      <c r="V149" s="25" t="str">
        <f>IF('Bulk Order Details'!M159="","",SUM(R149:U149))</f>
        <v/>
      </c>
      <c r="W149" s="36" t="str">
        <f>IF('Bulk Order Details'!M159="","",D149+Q149)</f>
        <v/>
      </c>
      <c r="X149" s="37" t="str">
        <f>IF('Bulk Order Details'!M159="","",D149+Q149+V149)</f>
        <v/>
      </c>
      <c r="Y149" s="168" t="str">
        <f t="shared" si="10"/>
        <v/>
      </c>
      <c r="Z149" s="173" t="str">
        <f>IF('Bulk Order Details'!M159="","",MAX(1,'Bulk Order Details'!G159))</f>
        <v/>
      </c>
      <c r="AA149" s="196" t="str">
        <f>IF(Pricing_Details[[#This Row],[Quantity]]="","",Pricing_Details[[#This Row],[Retail Price]]*Pricing_Details[[#This Row],[Quantity]])</f>
        <v/>
      </c>
      <c r="AB149" s="196" t="str">
        <f>IF(Pricing_Details[[#This Row],[Quantity]]="","",Pricing_Details[[#This Row],[Total Discount]]*Pricing_Details[[#This Row],[Quantity]])</f>
        <v/>
      </c>
      <c r="AC149" s="176" t="str">
        <f>IFERROR(ROUND(Pricing_Details[[#This Row],[Actual Price]]*Pricing_Details[[#This Row],[Quantity]],2),"")</f>
        <v/>
      </c>
      <c r="AE149" s="156" t="str">
        <f>IF('Bulk Order Details'!M159="","",VLOOKUP('Bulk Order Details'!K159,Collection[],3)&amp;VLOOKUP('Bulk Order Details'!M159,Collar[],4)&amp;VLOOKUP('Bulk Order Details'!L159,Sleeve[],4))</f>
        <v/>
      </c>
      <c r="AF149" s="156" t="str">
        <f>IF('Bulk Order Details'!M159="","",LOOKUP('Bulk Order Details'!H159,Cut[Display],Cut[Code])&amp;LOOKUP('Bulk Order Details'!I159,#REF!,#REF!)&amp;IF('Bulk Order Details'!J159="","",LOOKUP('Bulk Order Details'!J159,Length[Display],Length[Code])))</f>
        <v/>
      </c>
      <c r="AG149" s="156" t="str">
        <f>IF('Bulk Order Details'!M159="","",IF('Bulk Order Details'!F159="","",'Bulk Order Details'!F159))</f>
        <v/>
      </c>
      <c r="AH149" s="156" t="str">
        <f>IF('Bulk Order Details'!R159="","","-"&amp;LOOKUP('Bulk Order Details'!R159,#REF!,#REF!))</f>
        <v/>
      </c>
      <c r="AI149" s="156" t="str">
        <f>IF('Bulk Order Details'!S159="","","-"&amp;LOOKUP('Bulk Order Details'!S159,#REF!,#REF!))</f>
        <v/>
      </c>
      <c r="AJ149" s="156" t="str">
        <f>IF('Bulk Order Details'!T159="","","-"&amp;LOOKUP('Bulk Order Details'!T159,#REF!,#REF!))</f>
        <v/>
      </c>
      <c r="AK149" s="156" t="str">
        <f>IF('Bulk Order Details'!U159="","","-"&amp;LOOKUP('Bulk Order Details'!U159,#REF!,#REF!))</f>
        <v/>
      </c>
      <c r="AL149" s="156" t="str">
        <f>IF('Bulk Order Details'!V159="","","-"&amp;LOOKUP('Bulk Order Details'!V159,#REF!,#REF!))</f>
        <v/>
      </c>
      <c r="AM149" s="156" t="str">
        <f t="shared" si="12"/>
        <v/>
      </c>
      <c r="AN149" s="156" t="str">
        <f>IF('Bulk Order Details'!N159="","","Na-"&amp;'Bulk Order Details'!N159)</f>
        <v/>
      </c>
      <c r="AO149" s="156" t="str">
        <f>IF('Bulk Order Details'!Q159="","","Fo-"&amp;'Bulk Order Details'!Q159)</f>
        <v/>
      </c>
      <c r="AP149" s="156" t="str">
        <f t="shared" si="13"/>
        <v/>
      </c>
      <c r="AQ149" s="37" t="str">
        <f t="shared" si="14"/>
        <v/>
      </c>
    </row>
    <row r="150" spans="2:43" ht="15" customHeight="1" x14ac:dyDescent="0.2">
      <c r="B150" s="34">
        <f>'Bulk Order Details'!B160</f>
        <v>147</v>
      </c>
      <c r="C150" s="34" t="str">
        <f>IF('Bulk Order Details'!C160="","",'Bulk Order Details'!C160&amp;" "&amp;'Bulk Order Details'!D160)</f>
        <v/>
      </c>
      <c r="D150" s="31" t="str">
        <f>IF('Bulk Order Details'!M160="","",VLOOKUP(1,Price[],3))</f>
        <v/>
      </c>
      <c r="E150" s="29" t="str">
        <f>IF('Bulk Order Details'!M160="","",Summary!$D$9)</f>
        <v/>
      </c>
      <c r="F150" s="16" t="str">
        <f>IF('Bulk Order Details'!I160="","",_xlfn.XLOOKUP('Bulk Order Details'!I160,Size[Display],Size[Price]))</f>
        <v/>
      </c>
      <c r="G150" s="16" t="str">
        <f>IF('Bulk Order Details'!J160="","",_xlfn.XLOOKUP('Bulk Order Details'!J160,Length[Display],Length[Price]))</f>
        <v/>
      </c>
      <c r="H150" s="16" t="str">
        <f>IF('Bulk Order Details'!K160="","",_xlfn.XLOOKUP('Bulk Order Details'!K160,Collection[Display],Collection[Price]))</f>
        <v/>
      </c>
      <c r="I150" s="16" t="str">
        <f>IF('Bulk Order Details'!L160="","",_xlfn.XLOOKUP('Bulk Order Details'!L160,Sleeve[Display],Sleeve[Price]))</f>
        <v/>
      </c>
      <c r="J150" s="16" t="str">
        <f>IF('Bulk Order Details'!M160="","",_xlfn.XLOOKUP('Bulk Order Details'!M160,Collar[Display],Collar[Price]))</f>
        <v/>
      </c>
      <c r="K150" s="16" t="str">
        <f>IF('Bulk Order Details'!N160="","",_xlfn.XLOOKUP("Name",Name[Name],Name[Price]))</f>
        <v/>
      </c>
      <c r="L150" s="18" t="str">
        <f>IFERROR(IF('Bulk Order Details'!R160="","",IF(_xlfn.XLOOKUP('Bulk Order Details'!R160,Logos[Display],Logos[Use])="Flat",_xlfn.XLOOKUP('Bulk Order Details'!R160,Logos[Display],Logos[Flat]),ROUND(_xlfn.XLOOKUP('Bulk Order Details'!R160,Logos[Display],Logos[Pct])*$E150,2))),"")</f>
        <v/>
      </c>
      <c r="M150" s="22" t="str">
        <f>IFERROR(IF('Bulk Order Details'!S160="","",IF(_xlfn.XLOOKUP('Bulk Order Details'!S160,Chest[Display],Chest[Use])="Flat",_xlfn.XLOOKUP('Bulk Order Details'!S160,Chest[Display],Chest[Flat]),ROUND(_xlfn.XLOOKUP('Bulk Order Details'!S160,Chest[Display],Chest[Pct])*$E150,2))),"")</f>
        <v/>
      </c>
      <c r="N150" s="22" t="str">
        <f>IFERROR(IF('Bulk Order Details'!T160="","",IF(_xlfn.XLOOKUP('Bulk Order Details'!T160,Chest[Display],Chest[Use])="Flat",_xlfn.XLOOKUP('Bulk Order Details'!T160,Chest[Display],Chest[Flat]),ROUND(_xlfn.XLOOKUP('Bulk Order Details'!T160,Chest[Display],Chest[Pct])*$E150,2))),"")</f>
        <v/>
      </c>
      <c r="O150" s="22" t="str">
        <f>IFERROR(IF('Bulk Order Details'!U160="","",IF(_xlfn.XLOOKUP('Bulk Order Details'!U160,LeftSleeve[Display],LeftSleeve[Use])="Flat",_xlfn.XLOOKUP('Bulk Order Details'!U160,LeftSleeve[Display],LeftSleeve[Flat]),ROUND(_xlfn.XLOOKUP('Bulk Order Details'!U160,LeftSleeve[Display],LeftSleeve[Pct])*$E150,2))),"")</f>
        <v/>
      </c>
      <c r="P150" s="22" t="str">
        <f>IFERROR(IF('Bulk Order Details'!V160="","",IF(_xlfn.XLOOKUP('Bulk Order Details'!V160,RightSleeve[Display],RightSleeve[Use])="Flat",_xlfn.XLOOKUP('Bulk Order Details'!V160,RightSleeve[Display],RightSleeve[Flat]),ROUND(_xlfn.XLOOKUP('Bulk Order Details'!V160,RightSleeve[Display],RightSleeve[Pct])*$E150,2))),"")</f>
        <v/>
      </c>
      <c r="Q150" s="27" t="str">
        <f>IF('Bulk Order Details'!M160="","",SUM(F150:P150))</f>
        <v/>
      </c>
      <c r="R150" s="24" t="str">
        <f t="shared" si="11"/>
        <v/>
      </c>
      <c r="S150" s="23" t="str">
        <f>IFERROR(MIN(IF(Summary!$D$11="Yes",-J150,0),IF(H150&gt;0,-J150,0)),"")</f>
        <v/>
      </c>
      <c r="T150" s="16" t="str">
        <f>IFERROR(IF(Summary!$D$10="Yes",-K150,""),"")</f>
        <v/>
      </c>
      <c r="U150" s="18" t="str">
        <f>IFERROR(IF(Summary!$D$12="Yes",-L150,""),"")</f>
        <v/>
      </c>
      <c r="V150" s="25" t="str">
        <f>IF('Bulk Order Details'!M160="","",SUM(R150:U150))</f>
        <v/>
      </c>
      <c r="W150" s="36" t="str">
        <f>IF('Bulk Order Details'!M160="","",D150+Q150)</f>
        <v/>
      </c>
      <c r="X150" s="37" t="str">
        <f>IF('Bulk Order Details'!M160="","",D150+Q150+V150)</f>
        <v/>
      </c>
      <c r="Y150" s="168" t="str">
        <f t="shared" si="10"/>
        <v/>
      </c>
      <c r="Z150" s="173" t="str">
        <f>IF('Bulk Order Details'!M160="","",MAX(1,'Bulk Order Details'!G160))</f>
        <v/>
      </c>
      <c r="AA150" s="196" t="str">
        <f>IF(Pricing_Details[[#This Row],[Quantity]]="","",Pricing_Details[[#This Row],[Retail Price]]*Pricing_Details[[#This Row],[Quantity]])</f>
        <v/>
      </c>
      <c r="AB150" s="196" t="str">
        <f>IF(Pricing_Details[[#This Row],[Quantity]]="","",Pricing_Details[[#This Row],[Total Discount]]*Pricing_Details[[#This Row],[Quantity]])</f>
        <v/>
      </c>
      <c r="AC150" s="176" t="str">
        <f>IFERROR(ROUND(Pricing_Details[[#This Row],[Actual Price]]*Pricing_Details[[#This Row],[Quantity]],2),"")</f>
        <v/>
      </c>
      <c r="AE150" s="156" t="str">
        <f>IF('Bulk Order Details'!M160="","",VLOOKUP('Bulk Order Details'!K160,Collection[],3)&amp;VLOOKUP('Bulk Order Details'!M160,Collar[],4)&amp;VLOOKUP('Bulk Order Details'!L160,Sleeve[],4))</f>
        <v/>
      </c>
      <c r="AF150" s="156" t="str">
        <f>IF('Bulk Order Details'!M160="","",LOOKUP('Bulk Order Details'!H160,Cut[Display],Cut[Code])&amp;LOOKUP('Bulk Order Details'!I160,#REF!,#REF!)&amp;IF('Bulk Order Details'!J160="","",LOOKUP('Bulk Order Details'!J160,Length[Display],Length[Code])))</f>
        <v/>
      </c>
      <c r="AG150" s="156" t="str">
        <f>IF('Bulk Order Details'!M160="","",IF('Bulk Order Details'!F160="","",'Bulk Order Details'!F160))</f>
        <v/>
      </c>
      <c r="AH150" s="156" t="str">
        <f>IF('Bulk Order Details'!R160="","","-"&amp;LOOKUP('Bulk Order Details'!R160,#REF!,#REF!))</f>
        <v/>
      </c>
      <c r="AI150" s="156" t="str">
        <f>IF('Bulk Order Details'!S160="","","-"&amp;LOOKUP('Bulk Order Details'!S160,#REF!,#REF!))</f>
        <v/>
      </c>
      <c r="AJ150" s="156" t="str">
        <f>IF('Bulk Order Details'!T160="","","-"&amp;LOOKUP('Bulk Order Details'!T160,#REF!,#REF!))</f>
        <v/>
      </c>
      <c r="AK150" s="156" t="str">
        <f>IF('Bulk Order Details'!U160="","","-"&amp;LOOKUP('Bulk Order Details'!U160,#REF!,#REF!))</f>
        <v/>
      </c>
      <c r="AL150" s="156" t="str">
        <f>IF('Bulk Order Details'!V160="","","-"&amp;LOOKUP('Bulk Order Details'!V160,#REF!,#REF!))</f>
        <v/>
      </c>
      <c r="AM150" s="156" t="str">
        <f t="shared" si="12"/>
        <v/>
      </c>
      <c r="AN150" s="156" t="str">
        <f>IF('Bulk Order Details'!N160="","","Na-"&amp;'Bulk Order Details'!N160)</f>
        <v/>
      </c>
      <c r="AO150" s="156" t="str">
        <f>IF('Bulk Order Details'!Q160="","","Fo-"&amp;'Bulk Order Details'!Q160)</f>
        <v/>
      </c>
      <c r="AP150" s="156" t="str">
        <f t="shared" si="13"/>
        <v/>
      </c>
      <c r="AQ150" s="37" t="str">
        <f t="shared" si="14"/>
        <v/>
      </c>
    </row>
    <row r="151" spans="2:43" ht="15" customHeight="1" x14ac:dyDescent="0.2">
      <c r="B151" s="34">
        <f>'Bulk Order Details'!B161</f>
        <v>148</v>
      </c>
      <c r="C151" s="34" t="str">
        <f>IF('Bulk Order Details'!C161="","",'Bulk Order Details'!C161&amp;" "&amp;'Bulk Order Details'!D161)</f>
        <v/>
      </c>
      <c r="D151" s="31" t="str">
        <f>IF('Bulk Order Details'!M161="","",VLOOKUP(1,Price[],3))</f>
        <v/>
      </c>
      <c r="E151" s="29" t="str">
        <f>IF('Bulk Order Details'!M161="","",Summary!$D$9)</f>
        <v/>
      </c>
      <c r="F151" s="16" t="str">
        <f>IF('Bulk Order Details'!I161="","",_xlfn.XLOOKUP('Bulk Order Details'!I161,Size[Display],Size[Price]))</f>
        <v/>
      </c>
      <c r="G151" s="16" t="str">
        <f>IF('Bulk Order Details'!J161="","",_xlfn.XLOOKUP('Bulk Order Details'!J161,Length[Display],Length[Price]))</f>
        <v/>
      </c>
      <c r="H151" s="16" t="str">
        <f>IF('Bulk Order Details'!K161="","",_xlfn.XLOOKUP('Bulk Order Details'!K161,Collection[Display],Collection[Price]))</f>
        <v/>
      </c>
      <c r="I151" s="16" t="str">
        <f>IF('Bulk Order Details'!L161="","",_xlfn.XLOOKUP('Bulk Order Details'!L161,Sleeve[Display],Sleeve[Price]))</f>
        <v/>
      </c>
      <c r="J151" s="16" t="str">
        <f>IF('Bulk Order Details'!M161="","",_xlfn.XLOOKUP('Bulk Order Details'!M161,Collar[Display],Collar[Price]))</f>
        <v/>
      </c>
      <c r="K151" s="16" t="str">
        <f>IF('Bulk Order Details'!N161="","",_xlfn.XLOOKUP("Name",Name[Name],Name[Price]))</f>
        <v/>
      </c>
      <c r="L151" s="18" t="str">
        <f>IFERROR(IF('Bulk Order Details'!R161="","",IF(_xlfn.XLOOKUP('Bulk Order Details'!R161,Logos[Display],Logos[Use])="Flat",_xlfn.XLOOKUP('Bulk Order Details'!R161,Logos[Display],Logos[Flat]),ROUND(_xlfn.XLOOKUP('Bulk Order Details'!R161,Logos[Display],Logos[Pct])*$E151,2))),"")</f>
        <v/>
      </c>
      <c r="M151" s="22" t="str">
        <f>IFERROR(IF('Bulk Order Details'!S161="","",IF(_xlfn.XLOOKUP('Bulk Order Details'!S161,Chest[Display],Chest[Use])="Flat",_xlfn.XLOOKUP('Bulk Order Details'!S161,Chest[Display],Chest[Flat]),ROUND(_xlfn.XLOOKUP('Bulk Order Details'!S161,Chest[Display],Chest[Pct])*$E151,2))),"")</f>
        <v/>
      </c>
      <c r="N151" s="22" t="str">
        <f>IFERROR(IF('Bulk Order Details'!T161="","",IF(_xlfn.XLOOKUP('Bulk Order Details'!T161,Chest[Display],Chest[Use])="Flat",_xlfn.XLOOKUP('Bulk Order Details'!T161,Chest[Display],Chest[Flat]),ROUND(_xlfn.XLOOKUP('Bulk Order Details'!T161,Chest[Display],Chest[Pct])*$E151,2))),"")</f>
        <v/>
      </c>
      <c r="O151" s="22" t="str">
        <f>IFERROR(IF('Bulk Order Details'!U161="","",IF(_xlfn.XLOOKUP('Bulk Order Details'!U161,LeftSleeve[Display],LeftSleeve[Use])="Flat",_xlfn.XLOOKUP('Bulk Order Details'!U161,LeftSleeve[Display],LeftSleeve[Flat]),ROUND(_xlfn.XLOOKUP('Bulk Order Details'!U161,LeftSleeve[Display],LeftSleeve[Pct])*$E151,2))),"")</f>
        <v/>
      </c>
      <c r="P151" s="22" t="str">
        <f>IFERROR(IF('Bulk Order Details'!V161="","",IF(_xlfn.XLOOKUP('Bulk Order Details'!V161,RightSleeve[Display],RightSleeve[Use])="Flat",_xlfn.XLOOKUP('Bulk Order Details'!V161,RightSleeve[Display],RightSleeve[Flat]),ROUND(_xlfn.XLOOKUP('Bulk Order Details'!V161,RightSleeve[Display],RightSleeve[Pct])*$E151,2))),"")</f>
        <v/>
      </c>
      <c r="Q151" s="27" t="str">
        <f>IF('Bulk Order Details'!M161="","",SUM(F151:P151))</f>
        <v/>
      </c>
      <c r="R151" s="24" t="str">
        <f t="shared" si="11"/>
        <v/>
      </c>
      <c r="S151" s="23" t="str">
        <f>IFERROR(MIN(IF(Summary!$D$11="Yes",-J151,0),IF(H151&gt;0,-J151,0)),"")</f>
        <v/>
      </c>
      <c r="T151" s="16" t="str">
        <f>IFERROR(IF(Summary!$D$10="Yes",-K151,""),"")</f>
        <v/>
      </c>
      <c r="U151" s="18" t="str">
        <f>IFERROR(IF(Summary!$D$12="Yes",-L151,""),"")</f>
        <v/>
      </c>
      <c r="V151" s="25" t="str">
        <f>IF('Bulk Order Details'!M161="","",SUM(R151:U151))</f>
        <v/>
      </c>
      <c r="W151" s="36" t="str">
        <f>IF('Bulk Order Details'!M161="","",D151+Q151)</f>
        <v/>
      </c>
      <c r="X151" s="37" t="str">
        <f>IF('Bulk Order Details'!M161="","",D151+Q151+V151)</f>
        <v/>
      </c>
      <c r="Y151" s="168" t="str">
        <f t="shared" si="10"/>
        <v/>
      </c>
      <c r="Z151" s="173" t="str">
        <f>IF('Bulk Order Details'!M161="","",MAX(1,'Bulk Order Details'!G161))</f>
        <v/>
      </c>
      <c r="AA151" s="196" t="str">
        <f>IF(Pricing_Details[[#This Row],[Quantity]]="","",Pricing_Details[[#This Row],[Retail Price]]*Pricing_Details[[#This Row],[Quantity]])</f>
        <v/>
      </c>
      <c r="AB151" s="196" t="str">
        <f>IF(Pricing_Details[[#This Row],[Quantity]]="","",Pricing_Details[[#This Row],[Total Discount]]*Pricing_Details[[#This Row],[Quantity]])</f>
        <v/>
      </c>
      <c r="AC151" s="176" t="str">
        <f>IFERROR(ROUND(Pricing_Details[[#This Row],[Actual Price]]*Pricing_Details[[#This Row],[Quantity]],2),"")</f>
        <v/>
      </c>
      <c r="AE151" s="156" t="str">
        <f>IF('Bulk Order Details'!M161="","",VLOOKUP('Bulk Order Details'!K161,Collection[],3)&amp;VLOOKUP('Bulk Order Details'!M161,Collar[],4)&amp;VLOOKUP('Bulk Order Details'!L161,Sleeve[],4))</f>
        <v/>
      </c>
      <c r="AF151" s="156" t="str">
        <f>IF('Bulk Order Details'!M161="","",LOOKUP('Bulk Order Details'!H161,Cut[Display],Cut[Code])&amp;LOOKUP('Bulk Order Details'!I161,#REF!,#REF!)&amp;IF('Bulk Order Details'!J161="","",LOOKUP('Bulk Order Details'!J161,Length[Display],Length[Code])))</f>
        <v/>
      </c>
      <c r="AG151" s="156" t="str">
        <f>IF('Bulk Order Details'!M161="","",IF('Bulk Order Details'!F161="","",'Bulk Order Details'!F161))</f>
        <v/>
      </c>
      <c r="AH151" s="156" t="str">
        <f>IF('Bulk Order Details'!R161="","","-"&amp;LOOKUP('Bulk Order Details'!R161,#REF!,#REF!))</f>
        <v/>
      </c>
      <c r="AI151" s="156" t="str">
        <f>IF('Bulk Order Details'!S161="","","-"&amp;LOOKUP('Bulk Order Details'!S161,#REF!,#REF!))</f>
        <v/>
      </c>
      <c r="AJ151" s="156" t="str">
        <f>IF('Bulk Order Details'!T161="","","-"&amp;LOOKUP('Bulk Order Details'!T161,#REF!,#REF!))</f>
        <v/>
      </c>
      <c r="AK151" s="156" t="str">
        <f>IF('Bulk Order Details'!U161="","","-"&amp;LOOKUP('Bulk Order Details'!U161,#REF!,#REF!))</f>
        <v/>
      </c>
      <c r="AL151" s="156" t="str">
        <f>IF('Bulk Order Details'!V161="","","-"&amp;LOOKUP('Bulk Order Details'!V161,#REF!,#REF!))</f>
        <v/>
      </c>
      <c r="AM151" s="156" t="str">
        <f t="shared" si="12"/>
        <v/>
      </c>
      <c r="AN151" s="156" t="str">
        <f>IF('Bulk Order Details'!N161="","","Na-"&amp;'Bulk Order Details'!N161)</f>
        <v/>
      </c>
      <c r="AO151" s="156" t="str">
        <f>IF('Bulk Order Details'!Q161="","","Fo-"&amp;'Bulk Order Details'!Q161)</f>
        <v/>
      </c>
      <c r="AP151" s="156" t="str">
        <f t="shared" si="13"/>
        <v/>
      </c>
      <c r="AQ151" s="37" t="str">
        <f t="shared" si="14"/>
        <v/>
      </c>
    </row>
    <row r="152" spans="2:43" ht="15" customHeight="1" x14ac:dyDescent="0.2">
      <c r="B152" s="34">
        <f>'Bulk Order Details'!B162</f>
        <v>149</v>
      </c>
      <c r="C152" s="34" t="str">
        <f>IF('Bulk Order Details'!C162="","",'Bulk Order Details'!C162&amp;" "&amp;'Bulk Order Details'!D162)</f>
        <v/>
      </c>
      <c r="D152" s="31" t="str">
        <f>IF('Bulk Order Details'!M162="","",VLOOKUP(1,Price[],3))</f>
        <v/>
      </c>
      <c r="E152" s="29" t="str">
        <f>IF('Bulk Order Details'!M162="","",Summary!$D$9)</f>
        <v/>
      </c>
      <c r="F152" s="16" t="str">
        <f>IF('Bulk Order Details'!I162="","",_xlfn.XLOOKUP('Bulk Order Details'!I162,Size[Display],Size[Price]))</f>
        <v/>
      </c>
      <c r="G152" s="16" t="str">
        <f>IF('Bulk Order Details'!J162="","",_xlfn.XLOOKUP('Bulk Order Details'!J162,Length[Display],Length[Price]))</f>
        <v/>
      </c>
      <c r="H152" s="16" t="str">
        <f>IF('Bulk Order Details'!K162="","",_xlfn.XLOOKUP('Bulk Order Details'!K162,Collection[Display],Collection[Price]))</f>
        <v/>
      </c>
      <c r="I152" s="16" t="str">
        <f>IF('Bulk Order Details'!L162="","",_xlfn.XLOOKUP('Bulk Order Details'!L162,Sleeve[Display],Sleeve[Price]))</f>
        <v/>
      </c>
      <c r="J152" s="16" t="str">
        <f>IF('Bulk Order Details'!M162="","",_xlfn.XLOOKUP('Bulk Order Details'!M162,Collar[Display],Collar[Price]))</f>
        <v/>
      </c>
      <c r="K152" s="16" t="str">
        <f>IF('Bulk Order Details'!N162="","",_xlfn.XLOOKUP("Name",Name[Name],Name[Price]))</f>
        <v/>
      </c>
      <c r="L152" s="18" t="str">
        <f>IFERROR(IF('Bulk Order Details'!R162="","",IF(_xlfn.XLOOKUP('Bulk Order Details'!R162,Logos[Display],Logos[Use])="Flat",_xlfn.XLOOKUP('Bulk Order Details'!R162,Logos[Display],Logos[Flat]),ROUND(_xlfn.XLOOKUP('Bulk Order Details'!R162,Logos[Display],Logos[Pct])*$E152,2))),"")</f>
        <v/>
      </c>
      <c r="M152" s="22" t="str">
        <f>IFERROR(IF('Bulk Order Details'!S162="","",IF(_xlfn.XLOOKUP('Bulk Order Details'!S162,Chest[Display],Chest[Use])="Flat",_xlfn.XLOOKUP('Bulk Order Details'!S162,Chest[Display],Chest[Flat]),ROUND(_xlfn.XLOOKUP('Bulk Order Details'!S162,Chest[Display],Chest[Pct])*$E152,2))),"")</f>
        <v/>
      </c>
      <c r="N152" s="22" t="str">
        <f>IFERROR(IF('Bulk Order Details'!T162="","",IF(_xlfn.XLOOKUP('Bulk Order Details'!T162,Chest[Display],Chest[Use])="Flat",_xlfn.XLOOKUP('Bulk Order Details'!T162,Chest[Display],Chest[Flat]),ROUND(_xlfn.XLOOKUP('Bulk Order Details'!T162,Chest[Display],Chest[Pct])*$E152,2))),"")</f>
        <v/>
      </c>
      <c r="O152" s="22" t="str">
        <f>IFERROR(IF('Bulk Order Details'!U162="","",IF(_xlfn.XLOOKUP('Bulk Order Details'!U162,LeftSleeve[Display],LeftSleeve[Use])="Flat",_xlfn.XLOOKUP('Bulk Order Details'!U162,LeftSleeve[Display],LeftSleeve[Flat]),ROUND(_xlfn.XLOOKUP('Bulk Order Details'!U162,LeftSleeve[Display],LeftSleeve[Pct])*$E152,2))),"")</f>
        <v/>
      </c>
      <c r="P152" s="22" t="str">
        <f>IFERROR(IF('Bulk Order Details'!V162="","",IF(_xlfn.XLOOKUP('Bulk Order Details'!V162,RightSleeve[Display],RightSleeve[Use])="Flat",_xlfn.XLOOKUP('Bulk Order Details'!V162,RightSleeve[Display],RightSleeve[Flat]),ROUND(_xlfn.XLOOKUP('Bulk Order Details'!V162,RightSleeve[Display],RightSleeve[Pct])*$E152,2))),"")</f>
        <v/>
      </c>
      <c r="Q152" s="27" t="str">
        <f>IF('Bulk Order Details'!M162="","",SUM(F152:P152))</f>
        <v/>
      </c>
      <c r="R152" s="24" t="str">
        <f t="shared" si="11"/>
        <v/>
      </c>
      <c r="S152" s="23" t="str">
        <f>IFERROR(MIN(IF(Summary!$D$11="Yes",-J152,0),IF(H152&gt;0,-J152,0)),"")</f>
        <v/>
      </c>
      <c r="T152" s="16" t="str">
        <f>IFERROR(IF(Summary!$D$10="Yes",-K152,""),"")</f>
        <v/>
      </c>
      <c r="U152" s="18" t="str">
        <f>IFERROR(IF(Summary!$D$12="Yes",-L152,""),"")</f>
        <v/>
      </c>
      <c r="V152" s="25" t="str">
        <f>IF('Bulk Order Details'!M162="","",SUM(R152:U152))</f>
        <v/>
      </c>
      <c r="W152" s="36" t="str">
        <f>IF('Bulk Order Details'!M162="","",D152+Q152)</f>
        <v/>
      </c>
      <c r="X152" s="37" t="str">
        <f>IF('Bulk Order Details'!M162="","",D152+Q152+V152)</f>
        <v/>
      </c>
      <c r="Y152" s="168" t="str">
        <f t="shared" si="10"/>
        <v/>
      </c>
      <c r="Z152" s="173" t="str">
        <f>IF('Bulk Order Details'!M162="","",MAX(1,'Bulk Order Details'!G162))</f>
        <v/>
      </c>
      <c r="AA152" s="196" t="str">
        <f>IF(Pricing_Details[[#This Row],[Quantity]]="","",Pricing_Details[[#This Row],[Retail Price]]*Pricing_Details[[#This Row],[Quantity]])</f>
        <v/>
      </c>
      <c r="AB152" s="196" t="str">
        <f>IF(Pricing_Details[[#This Row],[Quantity]]="","",Pricing_Details[[#This Row],[Total Discount]]*Pricing_Details[[#This Row],[Quantity]])</f>
        <v/>
      </c>
      <c r="AC152" s="176" t="str">
        <f>IFERROR(ROUND(Pricing_Details[[#This Row],[Actual Price]]*Pricing_Details[[#This Row],[Quantity]],2),"")</f>
        <v/>
      </c>
      <c r="AE152" s="156" t="str">
        <f>IF('Bulk Order Details'!M162="","",VLOOKUP('Bulk Order Details'!K162,Collection[],3)&amp;VLOOKUP('Bulk Order Details'!M162,Collar[],4)&amp;VLOOKUP('Bulk Order Details'!L162,Sleeve[],4))</f>
        <v/>
      </c>
      <c r="AF152" s="156" t="str">
        <f>IF('Bulk Order Details'!M162="","",LOOKUP('Bulk Order Details'!H162,Cut[Display],Cut[Code])&amp;LOOKUP('Bulk Order Details'!I162,#REF!,#REF!)&amp;IF('Bulk Order Details'!J162="","",LOOKUP('Bulk Order Details'!J162,Length[Display],Length[Code])))</f>
        <v/>
      </c>
      <c r="AG152" s="156" t="str">
        <f>IF('Bulk Order Details'!M162="","",IF('Bulk Order Details'!F162="","",'Bulk Order Details'!F162))</f>
        <v/>
      </c>
      <c r="AH152" s="156" t="str">
        <f>IF('Bulk Order Details'!R162="","","-"&amp;LOOKUP('Bulk Order Details'!R162,#REF!,#REF!))</f>
        <v/>
      </c>
      <c r="AI152" s="156" t="str">
        <f>IF('Bulk Order Details'!S162="","","-"&amp;LOOKUP('Bulk Order Details'!S162,#REF!,#REF!))</f>
        <v/>
      </c>
      <c r="AJ152" s="156" t="str">
        <f>IF('Bulk Order Details'!T162="","","-"&amp;LOOKUP('Bulk Order Details'!T162,#REF!,#REF!))</f>
        <v/>
      </c>
      <c r="AK152" s="156" t="str">
        <f>IF('Bulk Order Details'!U162="","","-"&amp;LOOKUP('Bulk Order Details'!U162,#REF!,#REF!))</f>
        <v/>
      </c>
      <c r="AL152" s="156" t="str">
        <f>IF('Bulk Order Details'!V162="","","-"&amp;LOOKUP('Bulk Order Details'!V162,#REF!,#REF!))</f>
        <v/>
      </c>
      <c r="AM152" s="156" t="str">
        <f t="shared" si="12"/>
        <v/>
      </c>
      <c r="AN152" s="156" t="str">
        <f>IF('Bulk Order Details'!N162="","","Na-"&amp;'Bulk Order Details'!N162)</f>
        <v/>
      </c>
      <c r="AO152" s="156" t="str">
        <f>IF('Bulk Order Details'!Q162="","","Fo-"&amp;'Bulk Order Details'!Q162)</f>
        <v/>
      </c>
      <c r="AP152" s="156" t="str">
        <f t="shared" si="13"/>
        <v/>
      </c>
      <c r="AQ152" s="37" t="str">
        <f t="shared" si="14"/>
        <v/>
      </c>
    </row>
    <row r="153" spans="2:43" ht="15" customHeight="1" x14ac:dyDescent="0.2">
      <c r="B153" s="34">
        <f>'Bulk Order Details'!B163</f>
        <v>150</v>
      </c>
      <c r="C153" s="34" t="str">
        <f>IF('Bulk Order Details'!C163="","",'Bulk Order Details'!C163&amp;" "&amp;'Bulk Order Details'!D163)</f>
        <v/>
      </c>
      <c r="D153" s="31" t="str">
        <f>IF('Bulk Order Details'!M163="","",VLOOKUP(1,Price[],3))</f>
        <v/>
      </c>
      <c r="E153" s="29" t="str">
        <f>IF('Bulk Order Details'!M163="","",Summary!$D$9)</f>
        <v/>
      </c>
      <c r="F153" s="16" t="str">
        <f>IF('Bulk Order Details'!I163="","",_xlfn.XLOOKUP('Bulk Order Details'!I163,Size[Display],Size[Price]))</f>
        <v/>
      </c>
      <c r="G153" s="16" t="str">
        <f>IF('Bulk Order Details'!J163="","",_xlfn.XLOOKUP('Bulk Order Details'!J163,Length[Display],Length[Price]))</f>
        <v/>
      </c>
      <c r="H153" s="16" t="str">
        <f>IF('Bulk Order Details'!K163="","",_xlfn.XLOOKUP('Bulk Order Details'!K163,Collection[Display],Collection[Price]))</f>
        <v/>
      </c>
      <c r="I153" s="16" t="str">
        <f>IF('Bulk Order Details'!L163="","",_xlfn.XLOOKUP('Bulk Order Details'!L163,Sleeve[Display],Sleeve[Price]))</f>
        <v/>
      </c>
      <c r="J153" s="16" t="str">
        <f>IF('Bulk Order Details'!M163="","",_xlfn.XLOOKUP('Bulk Order Details'!M163,Collar[Display],Collar[Price]))</f>
        <v/>
      </c>
      <c r="K153" s="16" t="str">
        <f>IF('Bulk Order Details'!N163="","",_xlfn.XLOOKUP("Name",Name[Name],Name[Price]))</f>
        <v/>
      </c>
      <c r="L153" s="18" t="str">
        <f>IFERROR(IF('Bulk Order Details'!R163="","",IF(_xlfn.XLOOKUP('Bulk Order Details'!R163,Logos[Display],Logos[Use])="Flat",_xlfn.XLOOKUP('Bulk Order Details'!R163,Logos[Display],Logos[Flat]),ROUND(_xlfn.XLOOKUP('Bulk Order Details'!R163,Logos[Display],Logos[Pct])*$E153,2))),"")</f>
        <v/>
      </c>
      <c r="M153" s="22" t="str">
        <f>IFERROR(IF('Bulk Order Details'!S163="","",IF(_xlfn.XLOOKUP('Bulk Order Details'!S163,Chest[Display],Chest[Use])="Flat",_xlfn.XLOOKUP('Bulk Order Details'!S163,Chest[Display],Chest[Flat]),ROUND(_xlfn.XLOOKUP('Bulk Order Details'!S163,Chest[Display],Chest[Pct])*$E153,2))),"")</f>
        <v/>
      </c>
      <c r="N153" s="22" t="str">
        <f>IFERROR(IF('Bulk Order Details'!T163="","",IF(_xlfn.XLOOKUP('Bulk Order Details'!T163,Chest[Display],Chest[Use])="Flat",_xlfn.XLOOKUP('Bulk Order Details'!T163,Chest[Display],Chest[Flat]),ROUND(_xlfn.XLOOKUP('Bulk Order Details'!T163,Chest[Display],Chest[Pct])*$E153,2))),"")</f>
        <v/>
      </c>
      <c r="O153" s="22" t="str">
        <f>IFERROR(IF('Bulk Order Details'!U163="","",IF(_xlfn.XLOOKUP('Bulk Order Details'!U163,LeftSleeve[Display],LeftSleeve[Use])="Flat",_xlfn.XLOOKUP('Bulk Order Details'!U163,LeftSleeve[Display],LeftSleeve[Flat]),ROUND(_xlfn.XLOOKUP('Bulk Order Details'!U163,LeftSleeve[Display],LeftSleeve[Pct])*$E153,2))),"")</f>
        <v/>
      </c>
      <c r="P153" s="22" t="str">
        <f>IFERROR(IF('Bulk Order Details'!V163="","",IF(_xlfn.XLOOKUP('Bulk Order Details'!V163,RightSleeve[Display],RightSleeve[Use])="Flat",_xlfn.XLOOKUP('Bulk Order Details'!V163,RightSleeve[Display],RightSleeve[Flat]),ROUND(_xlfn.XLOOKUP('Bulk Order Details'!V163,RightSleeve[Display],RightSleeve[Pct])*$E153,2))),"")</f>
        <v/>
      </c>
      <c r="Q153" s="27" t="str">
        <f>IF('Bulk Order Details'!M163="","",SUM(F153:P153))</f>
        <v/>
      </c>
      <c r="R153" s="24" t="str">
        <f t="shared" si="11"/>
        <v/>
      </c>
      <c r="S153" s="23" t="str">
        <f>IFERROR(MIN(IF(Summary!$D$11="Yes",-J153,0),IF(H153&gt;0,-J153,0)),"")</f>
        <v/>
      </c>
      <c r="T153" s="16" t="str">
        <f>IFERROR(IF(Summary!$D$10="Yes",-K153,""),"")</f>
        <v/>
      </c>
      <c r="U153" s="18" t="str">
        <f>IFERROR(IF(Summary!$D$12="Yes",-L153,""),"")</f>
        <v/>
      </c>
      <c r="V153" s="25" t="str">
        <f>IF('Bulk Order Details'!M163="","",SUM(R153:U153))</f>
        <v/>
      </c>
      <c r="W153" s="36" t="str">
        <f>IF('Bulk Order Details'!M163="","",D153+Q153)</f>
        <v/>
      </c>
      <c r="X153" s="37" t="str">
        <f>IF('Bulk Order Details'!M163="","",D153+Q153+V153)</f>
        <v/>
      </c>
      <c r="Y153" s="168" t="str">
        <f t="shared" si="10"/>
        <v/>
      </c>
      <c r="Z153" s="173" t="str">
        <f>IF('Bulk Order Details'!M163="","",MAX(1,'Bulk Order Details'!G163))</f>
        <v/>
      </c>
      <c r="AA153" s="196" t="str">
        <f>IF(Pricing_Details[[#This Row],[Quantity]]="","",Pricing_Details[[#This Row],[Retail Price]]*Pricing_Details[[#This Row],[Quantity]])</f>
        <v/>
      </c>
      <c r="AB153" s="196" t="str">
        <f>IF(Pricing_Details[[#This Row],[Quantity]]="","",Pricing_Details[[#This Row],[Total Discount]]*Pricing_Details[[#This Row],[Quantity]])</f>
        <v/>
      </c>
      <c r="AC153" s="176" t="str">
        <f>IFERROR(ROUND(Pricing_Details[[#This Row],[Actual Price]]*Pricing_Details[[#This Row],[Quantity]],2),"")</f>
        <v/>
      </c>
      <c r="AE153" s="156" t="str">
        <f>IF('Bulk Order Details'!M163="","",VLOOKUP('Bulk Order Details'!K163,Collection[],3)&amp;VLOOKUP('Bulk Order Details'!M163,Collar[],4)&amp;VLOOKUP('Bulk Order Details'!L163,Sleeve[],4))</f>
        <v/>
      </c>
      <c r="AF153" s="156" t="str">
        <f>IF('Bulk Order Details'!M163="","",LOOKUP('Bulk Order Details'!H163,Cut[Display],Cut[Code])&amp;LOOKUP('Bulk Order Details'!I163,#REF!,#REF!)&amp;IF('Bulk Order Details'!J163="","",LOOKUP('Bulk Order Details'!J163,Length[Display],Length[Code])))</f>
        <v/>
      </c>
      <c r="AG153" s="156" t="str">
        <f>IF('Bulk Order Details'!M163="","",IF('Bulk Order Details'!F163="","",'Bulk Order Details'!F163))</f>
        <v/>
      </c>
      <c r="AH153" s="156" t="str">
        <f>IF('Bulk Order Details'!R163="","","-"&amp;LOOKUP('Bulk Order Details'!R163,#REF!,#REF!))</f>
        <v/>
      </c>
      <c r="AI153" s="156" t="str">
        <f>IF('Bulk Order Details'!S163="","","-"&amp;LOOKUP('Bulk Order Details'!S163,#REF!,#REF!))</f>
        <v/>
      </c>
      <c r="AJ153" s="156" t="str">
        <f>IF('Bulk Order Details'!T163="","","-"&amp;LOOKUP('Bulk Order Details'!T163,#REF!,#REF!))</f>
        <v/>
      </c>
      <c r="AK153" s="156" t="str">
        <f>IF('Bulk Order Details'!U163="","","-"&amp;LOOKUP('Bulk Order Details'!U163,#REF!,#REF!))</f>
        <v/>
      </c>
      <c r="AL153" s="156" t="str">
        <f>IF('Bulk Order Details'!V163="","","-"&amp;LOOKUP('Bulk Order Details'!V163,#REF!,#REF!))</f>
        <v/>
      </c>
      <c r="AM153" s="156" t="str">
        <f t="shared" si="12"/>
        <v/>
      </c>
      <c r="AN153" s="156" t="str">
        <f>IF('Bulk Order Details'!N163="","","Na-"&amp;'Bulk Order Details'!N163)</f>
        <v/>
      </c>
      <c r="AO153" s="156" t="str">
        <f>IF('Bulk Order Details'!Q163="","","Fo-"&amp;'Bulk Order Details'!Q163)</f>
        <v/>
      </c>
      <c r="AP153" s="156" t="str">
        <f t="shared" si="13"/>
        <v/>
      </c>
      <c r="AQ153" s="37" t="str">
        <f t="shared" si="14"/>
        <v/>
      </c>
    </row>
    <row r="154" spans="2:43" ht="15" customHeight="1" x14ac:dyDescent="0.2">
      <c r="B154" s="34">
        <f>'Bulk Order Details'!B164</f>
        <v>151</v>
      </c>
      <c r="C154" s="34" t="str">
        <f>IF('Bulk Order Details'!C164="","",'Bulk Order Details'!C164&amp;" "&amp;'Bulk Order Details'!D164)</f>
        <v/>
      </c>
      <c r="D154" s="31" t="str">
        <f>IF('Bulk Order Details'!M164="","",VLOOKUP(1,Price[],3))</f>
        <v/>
      </c>
      <c r="E154" s="29" t="str">
        <f>IF('Bulk Order Details'!M164="","",Summary!$D$9)</f>
        <v/>
      </c>
      <c r="F154" s="16" t="str">
        <f>IF('Bulk Order Details'!I164="","",_xlfn.XLOOKUP('Bulk Order Details'!I164,Size[Display],Size[Price]))</f>
        <v/>
      </c>
      <c r="G154" s="16" t="str">
        <f>IF('Bulk Order Details'!J164="","",_xlfn.XLOOKUP('Bulk Order Details'!J164,Length[Display],Length[Price]))</f>
        <v/>
      </c>
      <c r="H154" s="16" t="str">
        <f>IF('Bulk Order Details'!K164="","",_xlfn.XLOOKUP('Bulk Order Details'!K164,Collection[Display],Collection[Price]))</f>
        <v/>
      </c>
      <c r="I154" s="16" t="str">
        <f>IF('Bulk Order Details'!L164="","",_xlfn.XLOOKUP('Bulk Order Details'!L164,Sleeve[Display],Sleeve[Price]))</f>
        <v/>
      </c>
      <c r="J154" s="16" t="str">
        <f>IF('Bulk Order Details'!M164="","",_xlfn.XLOOKUP('Bulk Order Details'!M164,Collar[Display],Collar[Price]))</f>
        <v/>
      </c>
      <c r="K154" s="16" t="str">
        <f>IF('Bulk Order Details'!N164="","",_xlfn.XLOOKUP("Name",Name[Name],Name[Price]))</f>
        <v/>
      </c>
      <c r="L154" s="18" t="str">
        <f>IFERROR(IF('Bulk Order Details'!R164="","",IF(_xlfn.XLOOKUP('Bulk Order Details'!R164,Logos[Display],Logos[Use])="Flat",_xlfn.XLOOKUP('Bulk Order Details'!R164,Logos[Display],Logos[Flat]),ROUND(_xlfn.XLOOKUP('Bulk Order Details'!R164,Logos[Display],Logos[Pct])*$E154,2))),"")</f>
        <v/>
      </c>
      <c r="M154" s="22" t="str">
        <f>IFERROR(IF('Bulk Order Details'!S164="","",IF(_xlfn.XLOOKUP('Bulk Order Details'!S164,Chest[Display],Chest[Use])="Flat",_xlfn.XLOOKUP('Bulk Order Details'!S164,Chest[Display],Chest[Flat]),ROUND(_xlfn.XLOOKUP('Bulk Order Details'!S164,Chest[Display],Chest[Pct])*$E154,2))),"")</f>
        <v/>
      </c>
      <c r="N154" s="22" t="str">
        <f>IFERROR(IF('Bulk Order Details'!T164="","",IF(_xlfn.XLOOKUP('Bulk Order Details'!T164,Chest[Display],Chest[Use])="Flat",_xlfn.XLOOKUP('Bulk Order Details'!T164,Chest[Display],Chest[Flat]),ROUND(_xlfn.XLOOKUP('Bulk Order Details'!T164,Chest[Display],Chest[Pct])*$E154,2))),"")</f>
        <v/>
      </c>
      <c r="O154" s="22" t="str">
        <f>IFERROR(IF('Bulk Order Details'!U164="","",IF(_xlfn.XLOOKUP('Bulk Order Details'!U164,LeftSleeve[Display],LeftSleeve[Use])="Flat",_xlfn.XLOOKUP('Bulk Order Details'!U164,LeftSleeve[Display],LeftSleeve[Flat]),ROUND(_xlfn.XLOOKUP('Bulk Order Details'!U164,LeftSleeve[Display],LeftSleeve[Pct])*$E154,2))),"")</f>
        <v/>
      </c>
      <c r="P154" s="22" t="str">
        <f>IFERROR(IF('Bulk Order Details'!V164="","",IF(_xlfn.XLOOKUP('Bulk Order Details'!V164,RightSleeve[Display],RightSleeve[Use])="Flat",_xlfn.XLOOKUP('Bulk Order Details'!V164,RightSleeve[Display],RightSleeve[Flat]),ROUND(_xlfn.XLOOKUP('Bulk Order Details'!V164,RightSleeve[Display],RightSleeve[Pct])*$E154,2))),"")</f>
        <v/>
      </c>
      <c r="Q154" s="27" t="str">
        <f>IF('Bulk Order Details'!M164="","",SUM(F154:P154))</f>
        <v/>
      </c>
      <c r="R154" s="24" t="str">
        <f t="shared" si="11"/>
        <v/>
      </c>
      <c r="S154" s="23" t="str">
        <f>IFERROR(MIN(IF(Summary!$D$11="Yes",-J154,0),IF(H154&gt;0,-J154,0)),"")</f>
        <v/>
      </c>
      <c r="T154" s="16" t="str">
        <f>IFERROR(IF(Summary!$D$10="Yes",-K154,""),"")</f>
        <v/>
      </c>
      <c r="U154" s="18" t="str">
        <f>IFERROR(IF(Summary!$D$12="Yes",-L154,""),"")</f>
        <v/>
      </c>
      <c r="V154" s="25" t="str">
        <f>IF('Bulk Order Details'!M164="","",SUM(R154:U154))</f>
        <v/>
      </c>
      <c r="W154" s="36" t="str">
        <f>IF('Bulk Order Details'!M164="","",D154+Q154)</f>
        <v/>
      </c>
      <c r="X154" s="37" t="str">
        <f>IF('Bulk Order Details'!M164="","",D154+Q154+V154)</f>
        <v/>
      </c>
      <c r="Y154" s="168" t="str">
        <f t="shared" si="10"/>
        <v/>
      </c>
      <c r="Z154" s="173" t="str">
        <f>IF('Bulk Order Details'!M164="","",MAX(1,'Bulk Order Details'!G164))</f>
        <v/>
      </c>
      <c r="AA154" s="196" t="str">
        <f>IF(Pricing_Details[[#This Row],[Quantity]]="","",Pricing_Details[[#This Row],[Retail Price]]*Pricing_Details[[#This Row],[Quantity]])</f>
        <v/>
      </c>
      <c r="AB154" s="196" t="str">
        <f>IF(Pricing_Details[[#This Row],[Quantity]]="","",Pricing_Details[[#This Row],[Total Discount]]*Pricing_Details[[#This Row],[Quantity]])</f>
        <v/>
      </c>
      <c r="AC154" s="176" t="str">
        <f>IFERROR(ROUND(Pricing_Details[[#This Row],[Actual Price]]*Pricing_Details[[#This Row],[Quantity]],2),"")</f>
        <v/>
      </c>
      <c r="AE154" s="156" t="str">
        <f>IF('Bulk Order Details'!M164="","",VLOOKUP('Bulk Order Details'!K164,Collection[],3)&amp;VLOOKUP('Bulk Order Details'!M164,Collar[],4)&amp;VLOOKUP('Bulk Order Details'!L164,Sleeve[],4))</f>
        <v/>
      </c>
      <c r="AF154" s="156" t="str">
        <f>IF('Bulk Order Details'!M164="","",LOOKUP('Bulk Order Details'!H164,Cut[Display],Cut[Code])&amp;LOOKUP('Bulk Order Details'!I164,#REF!,#REF!)&amp;IF('Bulk Order Details'!J164="","",LOOKUP('Bulk Order Details'!J164,Length[Display],Length[Code])))</f>
        <v/>
      </c>
      <c r="AG154" s="156" t="str">
        <f>IF('Bulk Order Details'!M164="","",IF('Bulk Order Details'!F164="","",'Bulk Order Details'!F164))</f>
        <v/>
      </c>
      <c r="AH154" s="156" t="str">
        <f>IF('Bulk Order Details'!R164="","","-"&amp;LOOKUP('Bulk Order Details'!R164,#REF!,#REF!))</f>
        <v/>
      </c>
      <c r="AI154" s="156" t="str">
        <f>IF('Bulk Order Details'!S164="","","-"&amp;LOOKUP('Bulk Order Details'!S164,#REF!,#REF!))</f>
        <v/>
      </c>
      <c r="AJ154" s="156" t="str">
        <f>IF('Bulk Order Details'!T164="","","-"&amp;LOOKUP('Bulk Order Details'!T164,#REF!,#REF!))</f>
        <v/>
      </c>
      <c r="AK154" s="156" t="str">
        <f>IF('Bulk Order Details'!U164="","","-"&amp;LOOKUP('Bulk Order Details'!U164,#REF!,#REF!))</f>
        <v/>
      </c>
      <c r="AL154" s="156" t="str">
        <f>IF('Bulk Order Details'!V164="","","-"&amp;LOOKUP('Bulk Order Details'!V164,#REF!,#REF!))</f>
        <v/>
      </c>
      <c r="AM154" s="156" t="str">
        <f t="shared" si="12"/>
        <v/>
      </c>
      <c r="AN154" s="156" t="str">
        <f>IF('Bulk Order Details'!N164="","","Na-"&amp;'Bulk Order Details'!N164)</f>
        <v/>
      </c>
      <c r="AO154" s="156" t="str">
        <f>IF('Bulk Order Details'!Q164="","","Fo-"&amp;'Bulk Order Details'!Q164)</f>
        <v/>
      </c>
      <c r="AP154" s="156" t="str">
        <f t="shared" si="13"/>
        <v/>
      </c>
      <c r="AQ154" s="37" t="str">
        <f t="shared" si="14"/>
        <v/>
      </c>
    </row>
    <row r="155" spans="2:43" ht="15" customHeight="1" x14ac:dyDescent="0.2">
      <c r="B155" s="34">
        <f>'Bulk Order Details'!B165</f>
        <v>152</v>
      </c>
      <c r="C155" s="34" t="str">
        <f>IF('Bulk Order Details'!C165="","",'Bulk Order Details'!C165&amp;" "&amp;'Bulk Order Details'!D165)</f>
        <v/>
      </c>
      <c r="D155" s="31" t="str">
        <f>IF('Bulk Order Details'!M165="","",VLOOKUP(1,Price[],3))</f>
        <v/>
      </c>
      <c r="E155" s="29" t="str">
        <f>IF('Bulk Order Details'!M165="","",Summary!$D$9)</f>
        <v/>
      </c>
      <c r="F155" s="16" t="str">
        <f>IF('Bulk Order Details'!I165="","",_xlfn.XLOOKUP('Bulk Order Details'!I165,Size[Display],Size[Price]))</f>
        <v/>
      </c>
      <c r="G155" s="16" t="str">
        <f>IF('Bulk Order Details'!J165="","",_xlfn.XLOOKUP('Bulk Order Details'!J165,Length[Display],Length[Price]))</f>
        <v/>
      </c>
      <c r="H155" s="16" t="str">
        <f>IF('Bulk Order Details'!K165="","",_xlfn.XLOOKUP('Bulk Order Details'!K165,Collection[Display],Collection[Price]))</f>
        <v/>
      </c>
      <c r="I155" s="16" t="str">
        <f>IF('Bulk Order Details'!L165="","",_xlfn.XLOOKUP('Bulk Order Details'!L165,Sleeve[Display],Sleeve[Price]))</f>
        <v/>
      </c>
      <c r="J155" s="16" t="str">
        <f>IF('Bulk Order Details'!M165="","",_xlfn.XLOOKUP('Bulk Order Details'!M165,Collar[Display],Collar[Price]))</f>
        <v/>
      </c>
      <c r="K155" s="16" t="str">
        <f>IF('Bulk Order Details'!N165="","",_xlfn.XLOOKUP("Name",Name[Name],Name[Price]))</f>
        <v/>
      </c>
      <c r="L155" s="18" t="str">
        <f>IFERROR(IF('Bulk Order Details'!R165="","",IF(_xlfn.XLOOKUP('Bulk Order Details'!R165,Logos[Display],Logos[Use])="Flat",_xlfn.XLOOKUP('Bulk Order Details'!R165,Logos[Display],Logos[Flat]),ROUND(_xlfn.XLOOKUP('Bulk Order Details'!R165,Logos[Display],Logos[Pct])*$E155,2))),"")</f>
        <v/>
      </c>
      <c r="M155" s="22" t="str">
        <f>IFERROR(IF('Bulk Order Details'!S165="","",IF(_xlfn.XLOOKUP('Bulk Order Details'!S165,Chest[Display],Chest[Use])="Flat",_xlfn.XLOOKUP('Bulk Order Details'!S165,Chest[Display],Chest[Flat]),ROUND(_xlfn.XLOOKUP('Bulk Order Details'!S165,Chest[Display],Chest[Pct])*$E155,2))),"")</f>
        <v/>
      </c>
      <c r="N155" s="22" t="str">
        <f>IFERROR(IF('Bulk Order Details'!T165="","",IF(_xlfn.XLOOKUP('Bulk Order Details'!T165,Chest[Display],Chest[Use])="Flat",_xlfn.XLOOKUP('Bulk Order Details'!T165,Chest[Display],Chest[Flat]),ROUND(_xlfn.XLOOKUP('Bulk Order Details'!T165,Chest[Display],Chest[Pct])*$E155,2))),"")</f>
        <v/>
      </c>
      <c r="O155" s="22" t="str">
        <f>IFERROR(IF('Bulk Order Details'!U165="","",IF(_xlfn.XLOOKUP('Bulk Order Details'!U165,LeftSleeve[Display],LeftSleeve[Use])="Flat",_xlfn.XLOOKUP('Bulk Order Details'!U165,LeftSleeve[Display],LeftSleeve[Flat]),ROUND(_xlfn.XLOOKUP('Bulk Order Details'!U165,LeftSleeve[Display],LeftSleeve[Pct])*$E155,2))),"")</f>
        <v/>
      </c>
      <c r="P155" s="22" t="str">
        <f>IFERROR(IF('Bulk Order Details'!V165="","",IF(_xlfn.XLOOKUP('Bulk Order Details'!V165,RightSleeve[Display],RightSleeve[Use])="Flat",_xlfn.XLOOKUP('Bulk Order Details'!V165,RightSleeve[Display],RightSleeve[Flat]),ROUND(_xlfn.XLOOKUP('Bulk Order Details'!V165,RightSleeve[Display],RightSleeve[Pct])*$E155,2))),"")</f>
        <v/>
      </c>
      <c r="Q155" s="27" t="str">
        <f>IF('Bulk Order Details'!M165="","",SUM(F155:P155))</f>
        <v/>
      </c>
      <c r="R155" s="24" t="str">
        <f t="shared" si="11"/>
        <v/>
      </c>
      <c r="S155" s="23" t="str">
        <f>IFERROR(MIN(IF(Summary!$D$11="Yes",-J155,0),IF(H155&gt;0,-J155,0)),"")</f>
        <v/>
      </c>
      <c r="T155" s="16" t="str">
        <f>IFERROR(IF(Summary!$D$10="Yes",-K155,""),"")</f>
        <v/>
      </c>
      <c r="U155" s="18" t="str">
        <f>IFERROR(IF(Summary!$D$12="Yes",-L155,""),"")</f>
        <v/>
      </c>
      <c r="V155" s="25" t="str">
        <f>IF('Bulk Order Details'!M165="","",SUM(R155:U155))</f>
        <v/>
      </c>
      <c r="W155" s="36" t="str">
        <f>IF('Bulk Order Details'!M165="","",D155+Q155)</f>
        <v/>
      </c>
      <c r="X155" s="37" t="str">
        <f>IF('Bulk Order Details'!M165="","",D155+Q155+V155)</f>
        <v/>
      </c>
      <c r="Y155" s="168" t="str">
        <f t="shared" si="10"/>
        <v/>
      </c>
      <c r="Z155" s="173" t="str">
        <f>IF('Bulk Order Details'!M165="","",MAX(1,'Bulk Order Details'!G165))</f>
        <v/>
      </c>
      <c r="AA155" s="196" t="str">
        <f>IF(Pricing_Details[[#This Row],[Quantity]]="","",Pricing_Details[[#This Row],[Retail Price]]*Pricing_Details[[#This Row],[Quantity]])</f>
        <v/>
      </c>
      <c r="AB155" s="196" t="str">
        <f>IF(Pricing_Details[[#This Row],[Quantity]]="","",Pricing_Details[[#This Row],[Total Discount]]*Pricing_Details[[#This Row],[Quantity]])</f>
        <v/>
      </c>
      <c r="AC155" s="176" t="str">
        <f>IFERROR(ROUND(Pricing_Details[[#This Row],[Actual Price]]*Pricing_Details[[#This Row],[Quantity]],2),"")</f>
        <v/>
      </c>
      <c r="AE155" s="156" t="str">
        <f>IF('Bulk Order Details'!M165="","",VLOOKUP('Bulk Order Details'!K165,Collection[],3)&amp;VLOOKUP('Bulk Order Details'!M165,Collar[],4)&amp;VLOOKUP('Bulk Order Details'!L165,Sleeve[],4))</f>
        <v/>
      </c>
      <c r="AF155" s="156" t="str">
        <f>IF('Bulk Order Details'!M165="","",LOOKUP('Bulk Order Details'!H165,Cut[Display],Cut[Code])&amp;LOOKUP('Bulk Order Details'!I165,#REF!,#REF!)&amp;IF('Bulk Order Details'!J165="","",LOOKUP('Bulk Order Details'!J165,Length[Display],Length[Code])))</f>
        <v/>
      </c>
      <c r="AG155" s="156" t="str">
        <f>IF('Bulk Order Details'!M165="","",IF('Bulk Order Details'!F165="","",'Bulk Order Details'!F165))</f>
        <v/>
      </c>
      <c r="AH155" s="156" t="str">
        <f>IF('Bulk Order Details'!R165="","","-"&amp;LOOKUP('Bulk Order Details'!R165,#REF!,#REF!))</f>
        <v/>
      </c>
      <c r="AI155" s="156" t="str">
        <f>IF('Bulk Order Details'!S165="","","-"&amp;LOOKUP('Bulk Order Details'!S165,#REF!,#REF!))</f>
        <v/>
      </c>
      <c r="AJ155" s="156" t="str">
        <f>IF('Bulk Order Details'!T165="","","-"&amp;LOOKUP('Bulk Order Details'!T165,#REF!,#REF!))</f>
        <v/>
      </c>
      <c r="AK155" s="156" t="str">
        <f>IF('Bulk Order Details'!U165="","","-"&amp;LOOKUP('Bulk Order Details'!U165,#REF!,#REF!))</f>
        <v/>
      </c>
      <c r="AL155" s="156" t="str">
        <f>IF('Bulk Order Details'!V165="","","-"&amp;LOOKUP('Bulk Order Details'!V165,#REF!,#REF!))</f>
        <v/>
      </c>
      <c r="AM155" s="156" t="str">
        <f t="shared" si="12"/>
        <v/>
      </c>
      <c r="AN155" s="156" t="str">
        <f>IF('Bulk Order Details'!N165="","","Na-"&amp;'Bulk Order Details'!N165)</f>
        <v/>
      </c>
      <c r="AO155" s="156" t="str">
        <f>IF('Bulk Order Details'!Q165="","","Fo-"&amp;'Bulk Order Details'!Q165)</f>
        <v/>
      </c>
      <c r="AP155" s="156" t="str">
        <f t="shared" si="13"/>
        <v/>
      </c>
      <c r="AQ155" s="37" t="str">
        <f t="shared" si="14"/>
        <v/>
      </c>
    </row>
    <row r="156" spans="2:43" ht="15" customHeight="1" x14ac:dyDescent="0.2">
      <c r="B156" s="34">
        <f>'Bulk Order Details'!B166</f>
        <v>153</v>
      </c>
      <c r="C156" s="34" t="str">
        <f>IF('Bulk Order Details'!C166="","",'Bulk Order Details'!C166&amp;" "&amp;'Bulk Order Details'!D166)</f>
        <v/>
      </c>
      <c r="D156" s="31" t="str">
        <f>IF('Bulk Order Details'!M166="","",VLOOKUP(1,Price[],3))</f>
        <v/>
      </c>
      <c r="E156" s="29" t="str">
        <f>IF('Bulk Order Details'!M166="","",Summary!$D$9)</f>
        <v/>
      </c>
      <c r="F156" s="16" t="str">
        <f>IF('Bulk Order Details'!I166="","",_xlfn.XLOOKUP('Bulk Order Details'!I166,Size[Display],Size[Price]))</f>
        <v/>
      </c>
      <c r="G156" s="16" t="str">
        <f>IF('Bulk Order Details'!J166="","",_xlfn.XLOOKUP('Bulk Order Details'!J166,Length[Display],Length[Price]))</f>
        <v/>
      </c>
      <c r="H156" s="16" t="str">
        <f>IF('Bulk Order Details'!K166="","",_xlfn.XLOOKUP('Bulk Order Details'!K166,Collection[Display],Collection[Price]))</f>
        <v/>
      </c>
      <c r="I156" s="16" t="str">
        <f>IF('Bulk Order Details'!L166="","",_xlfn.XLOOKUP('Bulk Order Details'!L166,Sleeve[Display],Sleeve[Price]))</f>
        <v/>
      </c>
      <c r="J156" s="16" t="str">
        <f>IF('Bulk Order Details'!M166="","",_xlfn.XLOOKUP('Bulk Order Details'!M166,Collar[Display],Collar[Price]))</f>
        <v/>
      </c>
      <c r="K156" s="16" t="str">
        <f>IF('Bulk Order Details'!N166="","",_xlfn.XLOOKUP("Name",Name[Name],Name[Price]))</f>
        <v/>
      </c>
      <c r="L156" s="18" t="str">
        <f>IFERROR(IF('Bulk Order Details'!R166="","",IF(_xlfn.XLOOKUP('Bulk Order Details'!R166,Logos[Display],Logos[Use])="Flat",_xlfn.XLOOKUP('Bulk Order Details'!R166,Logos[Display],Logos[Flat]),ROUND(_xlfn.XLOOKUP('Bulk Order Details'!R166,Logos[Display],Logos[Pct])*$E156,2))),"")</f>
        <v/>
      </c>
      <c r="M156" s="22" t="str">
        <f>IFERROR(IF('Bulk Order Details'!S166="","",IF(_xlfn.XLOOKUP('Bulk Order Details'!S166,Chest[Display],Chest[Use])="Flat",_xlfn.XLOOKUP('Bulk Order Details'!S166,Chest[Display],Chest[Flat]),ROUND(_xlfn.XLOOKUP('Bulk Order Details'!S166,Chest[Display],Chest[Pct])*$E156,2))),"")</f>
        <v/>
      </c>
      <c r="N156" s="22" t="str">
        <f>IFERROR(IF('Bulk Order Details'!T166="","",IF(_xlfn.XLOOKUP('Bulk Order Details'!T166,Chest[Display],Chest[Use])="Flat",_xlfn.XLOOKUP('Bulk Order Details'!T166,Chest[Display],Chest[Flat]),ROUND(_xlfn.XLOOKUP('Bulk Order Details'!T166,Chest[Display],Chest[Pct])*$E156,2))),"")</f>
        <v/>
      </c>
      <c r="O156" s="22" t="str">
        <f>IFERROR(IF('Bulk Order Details'!U166="","",IF(_xlfn.XLOOKUP('Bulk Order Details'!U166,LeftSleeve[Display],LeftSleeve[Use])="Flat",_xlfn.XLOOKUP('Bulk Order Details'!U166,LeftSleeve[Display],LeftSleeve[Flat]),ROUND(_xlfn.XLOOKUP('Bulk Order Details'!U166,LeftSleeve[Display],LeftSleeve[Pct])*$E156,2))),"")</f>
        <v/>
      </c>
      <c r="P156" s="22" t="str">
        <f>IFERROR(IF('Bulk Order Details'!V166="","",IF(_xlfn.XLOOKUP('Bulk Order Details'!V166,RightSleeve[Display],RightSleeve[Use])="Flat",_xlfn.XLOOKUP('Bulk Order Details'!V166,RightSleeve[Display],RightSleeve[Flat]),ROUND(_xlfn.XLOOKUP('Bulk Order Details'!V166,RightSleeve[Display],RightSleeve[Pct])*$E156,2))),"")</f>
        <v/>
      </c>
      <c r="Q156" s="27" t="str">
        <f>IF('Bulk Order Details'!M166="","",SUM(F156:P156))</f>
        <v/>
      </c>
      <c r="R156" s="24" t="str">
        <f t="shared" si="11"/>
        <v/>
      </c>
      <c r="S156" s="23" t="str">
        <f>IFERROR(MIN(IF(Summary!$D$11="Yes",-J156,0),IF(H156&gt;0,-J156,0)),"")</f>
        <v/>
      </c>
      <c r="T156" s="16" t="str">
        <f>IFERROR(IF(Summary!$D$10="Yes",-K156,""),"")</f>
        <v/>
      </c>
      <c r="U156" s="18" t="str">
        <f>IFERROR(IF(Summary!$D$12="Yes",-L156,""),"")</f>
        <v/>
      </c>
      <c r="V156" s="25" t="str">
        <f>IF('Bulk Order Details'!M166="","",SUM(R156:U156))</f>
        <v/>
      </c>
      <c r="W156" s="36" t="str">
        <f>IF('Bulk Order Details'!M166="","",D156+Q156)</f>
        <v/>
      </c>
      <c r="X156" s="37" t="str">
        <f>IF('Bulk Order Details'!M166="","",D156+Q156+V156)</f>
        <v/>
      </c>
      <c r="Y156" s="168" t="str">
        <f t="shared" si="10"/>
        <v/>
      </c>
      <c r="Z156" s="173" t="str">
        <f>IF('Bulk Order Details'!M166="","",MAX(1,'Bulk Order Details'!G166))</f>
        <v/>
      </c>
      <c r="AA156" s="196" t="str">
        <f>IF(Pricing_Details[[#This Row],[Quantity]]="","",Pricing_Details[[#This Row],[Retail Price]]*Pricing_Details[[#This Row],[Quantity]])</f>
        <v/>
      </c>
      <c r="AB156" s="196" t="str">
        <f>IF(Pricing_Details[[#This Row],[Quantity]]="","",Pricing_Details[[#This Row],[Total Discount]]*Pricing_Details[[#This Row],[Quantity]])</f>
        <v/>
      </c>
      <c r="AC156" s="176" t="str">
        <f>IFERROR(ROUND(Pricing_Details[[#This Row],[Actual Price]]*Pricing_Details[[#This Row],[Quantity]],2),"")</f>
        <v/>
      </c>
      <c r="AE156" s="156" t="str">
        <f>IF('Bulk Order Details'!M166="","",VLOOKUP('Bulk Order Details'!K166,Collection[],3)&amp;VLOOKUP('Bulk Order Details'!M166,Collar[],4)&amp;VLOOKUP('Bulk Order Details'!L166,Sleeve[],4))</f>
        <v/>
      </c>
      <c r="AF156" s="156" t="str">
        <f>IF('Bulk Order Details'!M166="","",LOOKUP('Bulk Order Details'!H166,Cut[Display],Cut[Code])&amp;LOOKUP('Bulk Order Details'!I166,#REF!,#REF!)&amp;IF('Bulk Order Details'!J166="","",LOOKUP('Bulk Order Details'!J166,Length[Display],Length[Code])))</f>
        <v/>
      </c>
      <c r="AG156" s="156" t="str">
        <f>IF('Bulk Order Details'!M166="","",IF('Bulk Order Details'!F166="","",'Bulk Order Details'!F166))</f>
        <v/>
      </c>
      <c r="AH156" s="156" t="str">
        <f>IF('Bulk Order Details'!R166="","","-"&amp;LOOKUP('Bulk Order Details'!R166,#REF!,#REF!))</f>
        <v/>
      </c>
      <c r="AI156" s="156" t="str">
        <f>IF('Bulk Order Details'!S166="","","-"&amp;LOOKUP('Bulk Order Details'!S166,#REF!,#REF!))</f>
        <v/>
      </c>
      <c r="AJ156" s="156" t="str">
        <f>IF('Bulk Order Details'!T166="","","-"&amp;LOOKUP('Bulk Order Details'!T166,#REF!,#REF!))</f>
        <v/>
      </c>
      <c r="AK156" s="156" t="str">
        <f>IF('Bulk Order Details'!U166="","","-"&amp;LOOKUP('Bulk Order Details'!U166,#REF!,#REF!))</f>
        <v/>
      </c>
      <c r="AL156" s="156" t="str">
        <f>IF('Bulk Order Details'!V166="","","-"&amp;LOOKUP('Bulk Order Details'!V166,#REF!,#REF!))</f>
        <v/>
      </c>
      <c r="AM156" s="156" t="str">
        <f t="shared" si="12"/>
        <v/>
      </c>
      <c r="AN156" s="156" t="str">
        <f>IF('Bulk Order Details'!N166="","","Na-"&amp;'Bulk Order Details'!N166)</f>
        <v/>
      </c>
      <c r="AO156" s="156" t="str">
        <f>IF('Bulk Order Details'!Q166="","","Fo-"&amp;'Bulk Order Details'!Q166)</f>
        <v/>
      </c>
      <c r="AP156" s="156" t="str">
        <f t="shared" si="13"/>
        <v/>
      </c>
      <c r="AQ156" s="37" t="str">
        <f t="shared" si="14"/>
        <v/>
      </c>
    </row>
    <row r="157" spans="2:43" ht="15" customHeight="1" x14ac:dyDescent="0.2">
      <c r="B157" s="34">
        <f>'Bulk Order Details'!B167</f>
        <v>154</v>
      </c>
      <c r="C157" s="34" t="str">
        <f>IF('Bulk Order Details'!C167="","",'Bulk Order Details'!C167&amp;" "&amp;'Bulk Order Details'!D167)</f>
        <v/>
      </c>
      <c r="D157" s="31" t="str">
        <f>IF('Bulk Order Details'!M167="","",VLOOKUP(1,Price[],3))</f>
        <v/>
      </c>
      <c r="E157" s="29" t="str">
        <f>IF('Bulk Order Details'!M167="","",Summary!$D$9)</f>
        <v/>
      </c>
      <c r="F157" s="16" t="str">
        <f>IF('Bulk Order Details'!I167="","",_xlfn.XLOOKUP('Bulk Order Details'!I167,Size[Display],Size[Price]))</f>
        <v/>
      </c>
      <c r="G157" s="16" t="str">
        <f>IF('Bulk Order Details'!J167="","",_xlfn.XLOOKUP('Bulk Order Details'!J167,Length[Display],Length[Price]))</f>
        <v/>
      </c>
      <c r="H157" s="16" t="str">
        <f>IF('Bulk Order Details'!K167="","",_xlfn.XLOOKUP('Bulk Order Details'!K167,Collection[Display],Collection[Price]))</f>
        <v/>
      </c>
      <c r="I157" s="16" t="str">
        <f>IF('Bulk Order Details'!L167="","",_xlfn.XLOOKUP('Bulk Order Details'!L167,Sleeve[Display],Sleeve[Price]))</f>
        <v/>
      </c>
      <c r="J157" s="16" t="str">
        <f>IF('Bulk Order Details'!M167="","",_xlfn.XLOOKUP('Bulk Order Details'!M167,Collar[Display],Collar[Price]))</f>
        <v/>
      </c>
      <c r="K157" s="16" t="str">
        <f>IF('Bulk Order Details'!N167="","",_xlfn.XLOOKUP("Name",Name[Name],Name[Price]))</f>
        <v/>
      </c>
      <c r="L157" s="18" t="str">
        <f>IFERROR(IF('Bulk Order Details'!R167="","",IF(_xlfn.XLOOKUP('Bulk Order Details'!R167,Logos[Display],Logos[Use])="Flat",_xlfn.XLOOKUP('Bulk Order Details'!R167,Logos[Display],Logos[Flat]),ROUND(_xlfn.XLOOKUP('Bulk Order Details'!R167,Logos[Display],Logos[Pct])*$E157,2))),"")</f>
        <v/>
      </c>
      <c r="M157" s="22" t="str">
        <f>IFERROR(IF('Bulk Order Details'!S167="","",IF(_xlfn.XLOOKUP('Bulk Order Details'!S167,Chest[Display],Chest[Use])="Flat",_xlfn.XLOOKUP('Bulk Order Details'!S167,Chest[Display],Chest[Flat]),ROUND(_xlfn.XLOOKUP('Bulk Order Details'!S167,Chest[Display],Chest[Pct])*$E157,2))),"")</f>
        <v/>
      </c>
      <c r="N157" s="22" t="str">
        <f>IFERROR(IF('Bulk Order Details'!T167="","",IF(_xlfn.XLOOKUP('Bulk Order Details'!T167,Chest[Display],Chest[Use])="Flat",_xlfn.XLOOKUP('Bulk Order Details'!T167,Chest[Display],Chest[Flat]),ROUND(_xlfn.XLOOKUP('Bulk Order Details'!T167,Chest[Display],Chest[Pct])*$E157,2))),"")</f>
        <v/>
      </c>
      <c r="O157" s="22" t="str">
        <f>IFERROR(IF('Bulk Order Details'!U167="","",IF(_xlfn.XLOOKUP('Bulk Order Details'!U167,LeftSleeve[Display],LeftSleeve[Use])="Flat",_xlfn.XLOOKUP('Bulk Order Details'!U167,LeftSleeve[Display],LeftSleeve[Flat]),ROUND(_xlfn.XLOOKUP('Bulk Order Details'!U167,LeftSleeve[Display],LeftSleeve[Pct])*$E157,2))),"")</f>
        <v/>
      </c>
      <c r="P157" s="22" t="str">
        <f>IFERROR(IF('Bulk Order Details'!V167="","",IF(_xlfn.XLOOKUP('Bulk Order Details'!V167,RightSleeve[Display],RightSleeve[Use])="Flat",_xlfn.XLOOKUP('Bulk Order Details'!V167,RightSleeve[Display],RightSleeve[Flat]),ROUND(_xlfn.XLOOKUP('Bulk Order Details'!V167,RightSleeve[Display],RightSleeve[Pct])*$E157,2))),"")</f>
        <v/>
      </c>
      <c r="Q157" s="27" t="str">
        <f>IF('Bulk Order Details'!M167="","",SUM(F157:P157))</f>
        <v/>
      </c>
      <c r="R157" s="24" t="str">
        <f t="shared" si="11"/>
        <v/>
      </c>
      <c r="S157" s="23" t="str">
        <f>IFERROR(MIN(IF(Summary!$D$11="Yes",-J157,0),IF(H157&gt;0,-J157,0)),"")</f>
        <v/>
      </c>
      <c r="T157" s="16" t="str">
        <f>IFERROR(IF(Summary!$D$10="Yes",-K157,""),"")</f>
        <v/>
      </c>
      <c r="U157" s="18" t="str">
        <f>IFERROR(IF(Summary!$D$12="Yes",-L157,""),"")</f>
        <v/>
      </c>
      <c r="V157" s="25" t="str">
        <f>IF('Bulk Order Details'!M167="","",SUM(R157:U157))</f>
        <v/>
      </c>
      <c r="W157" s="36" t="str">
        <f>IF('Bulk Order Details'!M167="","",D157+Q157)</f>
        <v/>
      </c>
      <c r="X157" s="37" t="str">
        <f>IF('Bulk Order Details'!M167="","",D157+Q157+V157)</f>
        <v/>
      </c>
      <c r="Y157" s="168" t="str">
        <f t="shared" si="10"/>
        <v/>
      </c>
      <c r="Z157" s="173" t="str">
        <f>IF('Bulk Order Details'!M167="","",MAX(1,'Bulk Order Details'!G167))</f>
        <v/>
      </c>
      <c r="AA157" s="196" t="str">
        <f>IF(Pricing_Details[[#This Row],[Quantity]]="","",Pricing_Details[[#This Row],[Retail Price]]*Pricing_Details[[#This Row],[Quantity]])</f>
        <v/>
      </c>
      <c r="AB157" s="196" t="str">
        <f>IF(Pricing_Details[[#This Row],[Quantity]]="","",Pricing_Details[[#This Row],[Total Discount]]*Pricing_Details[[#This Row],[Quantity]])</f>
        <v/>
      </c>
      <c r="AC157" s="176" t="str">
        <f>IFERROR(ROUND(Pricing_Details[[#This Row],[Actual Price]]*Pricing_Details[[#This Row],[Quantity]],2),"")</f>
        <v/>
      </c>
      <c r="AE157" s="156" t="str">
        <f>IF('Bulk Order Details'!M167="","",VLOOKUP('Bulk Order Details'!K167,Collection[],3)&amp;VLOOKUP('Bulk Order Details'!M167,Collar[],4)&amp;VLOOKUP('Bulk Order Details'!L167,Sleeve[],4))</f>
        <v/>
      </c>
      <c r="AF157" s="156" t="str">
        <f>IF('Bulk Order Details'!M167="","",LOOKUP('Bulk Order Details'!H167,Cut[Display],Cut[Code])&amp;LOOKUP('Bulk Order Details'!I167,#REF!,#REF!)&amp;IF('Bulk Order Details'!J167="","",LOOKUP('Bulk Order Details'!J167,Length[Display],Length[Code])))</f>
        <v/>
      </c>
      <c r="AG157" s="156" t="str">
        <f>IF('Bulk Order Details'!M167="","",IF('Bulk Order Details'!F167="","",'Bulk Order Details'!F167))</f>
        <v/>
      </c>
      <c r="AH157" s="156" t="str">
        <f>IF('Bulk Order Details'!R167="","","-"&amp;LOOKUP('Bulk Order Details'!R167,#REF!,#REF!))</f>
        <v/>
      </c>
      <c r="AI157" s="156" t="str">
        <f>IF('Bulk Order Details'!S167="","","-"&amp;LOOKUP('Bulk Order Details'!S167,#REF!,#REF!))</f>
        <v/>
      </c>
      <c r="AJ157" s="156" t="str">
        <f>IF('Bulk Order Details'!T167="","","-"&amp;LOOKUP('Bulk Order Details'!T167,#REF!,#REF!))</f>
        <v/>
      </c>
      <c r="AK157" s="156" t="str">
        <f>IF('Bulk Order Details'!U167="","","-"&amp;LOOKUP('Bulk Order Details'!U167,#REF!,#REF!))</f>
        <v/>
      </c>
      <c r="AL157" s="156" t="str">
        <f>IF('Bulk Order Details'!V167="","","-"&amp;LOOKUP('Bulk Order Details'!V167,#REF!,#REF!))</f>
        <v/>
      </c>
      <c r="AM157" s="156" t="str">
        <f t="shared" si="12"/>
        <v/>
      </c>
      <c r="AN157" s="156" t="str">
        <f>IF('Bulk Order Details'!N167="","","Na-"&amp;'Bulk Order Details'!N167)</f>
        <v/>
      </c>
      <c r="AO157" s="156" t="str">
        <f>IF('Bulk Order Details'!Q167="","","Fo-"&amp;'Bulk Order Details'!Q167)</f>
        <v/>
      </c>
      <c r="AP157" s="156" t="str">
        <f t="shared" si="13"/>
        <v/>
      </c>
      <c r="AQ157" s="37" t="str">
        <f t="shared" si="14"/>
        <v/>
      </c>
    </row>
    <row r="158" spans="2:43" ht="15" customHeight="1" x14ac:dyDescent="0.2">
      <c r="B158" s="34">
        <f>'Bulk Order Details'!B168</f>
        <v>155</v>
      </c>
      <c r="C158" s="34" t="str">
        <f>IF('Bulk Order Details'!C168="","",'Bulk Order Details'!C168&amp;" "&amp;'Bulk Order Details'!D168)</f>
        <v/>
      </c>
      <c r="D158" s="31" t="str">
        <f>IF('Bulk Order Details'!M168="","",VLOOKUP(1,Price[],3))</f>
        <v/>
      </c>
      <c r="E158" s="29" t="str">
        <f>IF('Bulk Order Details'!M168="","",Summary!$D$9)</f>
        <v/>
      </c>
      <c r="F158" s="16" t="str">
        <f>IF('Bulk Order Details'!I168="","",_xlfn.XLOOKUP('Bulk Order Details'!I168,Size[Display],Size[Price]))</f>
        <v/>
      </c>
      <c r="G158" s="16" t="str">
        <f>IF('Bulk Order Details'!J168="","",_xlfn.XLOOKUP('Bulk Order Details'!J168,Length[Display],Length[Price]))</f>
        <v/>
      </c>
      <c r="H158" s="16" t="str">
        <f>IF('Bulk Order Details'!K168="","",_xlfn.XLOOKUP('Bulk Order Details'!K168,Collection[Display],Collection[Price]))</f>
        <v/>
      </c>
      <c r="I158" s="16" t="str">
        <f>IF('Bulk Order Details'!L168="","",_xlfn.XLOOKUP('Bulk Order Details'!L168,Sleeve[Display],Sleeve[Price]))</f>
        <v/>
      </c>
      <c r="J158" s="16" t="str">
        <f>IF('Bulk Order Details'!M168="","",_xlfn.XLOOKUP('Bulk Order Details'!M168,Collar[Display],Collar[Price]))</f>
        <v/>
      </c>
      <c r="K158" s="16" t="str">
        <f>IF('Bulk Order Details'!N168="","",_xlfn.XLOOKUP("Name",Name[Name],Name[Price]))</f>
        <v/>
      </c>
      <c r="L158" s="18" t="str">
        <f>IFERROR(IF('Bulk Order Details'!R168="","",IF(_xlfn.XLOOKUP('Bulk Order Details'!R168,Logos[Display],Logos[Use])="Flat",_xlfn.XLOOKUP('Bulk Order Details'!R168,Logos[Display],Logos[Flat]),ROUND(_xlfn.XLOOKUP('Bulk Order Details'!R168,Logos[Display],Logos[Pct])*$E158,2))),"")</f>
        <v/>
      </c>
      <c r="M158" s="22" t="str">
        <f>IFERROR(IF('Bulk Order Details'!S168="","",IF(_xlfn.XLOOKUP('Bulk Order Details'!S168,Chest[Display],Chest[Use])="Flat",_xlfn.XLOOKUP('Bulk Order Details'!S168,Chest[Display],Chest[Flat]),ROUND(_xlfn.XLOOKUP('Bulk Order Details'!S168,Chest[Display],Chest[Pct])*$E158,2))),"")</f>
        <v/>
      </c>
      <c r="N158" s="22" t="str">
        <f>IFERROR(IF('Bulk Order Details'!T168="","",IF(_xlfn.XLOOKUP('Bulk Order Details'!T168,Chest[Display],Chest[Use])="Flat",_xlfn.XLOOKUP('Bulk Order Details'!T168,Chest[Display],Chest[Flat]),ROUND(_xlfn.XLOOKUP('Bulk Order Details'!T168,Chest[Display],Chest[Pct])*$E158,2))),"")</f>
        <v/>
      </c>
      <c r="O158" s="22" t="str">
        <f>IFERROR(IF('Bulk Order Details'!U168="","",IF(_xlfn.XLOOKUP('Bulk Order Details'!U168,LeftSleeve[Display],LeftSleeve[Use])="Flat",_xlfn.XLOOKUP('Bulk Order Details'!U168,LeftSleeve[Display],LeftSleeve[Flat]),ROUND(_xlfn.XLOOKUP('Bulk Order Details'!U168,LeftSleeve[Display],LeftSleeve[Pct])*$E158,2))),"")</f>
        <v/>
      </c>
      <c r="P158" s="22" t="str">
        <f>IFERROR(IF('Bulk Order Details'!V168="","",IF(_xlfn.XLOOKUP('Bulk Order Details'!V168,RightSleeve[Display],RightSleeve[Use])="Flat",_xlfn.XLOOKUP('Bulk Order Details'!V168,RightSleeve[Display],RightSleeve[Flat]),ROUND(_xlfn.XLOOKUP('Bulk Order Details'!V168,RightSleeve[Display],RightSleeve[Pct])*$E158,2))),"")</f>
        <v/>
      </c>
      <c r="Q158" s="27" t="str">
        <f>IF('Bulk Order Details'!M168="","",SUM(F158:P158))</f>
        <v/>
      </c>
      <c r="R158" s="24" t="str">
        <f t="shared" si="11"/>
        <v/>
      </c>
      <c r="S158" s="23" t="str">
        <f>IFERROR(MIN(IF(Summary!$D$11="Yes",-J158,0),IF(H158&gt;0,-J158,0)),"")</f>
        <v/>
      </c>
      <c r="T158" s="16" t="str">
        <f>IFERROR(IF(Summary!$D$10="Yes",-K158,""),"")</f>
        <v/>
      </c>
      <c r="U158" s="18" t="str">
        <f>IFERROR(IF(Summary!$D$12="Yes",-L158,""),"")</f>
        <v/>
      </c>
      <c r="V158" s="25" t="str">
        <f>IF('Bulk Order Details'!M168="","",SUM(R158:U158))</f>
        <v/>
      </c>
      <c r="W158" s="36" t="str">
        <f>IF('Bulk Order Details'!M168="","",D158+Q158)</f>
        <v/>
      </c>
      <c r="X158" s="37" t="str">
        <f>IF('Bulk Order Details'!M168="","",D158+Q158+V158)</f>
        <v/>
      </c>
      <c r="Y158" s="168" t="str">
        <f t="shared" si="10"/>
        <v/>
      </c>
      <c r="Z158" s="173" t="str">
        <f>IF('Bulk Order Details'!M168="","",MAX(1,'Bulk Order Details'!G168))</f>
        <v/>
      </c>
      <c r="AA158" s="196" t="str">
        <f>IF(Pricing_Details[[#This Row],[Quantity]]="","",Pricing_Details[[#This Row],[Retail Price]]*Pricing_Details[[#This Row],[Quantity]])</f>
        <v/>
      </c>
      <c r="AB158" s="196" t="str">
        <f>IF(Pricing_Details[[#This Row],[Quantity]]="","",Pricing_Details[[#This Row],[Total Discount]]*Pricing_Details[[#This Row],[Quantity]])</f>
        <v/>
      </c>
      <c r="AC158" s="176" t="str">
        <f>IFERROR(ROUND(Pricing_Details[[#This Row],[Actual Price]]*Pricing_Details[[#This Row],[Quantity]],2),"")</f>
        <v/>
      </c>
      <c r="AE158" s="156" t="str">
        <f>IF('Bulk Order Details'!M168="","",VLOOKUP('Bulk Order Details'!K168,Collection[],3)&amp;VLOOKUP('Bulk Order Details'!M168,Collar[],4)&amp;VLOOKUP('Bulk Order Details'!L168,Sleeve[],4))</f>
        <v/>
      </c>
      <c r="AF158" s="156" t="str">
        <f>IF('Bulk Order Details'!M168="","",LOOKUP('Bulk Order Details'!H168,Cut[Display],Cut[Code])&amp;LOOKUP('Bulk Order Details'!I168,#REF!,#REF!)&amp;IF('Bulk Order Details'!J168="","",LOOKUP('Bulk Order Details'!J168,Length[Display],Length[Code])))</f>
        <v/>
      </c>
      <c r="AG158" s="156" t="str">
        <f>IF('Bulk Order Details'!M168="","",IF('Bulk Order Details'!F168="","",'Bulk Order Details'!F168))</f>
        <v/>
      </c>
      <c r="AH158" s="156" t="str">
        <f>IF('Bulk Order Details'!R168="","","-"&amp;LOOKUP('Bulk Order Details'!R168,#REF!,#REF!))</f>
        <v/>
      </c>
      <c r="AI158" s="156" t="str">
        <f>IF('Bulk Order Details'!S168="","","-"&amp;LOOKUP('Bulk Order Details'!S168,#REF!,#REF!))</f>
        <v/>
      </c>
      <c r="AJ158" s="156" t="str">
        <f>IF('Bulk Order Details'!T168="","","-"&amp;LOOKUP('Bulk Order Details'!T168,#REF!,#REF!))</f>
        <v/>
      </c>
      <c r="AK158" s="156" t="str">
        <f>IF('Bulk Order Details'!U168="","","-"&amp;LOOKUP('Bulk Order Details'!U168,#REF!,#REF!))</f>
        <v/>
      </c>
      <c r="AL158" s="156" t="str">
        <f>IF('Bulk Order Details'!V168="","","-"&amp;LOOKUP('Bulk Order Details'!V168,#REF!,#REF!))</f>
        <v/>
      </c>
      <c r="AM158" s="156" t="str">
        <f t="shared" si="12"/>
        <v/>
      </c>
      <c r="AN158" s="156" t="str">
        <f>IF('Bulk Order Details'!N168="","","Na-"&amp;'Bulk Order Details'!N168)</f>
        <v/>
      </c>
      <c r="AO158" s="156" t="str">
        <f>IF('Bulk Order Details'!Q168="","","Fo-"&amp;'Bulk Order Details'!Q168)</f>
        <v/>
      </c>
      <c r="AP158" s="156" t="str">
        <f t="shared" si="13"/>
        <v/>
      </c>
      <c r="AQ158" s="37" t="str">
        <f t="shared" si="14"/>
        <v/>
      </c>
    </row>
    <row r="159" spans="2:43" ht="15" customHeight="1" x14ac:dyDescent="0.2">
      <c r="B159" s="34">
        <f>'Bulk Order Details'!B169</f>
        <v>156</v>
      </c>
      <c r="C159" s="34" t="str">
        <f>IF('Bulk Order Details'!C169="","",'Bulk Order Details'!C169&amp;" "&amp;'Bulk Order Details'!D169)</f>
        <v/>
      </c>
      <c r="D159" s="31" t="str">
        <f>IF('Bulk Order Details'!M169="","",VLOOKUP(1,Price[],3))</f>
        <v/>
      </c>
      <c r="E159" s="29" t="str">
        <f>IF('Bulk Order Details'!M169="","",Summary!$D$9)</f>
        <v/>
      </c>
      <c r="F159" s="16" t="str">
        <f>IF('Bulk Order Details'!I169="","",_xlfn.XLOOKUP('Bulk Order Details'!I169,Size[Display],Size[Price]))</f>
        <v/>
      </c>
      <c r="G159" s="16" t="str">
        <f>IF('Bulk Order Details'!J169="","",_xlfn.XLOOKUP('Bulk Order Details'!J169,Length[Display],Length[Price]))</f>
        <v/>
      </c>
      <c r="H159" s="16" t="str">
        <f>IF('Bulk Order Details'!K169="","",_xlfn.XLOOKUP('Bulk Order Details'!K169,Collection[Display],Collection[Price]))</f>
        <v/>
      </c>
      <c r="I159" s="16" t="str">
        <f>IF('Bulk Order Details'!L169="","",_xlfn.XLOOKUP('Bulk Order Details'!L169,Sleeve[Display],Sleeve[Price]))</f>
        <v/>
      </c>
      <c r="J159" s="16" t="str">
        <f>IF('Bulk Order Details'!M169="","",_xlfn.XLOOKUP('Bulk Order Details'!M169,Collar[Display],Collar[Price]))</f>
        <v/>
      </c>
      <c r="K159" s="16" t="str">
        <f>IF('Bulk Order Details'!N169="","",_xlfn.XLOOKUP("Name",Name[Name],Name[Price]))</f>
        <v/>
      </c>
      <c r="L159" s="18" t="str">
        <f>IFERROR(IF('Bulk Order Details'!R169="","",IF(_xlfn.XLOOKUP('Bulk Order Details'!R169,Logos[Display],Logos[Use])="Flat",_xlfn.XLOOKUP('Bulk Order Details'!R169,Logos[Display],Logos[Flat]),ROUND(_xlfn.XLOOKUP('Bulk Order Details'!R169,Logos[Display],Logos[Pct])*$E159,2))),"")</f>
        <v/>
      </c>
      <c r="M159" s="22" t="str">
        <f>IFERROR(IF('Bulk Order Details'!S169="","",IF(_xlfn.XLOOKUP('Bulk Order Details'!S169,Chest[Display],Chest[Use])="Flat",_xlfn.XLOOKUP('Bulk Order Details'!S169,Chest[Display],Chest[Flat]),ROUND(_xlfn.XLOOKUP('Bulk Order Details'!S169,Chest[Display],Chest[Pct])*$E159,2))),"")</f>
        <v/>
      </c>
      <c r="N159" s="22" t="str">
        <f>IFERROR(IF('Bulk Order Details'!T169="","",IF(_xlfn.XLOOKUP('Bulk Order Details'!T169,Chest[Display],Chest[Use])="Flat",_xlfn.XLOOKUP('Bulk Order Details'!T169,Chest[Display],Chest[Flat]),ROUND(_xlfn.XLOOKUP('Bulk Order Details'!T169,Chest[Display],Chest[Pct])*$E159,2))),"")</f>
        <v/>
      </c>
      <c r="O159" s="22" t="str">
        <f>IFERROR(IF('Bulk Order Details'!U169="","",IF(_xlfn.XLOOKUP('Bulk Order Details'!U169,LeftSleeve[Display],LeftSleeve[Use])="Flat",_xlfn.XLOOKUP('Bulk Order Details'!U169,LeftSleeve[Display],LeftSleeve[Flat]),ROUND(_xlfn.XLOOKUP('Bulk Order Details'!U169,LeftSleeve[Display],LeftSleeve[Pct])*$E159,2))),"")</f>
        <v/>
      </c>
      <c r="P159" s="22" t="str">
        <f>IFERROR(IF('Bulk Order Details'!V169="","",IF(_xlfn.XLOOKUP('Bulk Order Details'!V169,RightSleeve[Display],RightSleeve[Use])="Flat",_xlfn.XLOOKUP('Bulk Order Details'!V169,RightSleeve[Display],RightSleeve[Flat]),ROUND(_xlfn.XLOOKUP('Bulk Order Details'!V169,RightSleeve[Display],RightSleeve[Pct])*$E159,2))),"")</f>
        <v/>
      </c>
      <c r="Q159" s="27" t="str">
        <f>IF('Bulk Order Details'!M169="","",SUM(F159:P159))</f>
        <v/>
      </c>
      <c r="R159" s="24" t="str">
        <f t="shared" si="11"/>
        <v/>
      </c>
      <c r="S159" s="23" t="str">
        <f>IFERROR(MIN(IF(Summary!$D$11="Yes",-J159,0),IF(H159&gt;0,-J159,0)),"")</f>
        <v/>
      </c>
      <c r="T159" s="16" t="str">
        <f>IFERROR(IF(Summary!$D$10="Yes",-K159,""),"")</f>
        <v/>
      </c>
      <c r="U159" s="18" t="str">
        <f>IFERROR(IF(Summary!$D$12="Yes",-L159,""),"")</f>
        <v/>
      </c>
      <c r="V159" s="25" t="str">
        <f>IF('Bulk Order Details'!M169="","",SUM(R159:U159))</f>
        <v/>
      </c>
      <c r="W159" s="36" t="str">
        <f>IF('Bulk Order Details'!M169="","",D159+Q159)</f>
        <v/>
      </c>
      <c r="X159" s="37" t="str">
        <f>IF('Bulk Order Details'!M169="","",D159+Q159+V159)</f>
        <v/>
      </c>
      <c r="Y159" s="168" t="str">
        <f t="shared" si="10"/>
        <v/>
      </c>
      <c r="Z159" s="173" t="str">
        <f>IF('Bulk Order Details'!M169="","",MAX(1,'Bulk Order Details'!G169))</f>
        <v/>
      </c>
      <c r="AA159" s="196" t="str">
        <f>IF(Pricing_Details[[#This Row],[Quantity]]="","",Pricing_Details[[#This Row],[Retail Price]]*Pricing_Details[[#This Row],[Quantity]])</f>
        <v/>
      </c>
      <c r="AB159" s="196" t="str">
        <f>IF(Pricing_Details[[#This Row],[Quantity]]="","",Pricing_Details[[#This Row],[Total Discount]]*Pricing_Details[[#This Row],[Quantity]])</f>
        <v/>
      </c>
      <c r="AC159" s="176" t="str">
        <f>IFERROR(ROUND(Pricing_Details[[#This Row],[Actual Price]]*Pricing_Details[[#This Row],[Quantity]],2),"")</f>
        <v/>
      </c>
      <c r="AE159" s="156" t="str">
        <f>IF('Bulk Order Details'!M169="","",VLOOKUP('Bulk Order Details'!K169,Collection[],3)&amp;VLOOKUP('Bulk Order Details'!M169,Collar[],4)&amp;VLOOKUP('Bulk Order Details'!L169,Sleeve[],4))</f>
        <v/>
      </c>
      <c r="AF159" s="156" t="str">
        <f>IF('Bulk Order Details'!M169="","",LOOKUP('Bulk Order Details'!H169,Cut[Display],Cut[Code])&amp;LOOKUP('Bulk Order Details'!I169,#REF!,#REF!)&amp;IF('Bulk Order Details'!J169="","",LOOKUP('Bulk Order Details'!J169,Length[Display],Length[Code])))</f>
        <v/>
      </c>
      <c r="AG159" s="156" t="str">
        <f>IF('Bulk Order Details'!M169="","",IF('Bulk Order Details'!F169="","",'Bulk Order Details'!F169))</f>
        <v/>
      </c>
      <c r="AH159" s="156" t="str">
        <f>IF('Bulk Order Details'!R169="","","-"&amp;LOOKUP('Bulk Order Details'!R169,#REF!,#REF!))</f>
        <v/>
      </c>
      <c r="AI159" s="156" t="str">
        <f>IF('Bulk Order Details'!S169="","","-"&amp;LOOKUP('Bulk Order Details'!S169,#REF!,#REF!))</f>
        <v/>
      </c>
      <c r="AJ159" s="156" t="str">
        <f>IF('Bulk Order Details'!T169="","","-"&amp;LOOKUP('Bulk Order Details'!T169,#REF!,#REF!))</f>
        <v/>
      </c>
      <c r="AK159" s="156" t="str">
        <f>IF('Bulk Order Details'!U169="","","-"&amp;LOOKUP('Bulk Order Details'!U169,#REF!,#REF!))</f>
        <v/>
      </c>
      <c r="AL159" s="156" t="str">
        <f>IF('Bulk Order Details'!V169="","","-"&amp;LOOKUP('Bulk Order Details'!V169,#REF!,#REF!))</f>
        <v/>
      </c>
      <c r="AM159" s="156" t="str">
        <f t="shared" si="12"/>
        <v/>
      </c>
      <c r="AN159" s="156" t="str">
        <f>IF('Bulk Order Details'!N169="","","Na-"&amp;'Bulk Order Details'!N169)</f>
        <v/>
      </c>
      <c r="AO159" s="156" t="str">
        <f>IF('Bulk Order Details'!Q169="","","Fo-"&amp;'Bulk Order Details'!Q169)</f>
        <v/>
      </c>
      <c r="AP159" s="156" t="str">
        <f t="shared" si="13"/>
        <v/>
      </c>
      <c r="AQ159" s="37" t="str">
        <f t="shared" si="14"/>
        <v/>
      </c>
    </row>
    <row r="160" spans="2:43" ht="15" customHeight="1" x14ac:dyDescent="0.2">
      <c r="B160" s="34">
        <f>'Bulk Order Details'!B170</f>
        <v>157</v>
      </c>
      <c r="C160" s="34" t="str">
        <f>IF('Bulk Order Details'!C170="","",'Bulk Order Details'!C170&amp;" "&amp;'Bulk Order Details'!D170)</f>
        <v/>
      </c>
      <c r="D160" s="31" t="str">
        <f>IF('Bulk Order Details'!M170="","",VLOOKUP(1,Price[],3))</f>
        <v/>
      </c>
      <c r="E160" s="29" t="str">
        <f>IF('Bulk Order Details'!M170="","",Summary!$D$9)</f>
        <v/>
      </c>
      <c r="F160" s="16" t="str">
        <f>IF('Bulk Order Details'!I170="","",_xlfn.XLOOKUP('Bulk Order Details'!I170,Size[Display],Size[Price]))</f>
        <v/>
      </c>
      <c r="G160" s="16" t="str">
        <f>IF('Bulk Order Details'!J170="","",_xlfn.XLOOKUP('Bulk Order Details'!J170,Length[Display],Length[Price]))</f>
        <v/>
      </c>
      <c r="H160" s="16" t="str">
        <f>IF('Bulk Order Details'!K170="","",_xlfn.XLOOKUP('Bulk Order Details'!K170,Collection[Display],Collection[Price]))</f>
        <v/>
      </c>
      <c r="I160" s="16" t="str">
        <f>IF('Bulk Order Details'!L170="","",_xlfn.XLOOKUP('Bulk Order Details'!L170,Sleeve[Display],Sleeve[Price]))</f>
        <v/>
      </c>
      <c r="J160" s="16" t="str">
        <f>IF('Bulk Order Details'!M170="","",_xlfn.XLOOKUP('Bulk Order Details'!M170,Collar[Display],Collar[Price]))</f>
        <v/>
      </c>
      <c r="K160" s="16" t="str">
        <f>IF('Bulk Order Details'!N170="","",_xlfn.XLOOKUP("Name",Name[Name],Name[Price]))</f>
        <v/>
      </c>
      <c r="L160" s="18" t="str">
        <f>IFERROR(IF('Bulk Order Details'!R170="","",IF(_xlfn.XLOOKUP('Bulk Order Details'!R170,Logos[Display],Logos[Use])="Flat",_xlfn.XLOOKUP('Bulk Order Details'!R170,Logos[Display],Logos[Flat]),ROUND(_xlfn.XLOOKUP('Bulk Order Details'!R170,Logos[Display],Logos[Pct])*$E160,2))),"")</f>
        <v/>
      </c>
      <c r="M160" s="22" t="str">
        <f>IFERROR(IF('Bulk Order Details'!S170="","",IF(_xlfn.XLOOKUP('Bulk Order Details'!S170,Chest[Display],Chest[Use])="Flat",_xlfn.XLOOKUP('Bulk Order Details'!S170,Chest[Display],Chest[Flat]),ROUND(_xlfn.XLOOKUP('Bulk Order Details'!S170,Chest[Display],Chest[Pct])*$E160,2))),"")</f>
        <v/>
      </c>
      <c r="N160" s="22" t="str">
        <f>IFERROR(IF('Bulk Order Details'!T170="","",IF(_xlfn.XLOOKUP('Bulk Order Details'!T170,Chest[Display],Chest[Use])="Flat",_xlfn.XLOOKUP('Bulk Order Details'!T170,Chest[Display],Chest[Flat]),ROUND(_xlfn.XLOOKUP('Bulk Order Details'!T170,Chest[Display],Chest[Pct])*$E160,2))),"")</f>
        <v/>
      </c>
      <c r="O160" s="22" t="str">
        <f>IFERROR(IF('Bulk Order Details'!U170="","",IF(_xlfn.XLOOKUP('Bulk Order Details'!U170,LeftSleeve[Display],LeftSleeve[Use])="Flat",_xlfn.XLOOKUP('Bulk Order Details'!U170,LeftSleeve[Display],LeftSleeve[Flat]),ROUND(_xlfn.XLOOKUP('Bulk Order Details'!U170,LeftSleeve[Display],LeftSleeve[Pct])*$E160,2))),"")</f>
        <v/>
      </c>
      <c r="P160" s="22" t="str">
        <f>IFERROR(IF('Bulk Order Details'!V170="","",IF(_xlfn.XLOOKUP('Bulk Order Details'!V170,RightSleeve[Display],RightSleeve[Use])="Flat",_xlfn.XLOOKUP('Bulk Order Details'!V170,RightSleeve[Display],RightSleeve[Flat]),ROUND(_xlfn.XLOOKUP('Bulk Order Details'!V170,RightSleeve[Display],RightSleeve[Pct])*$E160,2))),"")</f>
        <v/>
      </c>
      <c r="Q160" s="27" t="str">
        <f>IF('Bulk Order Details'!M170="","",SUM(F160:P160))</f>
        <v/>
      </c>
      <c r="R160" s="24" t="str">
        <f t="shared" si="11"/>
        <v/>
      </c>
      <c r="S160" s="23" t="str">
        <f>IFERROR(MIN(IF(Summary!$D$11="Yes",-J160,0),IF(H160&gt;0,-J160,0)),"")</f>
        <v/>
      </c>
      <c r="T160" s="16" t="str">
        <f>IFERROR(IF(Summary!$D$10="Yes",-K160,""),"")</f>
        <v/>
      </c>
      <c r="U160" s="18" t="str">
        <f>IFERROR(IF(Summary!$D$12="Yes",-L160,""),"")</f>
        <v/>
      </c>
      <c r="V160" s="25" t="str">
        <f>IF('Bulk Order Details'!M170="","",SUM(R160:U160))</f>
        <v/>
      </c>
      <c r="W160" s="36" t="str">
        <f>IF('Bulk Order Details'!M170="","",D160+Q160)</f>
        <v/>
      </c>
      <c r="X160" s="37" t="str">
        <f>IF('Bulk Order Details'!M170="","",D160+Q160+V160)</f>
        <v/>
      </c>
      <c r="Y160" s="168" t="str">
        <f t="shared" si="10"/>
        <v/>
      </c>
      <c r="Z160" s="173" t="str">
        <f>IF('Bulk Order Details'!M170="","",MAX(1,'Bulk Order Details'!G170))</f>
        <v/>
      </c>
      <c r="AA160" s="196" t="str">
        <f>IF(Pricing_Details[[#This Row],[Quantity]]="","",Pricing_Details[[#This Row],[Retail Price]]*Pricing_Details[[#This Row],[Quantity]])</f>
        <v/>
      </c>
      <c r="AB160" s="196" t="str">
        <f>IF(Pricing_Details[[#This Row],[Quantity]]="","",Pricing_Details[[#This Row],[Total Discount]]*Pricing_Details[[#This Row],[Quantity]])</f>
        <v/>
      </c>
      <c r="AC160" s="176" t="str">
        <f>IFERROR(ROUND(Pricing_Details[[#This Row],[Actual Price]]*Pricing_Details[[#This Row],[Quantity]],2),"")</f>
        <v/>
      </c>
      <c r="AE160" s="156" t="str">
        <f>IF('Bulk Order Details'!M170="","",VLOOKUP('Bulk Order Details'!K170,Collection[],3)&amp;VLOOKUP('Bulk Order Details'!M170,Collar[],4)&amp;VLOOKUP('Bulk Order Details'!L170,Sleeve[],4))</f>
        <v/>
      </c>
      <c r="AF160" s="156" t="str">
        <f>IF('Bulk Order Details'!M170="","",LOOKUP('Bulk Order Details'!H170,Cut[Display],Cut[Code])&amp;LOOKUP('Bulk Order Details'!I170,#REF!,#REF!)&amp;IF('Bulk Order Details'!J170="","",LOOKUP('Bulk Order Details'!J170,Length[Display],Length[Code])))</f>
        <v/>
      </c>
      <c r="AG160" s="156" t="str">
        <f>IF('Bulk Order Details'!M170="","",IF('Bulk Order Details'!F170="","",'Bulk Order Details'!F170))</f>
        <v/>
      </c>
      <c r="AH160" s="156" t="str">
        <f>IF('Bulk Order Details'!R170="","","-"&amp;LOOKUP('Bulk Order Details'!R170,#REF!,#REF!))</f>
        <v/>
      </c>
      <c r="AI160" s="156" t="str">
        <f>IF('Bulk Order Details'!S170="","","-"&amp;LOOKUP('Bulk Order Details'!S170,#REF!,#REF!))</f>
        <v/>
      </c>
      <c r="AJ160" s="156" t="str">
        <f>IF('Bulk Order Details'!T170="","","-"&amp;LOOKUP('Bulk Order Details'!T170,#REF!,#REF!))</f>
        <v/>
      </c>
      <c r="AK160" s="156" t="str">
        <f>IF('Bulk Order Details'!U170="","","-"&amp;LOOKUP('Bulk Order Details'!U170,#REF!,#REF!))</f>
        <v/>
      </c>
      <c r="AL160" s="156" t="str">
        <f>IF('Bulk Order Details'!V170="","","-"&amp;LOOKUP('Bulk Order Details'!V170,#REF!,#REF!))</f>
        <v/>
      </c>
      <c r="AM160" s="156" t="str">
        <f t="shared" si="12"/>
        <v/>
      </c>
      <c r="AN160" s="156" t="str">
        <f>IF('Bulk Order Details'!N170="","","Na-"&amp;'Bulk Order Details'!N170)</f>
        <v/>
      </c>
      <c r="AO160" s="156" t="str">
        <f>IF('Bulk Order Details'!Q170="","","Fo-"&amp;'Bulk Order Details'!Q170)</f>
        <v/>
      </c>
      <c r="AP160" s="156" t="str">
        <f t="shared" si="13"/>
        <v/>
      </c>
      <c r="AQ160" s="37" t="str">
        <f t="shared" si="14"/>
        <v/>
      </c>
    </row>
    <row r="161" spans="2:43" ht="15" customHeight="1" x14ac:dyDescent="0.2">
      <c r="B161" s="34">
        <f>'Bulk Order Details'!B171</f>
        <v>158</v>
      </c>
      <c r="C161" s="34" t="str">
        <f>IF('Bulk Order Details'!C171="","",'Bulk Order Details'!C171&amp;" "&amp;'Bulk Order Details'!D171)</f>
        <v/>
      </c>
      <c r="D161" s="31" t="str">
        <f>IF('Bulk Order Details'!M171="","",VLOOKUP(1,Price[],3))</f>
        <v/>
      </c>
      <c r="E161" s="29" t="str">
        <f>IF('Bulk Order Details'!M171="","",Summary!$D$9)</f>
        <v/>
      </c>
      <c r="F161" s="16" t="str">
        <f>IF('Bulk Order Details'!I171="","",_xlfn.XLOOKUP('Bulk Order Details'!I171,Size[Display],Size[Price]))</f>
        <v/>
      </c>
      <c r="G161" s="16" t="str">
        <f>IF('Bulk Order Details'!J171="","",_xlfn.XLOOKUP('Bulk Order Details'!J171,Length[Display],Length[Price]))</f>
        <v/>
      </c>
      <c r="H161" s="16" t="str">
        <f>IF('Bulk Order Details'!K171="","",_xlfn.XLOOKUP('Bulk Order Details'!K171,Collection[Display],Collection[Price]))</f>
        <v/>
      </c>
      <c r="I161" s="16" t="str">
        <f>IF('Bulk Order Details'!L171="","",_xlfn.XLOOKUP('Bulk Order Details'!L171,Sleeve[Display],Sleeve[Price]))</f>
        <v/>
      </c>
      <c r="J161" s="16" t="str">
        <f>IF('Bulk Order Details'!M171="","",_xlfn.XLOOKUP('Bulk Order Details'!M171,Collar[Display],Collar[Price]))</f>
        <v/>
      </c>
      <c r="K161" s="16" t="str">
        <f>IF('Bulk Order Details'!N171="","",_xlfn.XLOOKUP("Name",Name[Name],Name[Price]))</f>
        <v/>
      </c>
      <c r="L161" s="18" t="str">
        <f>IFERROR(IF('Bulk Order Details'!R171="","",IF(_xlfn.XLOOKUP('Bulk Order Details'!R171,Logos[Display],Logos[Use])="Flat",_xlfn.XLOOKUP('Bulk Order Details'!R171,Logos[Display],Logos[Flat]),ROUND(_xlfn.XLOOKUP('Bulk Order Details'!R171,Logos[Display],Logos[Pct])*$E161,2))),"")</f>
        <v/>
      </c>
      <c r="M161" s="22" t="str">
        <f>IFERROR(IF('Bulk Order Details'!S171="","",IF(_xlfn.XLOOKUP('Bulk Order Details'!S171,Chest[Display],Chest[Use])="Flat",_xlfn.XLOOKUP('Bulk Order Details'!S171,Chest[Display],Chest[Flat]),ROUND(_xlfn.XLOOKUP('Bulk Order Details'!S171,Chest[Display],Chest[Pct])*$E161,2))),"")</f>
        <v/>
      </c>
      <c r="N161" s="22" t="str">
        <f>IFERROR(IF('Bulk Order Details'!T171="","",IF(_xlfn.XLOOKUP('Bulk Order Details'!T171,Chest[Display],Chest[Use])="Flat",_xlfn.XLOOKUP('Bulk Order Details'!T171,Chest[Display],Chest[Flat]),ROUND(_xlfn.XLOOKUP('Bulk Order Details'!T171,Chest[Display],Chest[Pct])*$E161,2))),"")</f>
        <v/>
      </c>
      <c r="O161" s="22" t="str">
        <f>IFERROR(IF('Bulk Order Details'!U171="","",IF(_xlfn.XLOOKUP('Bulk Order Details'!U171,LeftSleeve[Display],LeftSleeve[Use])="Flat",_xlfn.XLOOKUP('Bulk Order Details'!U171,LeftSleeve[Display],LeftSleeve[Flat]),ROUND(_xlfn.XLOOKUP('Bulk Order Details'!U171,LeftSleeve[Display],LeftSleeve[Pct])*$E161,2))),"")</f>
        <v/>
      </c>
      <c r="P161" s="22" t="str">
        <f>IFERROR(IF('Bulk Order Details'!V171="","",IF(_xlfn.XLOOKUP('Bulk Order Details'!V171,RightSleeve[Display],RightSleeve[Use])="Flat",_xlfn.XLOOKUP('Bulk Order Details'!V171,RightSleeve[Display],RightSleeve[Flat]),ROUND(_xlfn.XLOOKUP('Bulk Order Details'!V171,RightSleeve[Display],RightSleeve[Pct])*$E161,2))),"")</f>
        <v/>
      </c>
      <c r="Q161" s="27" t="str">
        <f>IF('Bulk Order Details'!M171="","",SUM(F161:P161))</f>
        <v/>
      </c>
      <c r="R161" s="24" t="str">
        <f t="shared" si="11"/>
        <v/>
      </c>
      <c r="S161" s="23" t="str">
        <f>IFERROR(MIN(IF(Summary!$D$11="Yes",-J161,0),IF(H161&gt;0,-J161,0)),"")</f>
        <v/>
      </c>
      <c r="T161" s="16" t="str">
        <f>IFERROR(IF(Summary!$D$10="Yes",-K161,""),"")</f>
        <v/>
      </c>
      <c r="U161" s="18" t="str">
        <f>IFERROR(IF(Summary!$D$12="Yes",-L161,""),"")</f>
        <v/>
      </c>
      <c r="V161" s="25" t="str">
        <f>IF('Bulk Order Details'!M171="","",SUM(R161:U161))</f>
        <v/>
      </c>
      <c r="W161" s="36" t="str">
        <f>IF('Bulk Order Details'!M171="","",D161+Q161)</f>
        <v/>
      </c>
      <c r="X161" s="37" t="str">
        <f>IF('Bulk Order Details'!M171="","",D161+Q161+V161)</f>
        <v/>
      </c>
      <c r="Y161" s="168" t="str">
        <f t="shared" si="10"/>
        <v/>
      </c>
      <c r="Z161" s="173" t="str">
        <f>IF('Bulk Order Details'!M171="","",MAX(1,'Bulk Order Details'!G171))</f>
        <v/>
      </c>
      <c r="AA161" s="196" t="str">
        <f>IF(Pricing_Details[[#This Row],[Quantity]]="","",Pricing_Details[[#This Row],[Retail Price]]*Pricing_Details[[#This Row],[Quantity]])</f>
        <v/>
      </c>
      <c r="AB161" s="196" t="str">
        <f>IF(Pricing_Details[[#This Row],[Quantity]]="","",Pricing_Details[[#This Row],[Total Discount]]*Pricing_Details[[#This Row],[Quantity]])</f>
        <v/>
      </c>
      <c r="AC161" s="176" t="str">
        <f>IFERROR(ROUND(Pricing_Details[[#This Row],[Actual Price]]*Pricing_Details[[#This Row],[Quantity]],2),"")</f>
        <v/>
      </c>
      <c r="AE161" s="156" t="str">
        <f>IF('Bulk Order Details'!M171="","",VLOOKUP('Bulk Order Details'!K171,Collection[],3)&amp;VLOOKUP('Bulk Order Details'!M171,Collar[],4)&amp;VLOOKUP('Bulk Order Details'!L171,Sleeve[],4))</f>
        <v/>
      </c>
      <c r="AF161" s="156" t="str">
        <f>IF('Bulk Order Details'!M171="","",LOOKUP('Bulk Order Details'!H171,Cut[Display],Cut[Code])&amp;LOOKUP('Bulk Order Details'!I171,#REF!,#REF!)&amp;IF('Bulk Order Details'!J171="","",LOOKUP('Bulk Order Details'!J171,Length[Display],Length[Code])))</f>
        <v/>
      </c>
      <c r="AG161" s="156" t="str">
        <f>IF('Bulk Order Details'!M171="","",IF('Bulk Order Details'!F171="","",'Bulk Order Details'!F171))</f>
        <v/>
      </c>
      <c r="AH161" s="156" t="str">
        <f>IF('Bulk Order Details'!R171="","","-"&amp;LOOKUP('Bulk Order Details'!R171,#REF!,#REF!))</f>
        <v/>
      </c>
      <c r="AI161" s="156" t="str">
        <f>IF('Bulk Order Details'!S171="","","-"&amp;LOOKUP('Bulk Order Details'!S171,#REF!,#REF!))</f>
        <v/>
      </c>
      <c r="AJ161" s="156" t="str">
        <f>IF('Bulk Order Details'!T171="","","-"&amp;LOOKUP('Bulk Order Details'!T171,#REF!,#REF!))</f>
        <v/>
      </c>
      <c r="AK161" s="156" t="str">
        <f>IF('Bulk Order Details'!U171="","","-"&amp;LOOKUP('Bulk Order Details'!U171,#REF!,#REF!))</f>
        <v/>
      </c>
      <c r="AL161" s="156" t="str">
        <f>IF('Bulk Order Details'!V171="","","-"&amp;LOOKUP('Bulk Order Details'!V171,#REF!,#REF!))</f>
        <v/>
      </c>
      <c r="AM161" s="156" t="str">
        <f t="shared" si="12"/>
        <v/>
      </c>
      <c r="AN161" s="156" t="str">
        <f>IF('Bulk Order Details'!N171="","","Na-"&amp;'Bulk Order Details'!N171)</f>
        <v/>
      </c>
      <c r="AO161" s="156" t="str">
        <f>IF('Bulk Order Details'!Q171="","","Fo-"&amp;'Bulk Order Details'!Q171)</f>
        <v/>
      </c>
      <c r="AP161" s="156" t="str">
        <f t="shared" si="13"/>
        <v/>
      </c>
      <c r="AQ161" s="37" t="str">
        <f t="shared" si="14"/>
        <v/>
      </c>
    </row>
    <row r="162" spans="2:43" ht="15" customHeight="1" x14ac:dyDescent="0.2">
      <c r="B162" s="34">
        <f>'Bulk Order Details'!B172</f>
        <v>159</v>
      </c>
      <c r="C162" s="34" t="str">
        <f>IF('Bulk Order Details'!C172="","",'Bulk Order Details'!C172&amp;" "&amp;'Bulk Order Details'!D172)</f>
        <v/>
      </c>
      <c r="D162" s="31" t="str">
        <f>IF('Bulk Order Details'!M172="","",VLOOKUP(1,Price[],3))</f>
        <v/>
      </c>
      <c r="E162" s="29" t="str">
        <f>IF('Bulk Order Details'!M172="","",Summary!$D$9)</f>
        <v/>
      </c>
      <c r="F162" s="16" t="str">
        <f>IF('Bulk Order Details'!I172="","",_xlfn.XLOOKUP('Bulk Order Details'!I172,Size[Display],Size[Price]))</f>
        <v/>
      </c>
      <c r="G162" s="16" t="str">
        <f>IF('Bulk Order Details'!J172="","",_xlfn.XLOOKUP('Bulk Order Details'!J172,Length[Display],Length[Price]))</f>
        <v/>
      </c>
      <c r="H162" s="16" t="str">
        <f>IF('Bulk Order Details'!K172="","",_xlfn.XLOOKUP('Bulk Order Details'!K172,Collection[Display],Collection[Price]))</f>
        <v/>
      </c>
      <c r="I162" s="16" t="str">
        <f>IF('Bulk Order Details'!L172="","",_xlfn.XLOOKUP('Bulk Order Details'!L172,Sleeve[Display],Sleeve[Price]))</f>
        <v/>
      </c>
      <c r="J162" s="16" t="str">
        <f>IF('Bulk Order Details'!M172="","",_xlfn.XLOOKUP('Bulk Order Details'!M172,Collar[Display],Collar[Price]))</f>
        <v/>
      </c>
      <c r="K162" s="16" t="str">
        <f>IF('Bulk Order Details'!N172="","",_xlfn.XLOOKUP("Name",Name[Name],Name[Price]))</f>
        <v/>
      </c>
      <c r="L162" s="18" t="str">
        <f>IFERROR(IF('Bulk Order Details'!R172="","",IF(_xlfn.XLOOKUP('Bulk Order Details'!R172,Logos[Display],Logos[Use])="Flat",_xlfn.XLOOKUP('Bulk Order Details'!R172,Logos[Display],Logos[Flat]),ROUND(_xlfn.XLOOKUP('Bulk Order Details'!R172,Logos[Display],Logos[Pct])*$E162,2))),"")</f>
        <v/>
      </c>
      <c r="M162" s="22" t="str">
        <f>IFERROR(IF('Bulk Order Details'!S172="","",IF(_xlfn.XLOOKUP('Bulk Order Details'!S172,Chest[Display],Chest[Use])="Flat",_xlfn.XLOOKUP('Bulk Order Details'!S172,Chest[Display],Chest[Flat]),ROUND(_xlfn.XLOOKUP('Bulk Order Details'!S172,Chest[Display],Chest[Pct])*$E162,2))),"")</f>
        <v/>
      </c>
      <c r="N162" s="22" t="str">
        <f>IFERROR(IF('Bulk Order Details'!T172="","",IF(_xlfn.XLOOKUP('Bulk Order Details'!T172,Chest[Display],Chest[Use])="Flat",_xlfn.XLOOKUP('Bulk Order Details'!T172,Chest[Display],Chest[Flat]),ROUND(_xlfn.XLOOKUP('Bulk Order Details'!T172,Chest[Display],Chest[Pct])*$E162,2))),"")</f>
        <v/>
      </c>
      <c r="O162" s="22" t="str">
        <f>IFERROR(IF('Bulk Order Details'!U172="","",IF(_xlfn.XLOOKUP('Bulk Order Details'!U172,LeftSleeve[Display],LeftSleeve[Use])="Flat",_xlfn.XLOOKUP('Bulk Order Details'!U172,LeftSleeve[Display],LeftSleeve[Flat]),ROUND(_xlfn.XLOOKUP('Bulk Order Details'!U172,LeftSleeve[Display],LeftSleeve[Pct])*$E162,2))),"")</f>
        <v/>
      </c>
      <c r="P162" s="22" t="str">
        <f>IFERROR(IF('Bulk Order Details'!V172="","",IF(_xlfn.XLOOKUP('Bulk Order Details'!V172,RightSleeve[Display],RightSleeve[Use])="Flat",_xlfn.XLOOKUP('Bulk Order Details'!V172,RightSleeve[Display],RightSleeve[Flat]),ROUND(_xlfn.XLOOKUP('Bulk Order Details'!V172,RightSleeve[Display],RightSleeve[Pct])*$E162,2))),"")</f>
        <v/>
      </c>
      <c r="Q162" s="27" t="str">
        <f>IF('Bulk Order Details'!M172="","",SUM(F162:P162))</f>
        <v/>
      </c>
      <c r="R162" s="24" t="str">
        <f t="shared" si="11"/>
        <v/>
      </c>
      <c r="S162" s="23" t="str">
        <f>IFERROR(MIN(IF(Summary!$D$11="Yes",-J162,0),IF(H162&gt;0,-J162,0)),"")</f>
        <v/>
      </c>
      <c r="T162" s="16" t="str">
        <f>IFERROR(IF(Summary!$D$10="Yes",-K162,""),"")</f>
        <v/>
      </c>
      <c r="U162" s="18" t="str">
        <f>IFERROR(IF(Summary!$D$12="Yes",-L162,""),"")</f>
        <v/>
      </c>
      <c r="V162" s="25" t="str">
        <f>IF('Bulk Order Details'!M172="","",SUM(R162:U162))</f>
        <v/>
      </c>
      <c r="W162" s="36" t="str">
        <f>IF('Bulk Order Details'!M172="","",D162+Q162)</f>
        <v/>
      </c>
      <c r="X162" s="37" t="str">
        <f>IF('Bulk Order Details'!M172="","",D162+Q162+V162)</f>
        <v/>
      </c>
      <c r="Y162" s="168" t="str">
        <f t="shared" si="10"/>
        <v/>
      </c>
      <c r="Z162" s="173" t="str">
        <f>IF('Bulk Order Details'!M172="","",MAX(1,'Bulk Order Details'!G172))</f>
        <v/>
      </c>
      <c r="AA162" s="196" t="str">
        <f>IF(Pricing_Details[[#This Row],[Quantity]]="","",Pricing_Details[[#This Row],[Retail Price]]*Pricing_Details[[#This Row],[Quantity]])</f>
        <v/>
      </c>
      <c r="AB162" s="196" t="str">
        <f>IF(Pricing_Details[[#This Row],[Quantity]]="","",Pricing_Details[[#This Row],[Total Discount]]*Pricing_Details[[#This Row],[Quantity]])</f>
        <v/>
      </c>
      <c r="AC162" s="176" t="str">
        <f>IFERROR(ROUND(Pricing_Details[[#This Row],[Actual Price]]*Pricing_Details[[#This Row],[Quantity]],2),"")</f>
        <v/>
      </c>
      <c r="AE162" s="156" t="str">
        <f>IF('Bulk Order Details'!M172="","",VLOOKUP('Bulk Order Details'!K172,Collection[],3)&amp;VLOOKUP('Bulk Order Details'!M172,Collar[],4)&amp;VLOOKUP('Bulk Order Details'!L172,Sleeve[],4))</f>
        <v/>
      </c>
      <c r="AF162" s="156" t="str">
        <f>IF('Bulk Order Details'!M172="","",LOOKUP('Bulk Order Details'!H172,Cut[Display],Cut[Code])&amp;LOOKUP('Bulk Order Details'!I172,#REF!,#REF!)&amp;IF('Bulk Order Details'!J172="","",LOOKUP('Bulk Order Details'!J172,Length[Display],Length[Code])))</f>
        <v/>
      </c>
      <c r="AG162" s="156" t="str">
        <f>IF('Bulk Order Details'!M172="","",IF('Bulk Order Details'!F172="","",'Bulk Order Details'!F172))</f>
        <v/>
      </c>
      <c r="AH162" s="156" t="str">
        <f>IF('Bulk Order Details'!R172="","","-"&amp;LOOKUP('Bulk Order Details'!R172,#REF!,#REF!))</f>
        <v/>
      </c>
      <c r="AI162" s="156" t="str">
        <f>IF('Bulk Order Details'!S172="","","-"&amp;LOOKUP('Bulk Order Details'!S172,#REF!,#REF!))</f>
        <v/>
      </c>
      <c r="AJ162" s="156" t="str">
        <f>IF('Bulk Order Details'!T172="","","-"&amp;LOOKUP('Bulk Order Details'!T172,#REF!,#REF!))</f>
        <v/>
      </c>
      <c r="AK162" s="156" t="str">
        <f>IF('Bulk Order Details'!U172="","","-"&amp;LOOKUP('Bulk Order Details'!U172,#REF!,#REF!))</f>
        <v/>
      </c>
      <c r="AL162" s="156" t="str">
        <f>IF('Bulk Order Details'!V172="","","-"&amp;LOOKUP('Bulk Order Details'!V172,#REF!,#REF!))</f>
        <v/>
      </c>
      <c r="AM162" s="156" t="str">
        <f t="shared" si="12"/>
        <v/>
      </c>
      <c r="AN162" s="156" t="str">
        <f>IF('Bulk Order Details'!N172="","","Na-"&amp;'Bulk Order Details'!N172)</f>
        <v/>
      </c>
      <c r="AO162" s="156" t="str">
        <f>IF('Bulk Order Details'!Q172="","","Fo-"&amp;'Bulk Order Details'!Q172)</f>
        <v/>
      </c>
      <c r="AP162" s="156" t="str">
        <f t="shared" si="13"/>
        <v/>
      </c>
      <c r="AQ162" s="37" t="str">
        <f t="shared" si="14"/>
        <v/>
      </c>
    </row>
    <row r="163" spans="2:43" ht="15" customHeight="1" x14ac:dyDescent="0.2">
      <c r="B163" s="34">
        <f>'Bulk Order Details'!B173</f>
        <v>160</v>
      </c>
      <c r="C163" s="34" t="str">
        <f>IF('Bulk Order Details'!C173="","",'Bulk Order Details'!C173&amp;" "&amp;'Bulk Order Details'!D173)</f>
        <v/>
      </c>
      <c r="D163" s="31" t="str">
        <f>IF('Bulk Order Details'!M173="","",VLOOKUP(1,Price[],3))</f>
        <v/>
      </c>
      <c r="E163" s="29" t="str">
        <f>IF('Bulk Order Details'!M173="","",Summary!$D$9)</f>
        <v/>
      </c>
      <c r="F163" s="16" t="str">
        <f>IF('Bulk Order Details'!I173="","",_xlfn.XLOOKUP('Bulk Order Details'!I173,Size[Display],Size[Price]))</f>
        <v/>
      </c>
      <c r="G163" s="16" t="str">
        <f>IF('Bulk Order Details'!J173="","",_xlfn.XLOOKUP('Bulk Order Details'!J173,Length[Display],Length[Price]))</f>
        <v/>
      </c>
      <c r="H163" s="16" t="str">
        <f>IF('Bulk Order Details'!K173="","",_xlfn.XLOOKUP('Bulk Order Details'!K173,Collection[Display],Collection[Price]))</f>
        <v/>
      </c>
      <c r="I163" s="16" t="str">
        <f>IF('Bulk Order Details'!L173="","",_xlfn.XLOOKUP('Bulk Order Details'!L173,Sleeve[Display],Sleeve[Price]))</f>
        <v/>
      </c>
      <c r="J163" s="16" t="str">
        <f>IF('Bulk Order Details'!M173="","",_xlfn.XLOOKUP('Bulk Order Details'!M173,Collar[Display],Collar[Price]))</f>
        <v/>
      </c>
      <c r="K163" s="16" t="str">
        <f>IF('Bulk Order Details'!N173="","",_xlfn.XLOOKUP("Name",Name[Name],Name[Price]))</f>
        <v/>
      </c>
      <c r="L163" s="18" t="str">
        <f>IFERROR(IF('Bulk Order Details'!R173="","",IF(_xlfn.XLOOKUP('Bulk Order Details'!R173,Logos[Display],Logos[Use])="Flat",_xlfn.XLOOKUP('Bulk Order Details'!R173,Logos[Display],Logos[Flat]),ROUND(_xlfn.XLOOKUP('Bulk Order Details'!R173,Logos[Display],Logos[Pct])*$E163,2))),"")</f>
        <v/>
      </c>
      <c r="M163" s="22" t="str">
        <f>IFERROR(IF('Bulk Order Details'!S173="","",IF(_xlfn.XLOOKUP('Bulk Order Details'!S173,Chest[Display],Chest[Use])="Flat",_xlfn.XLOOKUP('Bulk Order Details'!S173,Chest[Display],Chest[Flat]),ROUND(_xlfn.XLOOKUP('Bulk Order Details'!S173,Chest[Display],Chest[Pct])*$E163,2))),"")</f>
        <v/>
      </c>
      <c r="N163" s="22" t="str">
        <f>IFERROR(IF('Bulk Order Details'!T173="","",IF(_xlfn.XLOOKUP('Bulk Order Details'!T173,Chest[Display],Chest[Use])="Flat",_xlfn.XLOOKUP('Bulk Order Details'!T173,Chest[Display],Chest[Flat]),ROUND(_xlfn.XLOOKUP('Bulk Order Details'!T173,Chest[Display],Chest[Pct])*$E163,2))),"")</f>
        <v/>
      </c>
      <c r="O163" s="22" t="str">
        <f>IFERROR(IF('Bulk Order Details'!U173="","",IF(_xlfn.XLOOKUP('Bulk Order Details'!U173,LeftSleeve[Display],LeftSleeve[Use])="Flat",_xlfn.XLOOKUP('Bulk Order Details'!U173,LeftSleeve[Display],LeftSleeve[Flat]),ROUND(_xlfn.XLOOKUP('Bulk Order Details'!U173,LeftSleeve[Display],LeftSleeve[Pct])*$E163,2))),"")</f>
        <v/>
      </c>
      <c r="P163" s="22" t="str">
        <f>IFERROR(IF('Bulk Order Details'!V173="","",IF(_xlfn.XLOOKUP('Bulk Order Details'!V173,RightSleeve[Display],RightSleeve[Use])="Flat",_xlfn.XLOOKUP('Bulk Order Details'!V173,RightSleeve[Display],RightSleeve[Flat]),ROUND(_xlfn.XLOOKUP('Bulk Order Details'!V173,RightSleeve[Display],RightSleeve[Pct])*$E163,2))),"")</f>
        <v/>
      </c>
      <c r="Q163" s="27" t="str">
        <f>IF('Bulk Order Details'!M173="","",SUM(F163:P163))</f>
        <v/>
      </c>
      <c r="R163" s="24" t="str">
        <f t="shared" si="11"/>
        <v/>
      </c>
      <c r="S163" s="23" t="str">
        <f>IFERROR(MIN(IF(Summary!$D$11="Yes",-J163,0),IF(H163&gt;0,-J163,0)),"")</f>
        <v/>
      </c>
      <c r="T163" s="16" t="str">
        <f>IFERROR(IF(Summary!$D$10="Yes",-K163,""),"")</f>
        <v/>
      </c>
      <c r="U163" s="18" t="str">
        <f>IFERROR(IF(Summary!$D$12="Yes",-L163,""),"")</f>
        <v/>
      </c>
      <c r="V163" s="25" t="str">
        <f>IF('Bulk Order Details'!M173="","",SUM(R163:U163))</f>
        <v/>
      </c>
      <c r="W163" s="36" t="str">
        <f>IF('Bulk Order Details'!M173="","",D163+Q163)</f>
        <v/>
      </c>
      <c r="X163" s="37" t="str">
        <f>IF('Bulk Order Details'!M173="","",D163+Q163+V163)</f>
        <v/>
      </c>
      <c r="Y163" s="168" t="str">
        <f t="shared" si="10"/>
        <v/>
      </c>
      <c r="Z163" s="173" t="str">
        <f>IF('Bulk Order Details'!M173="","",MAX(1,'Bulk Order Details'!G173))</f>
        <v/>
      </c>
      <c r="AA163" s="196" t="str">
        <f>IF(Pricing_Details[[#This Row],[Quantity]]="","",Pricing_Details[[#This Row],[Retail Price]]*Pricing_Details[[#This Row],[Quantity]])</f>
        <v/>
      </c>
      <c r="AB163" s="196" t="str">
        <f>IF(Pricing_Details[[#This Row],[Quantity]]="","",Pricing_Details[[#This Row],[Total Discount]]*Pricing_Details[[#This Row],[Quantity]])</f>
        <v/>
      </c>
      <c r="AC163" s="176" t="str">
        <f>IFERROR(ROUND(Pricing_Details[[#This Row],[Actual Price]]*Pricing_Details[[#This Row],[Quantity]],2),"")</f>
        <v/>
      </c>
      <c r="AE163" s="156" t="str">
        <f>IF('Bulk Order Details'!M173="","",VLOOKUP('Bulk Order Details'!K173,Collection[],3)&amp;VLOOKUP('Bulk Order Details'!M173,Collar[],4)&amp;VLOOKUP('Bulk Order Details'!L173,Sleeve[],4))</f>
        <v/>
      </c>
      <c r="AF163" s="156" t="str">
        <f>IF('Bulk Order Details'!M173="","",LOOKUP('Bulk Order Details'!H173,Cut[Display],Cut[Code])&amp;LOOKUP('Bulk Order Details'!I173,#REF!,#REF!)&amp;IF('Bulk Order Details'!J173="","",LOOKUP('Bulk Order Details'!J173,Length[Display],Length[Code])))</f>
        <v/>
      </c>
      <c r="AG163" s="156" t="str">
        <f>IF('Bulk Order Details'!M173="","",IF('Bulk Order Details'!F173="","",'Bulk Order Details'!F173))</f>
        <v/>
      </c>
      <c r="AH163" s="156" t="str">
        <f>IF('Bulk Order Details'!R173="","","-"&amp;LOOKUP('Bulk Order Details'!R173,#REF!,#REF!))</f>
        <v/>
      </c>
      <c r="AI163" s="156" t="str">
        <f>IF('Bulk Order Details'!S173="","","-"&amp;LOOKUP('Bulk Order Details'!S173,#REF!,#REF!))</f>
        <v/>
      </c>
      <c r="AJ163" s="156" t="str">
        <f>IF('Bulk Order Details'!T173="","","-"&amp;LOOKUP('Bulk Order Details'!T173,#REF!,#REF!))</f>
        <v/>
      </c>
      <c r="AK163" s="156" t="str">
        <f>IF('Bulk Order Details'!U173="","","-"&amp;LOOKUP('Bulk Order Details'!U173,#REF!,#REF!))</f>
        <v/>
      </c>
      <c r="AL163" s="156" t="str">
        <f>IF('Bulk Order Details'!V173="","","-"&amp;LOOKUP('Bulk Order Details'!V173,#REF!,#REF!))</f>
        <v/>
      </c>
      <c r="AM163" s="156" t="str">
        <f t="shared" si="12"/>
        <v/>
      </c>
      <c r="AN163" s="156" t="str">
        <f>IF('Bulk Order Details'!N173="","","Na-"&amp;'Bulk Order Details'!N173)</f>
        <v/>
      </c>
      <c r="AO163" s="156" t="str">
        <f>IF('Bulk Order Details'!Q173="","","Fo-"&amp;'Bulk Order Details'!Q173)</f>
        <v/>
      </c>
      <c r="AP163" s="156" t="str">
        <f t="shared" si="13"/>
        <v/>
      </c>
      <c r="AQ163" s="37" t="str">
        <f t="shared" si="14"/>
        <v/>
      </c>
    </row>
    <row r="164" spans="2:43" ht="15" customHeight="1" x14ac:dyDescent="0.2">
      <c r="B164" s="34">
        <f>'Bulk Order Details'!B174</f>
        <v>161</v>
      </c>
      <c r="C164" s="34" t="str">
        <f>IF('Bulk Order Details'!C174="","",'Bulk Order Details'!C174&amp;" "&amp;'Bulk Order Details'!D174)</f>
        <v/>
      </c>
      <c r="D164" s="31" t="str">
        <f>IF('Bulk Order Details'!M174="","",VLOOKUP(1,Price[],3))</f>
        <v/>
      </c>
      <c r="E164" s="29" t="str">
        <f>IF('Bulk Order Details'!M174="","",Summary!$D$9)</f>
        <v/>
      </c>
      <c r="F164" s="16" t="str">
        <f>IF('Bulk Order Details'!I174="","",_xlfn.XLOOKUP('Bulk Order Details'!I174,Size[Display],Size[Price]))</f>
        <v/>
      </c>
      <c r="G164" s="16" t="str">
        <f>IF('Bulk Order Details'!J174="","",_xlfn.XLOOKUP('Bulk Order Details'!J174,Length[Display],Length[Price]))</f>
        <v/>
      </c>
      <c r="H164" s="16" t="str">
        <f>IF('Bulk Order Details'!K174="","",_xlfn.XLOOKUP('Bulk Order Details'!K174,Collection[Display],Collection[Price]))</f>
        <v/>
      </c>
      <c r="I164" s="16" t="str">
        <f>IF('Bulk Order Details'!L174="","",_xlfn.XLOOKUP('Bulk Order Details'!L174,Sleeve[Display],Sleeve[Price]))</f>
        <v/>
      </c>
      <c r="J164" s="16" t="str">
        <f>IF('Bulk Order Details'!M174="","",_xlfn.XLOOKUP('Bulk Order Details'!M174,Collar[Display],Collar[Price]))</f>
        <v/>
      </c>
      <c r="K164" s="16" t="str">
        <f>IF('Bulk Order Details'!N174="","",_xlfn.XLOOKUP("Name",Name[Name],Name[Price]))</f>
        <v/>
      </c>
      <c r="L164" s="18" t="str">
        <f>IFERROR(IF('Bulk Order Details'!R174="","",IF(_xlfn.XLOOKUP('Bulk Order Details'!R174,Logos[Display],Logos[Use])="Flat",_xlfn.XLOOKUP('Bulk Order Details'!R174,Logos[Display],Logos[Flat]),ROUND(_xlfn.XLOOKUP('Bulk Order Details'!R174,Logos[Display],Logos[Pct])*$E164,2))),"")</f>
        <v/>
      </c>
      <c r="M164" s="22" t="str">
        <f>IFERROR(IF('Bulk Order Details'!S174="","",IF(_xlfn.XLOOKUP('Bulk Order Details'!S174,Chest[Display],Chest[Use])="Flat",_xlfn.XLOOKUP('Bulk Order Details'!S174,Chest[Display],Chest[Flat]),ROUND(_xlfn.XLOOKUP('Bulk Order Details'!S174,Chest[Display],Chest[Pct])*$E164,2))),"")</f>
        <v/>
      </c>
      <c r="N164" s="22" t="str">
        <f>IFERROR(IF('Bulk Order Details'!T174="","",IF(_xlfn.XLOOKUP('Bulk Order Details'!T174,Chest[Display],Chest[Use])="Flat",_xlfn.XLOOKUP('Bulk Order Details'!T174,Chest[Display],Chest[Flat]),ROUND(_xlfn.XLOOKUP('Bulk Order Details'!T174,Chest[Display],Chest[Pct])*$E164,2))),"")</f>
        <v/>
      </c>
      <c r="O164" s="22" t="str">
        <f>IFERROR(IF('Bulk Order Details'!U174="","",IF(_xlfn.XLOOKUP('Bulk Order Details'!U174,LeftSleeve[Display],LeftSleeve[Use])="Flat",_xlfn.XLOOKUP('Bulk Order Details'!U174,LeftSleeve[Display],LeftSleeve[Flat]),ROUND(_xlfn.XLOOKUP('Bulk Order Details'!U174,LeftSleeve[Display],LeftSleeve[Pct])*$E164,2))),"")</f>
        <v/>
      </c>
      <c r="P164" s="22" t="str">
        <f>IFERROR(IF('Bulk Order Details'!V174="","",IF(_xlfn.XLOOKUP('Bulk Order Details'!V174,RightSleeve[Display],RightSleeve[Use])="Flat",_xlfn.XLOOKUP('Bulk Order Details'!V174,RightSleeve[Display],RightSleeve[Flat]),ROUND(_xlfn.XLOOKUP('Bulk Order Details'!V174,RightSleeve[Display],RightSleeve[Pct])*$E164,2))),"")</f>
        <v/>
      </c>
      <c r="Q164" s="27" t="str">
        <f>IF('Bulk Order Details'!M174="","",SUM(F164:P164))</f>
        <v/>
      </c>
      <c r="R164" s="24" t="str">
        <f t="shared" si="11"/>
        <v/>
      </c>
      <c r="S164" s="23" t="str">
        <f>IFERROR(MIN(IF(Summary!$D$11="Yes",-J164,0),IF(H164&gt;0,-J164,0)),"")</f>
        <v/>
      </c>
      <c r="T164" s="16" t="str">
        <f>IFERROR(IF(Summary!$D$10="Yes",-K164,""),"")</f>
        <v/>
      </c>
      <c r="U164" s="18" t="str">
        <f>IFERROR(IF(Summary!$D$12="Yes",-L164,""),"")</f>
        <v/>
      </c>
      <c r="V164" s="25" t="str">
        <f>IF('Bulk Order Details'!M174="","",SUM(R164:U164))</f>
        <v/>
      </c>
      <c r="W164" s="36" t="str">
        <f>IF('Bulk Order Details'!M174="","",D164+Q164)</f>
        <v/>
      </c>
      <c r="X164" s="37" t="str">
        <f>IF('Bulk Order Details'!M174="","",D164+Q164+V164)</f>
        <v/>
      </c>
      <c r="Y164" s="168" t="str">
        <f t="shared" si="10"/>
        <v/>
      </c>
      <c r="Z164" s="173" t="str">
        <f>IF('Bulk Order Details'!M174="","",MAX(1,'Bulk Order Details'!G174))</f>
        <v/>
      </c>
      <c r="AA164" s="196" t="str">
        <f>IF(Pricing_Details[[#This Row],[Quantity]]="","",Pricing_Details[[#This Row],[Retail Price]]*Pricing_Details[[#This Row],[Quantity]])</f>
        <v/>
      </c>
      <c r="AB164" s="196" t="str">
        <f>IF(Pricing_Details[[#This Row],[Quantity]]="","",Pricing_Details[[#This Row],[Total Discount]]*Pricing_Details[[#This Row],[Quantity]])</f>
        <v/>
      </c>
      <c r="AC164" s="176" t="str">
        <f>IFERROR(ROUND(Pricing_Details[[#This Row],[Actual Price]]*Pricing_Details[[#This Row],[Quantity]],2),"")</f>
        <v/>
      </c>
      <c r="AE164" s="156" t="str">
        <f>IF('Bulk Order Details'!M174="","",VLOOKUP('Bulk Order Details'!K174,Collection[],3)&amp;VLOOKUP('Bulk Order Details'!M174,Collar[],4)&amp;VLOOKUP('Bulk Order Details'!L174,Sleeve[],4))</f>
        <v/>
      </c>
      <c r="AF164" s="156" t="str">
        <f>IF('Bulk Order Details'!M174="","",LOOKUP('Bulk Order Details'!H174,Cut[Display],Cut[Code])&amp;LOOKUP('Bulk Order Details'!I174,#REF!,#REF!)&amp;IF('Bulk Order Details'!J174="","",LOOKUP('Bulk Order Details'!J174,Length[Display],Length[Code])))</f>
        <v/>
      </c>
      <c r="AG164" s="156" t="str">
        <f>IF('Bulk Order Details'!M174="","",IF('Bulk Order Details'!F174="","",'Bulk Order Details'!F174))</f>
        <v/>
      </c>
      <c r="AH164" s="156" t="str">
        <f>IF('Bulk Order Details'!R174="","","-"&amp;LOOKUP('Bulk Order Details'!R174,#REF!,#REF!))</f>
        <v/>
      </c>
      <c r="AI164" s="156" t="str">
        <f>IF('Bulk Order Details'!S174="","","-"&amp;LOOKUP('Bulk Order Details'!S174,#REF!,#REF!))</f>
        <v/>
      </c>
      <c r="AJ164" s="156" t="str">
        <f>IF('Bulk Order Details'!T174="","","-"&amp;LOOKUP('Bulk Order Details'!T174,#REF!,#REF!))</f>
        <v/>
      </c>
      <c r="AK164" s="156" t="str">
        <f>IF('Bulk Order Details'!U174="","","-"&amp;LOOKUP('Bulk Order Details'!U174,#REF!,#REF!))</f>
        <v/>
      </c>
      <c r="AL164" s="156" t="str">
        <f>IF('Bulk Order Details'!V174="","","-"&amp;LOOKUP('Bulk Order Details'!V174,#REF!,#REF!))</f>
        <v/>
      </c>
      <c r="AM164" s="156" t="str">
        <f t="shared" si="12"/>
        <v/>
      </c>
      <c r="AN164" s="156" t="str">
        <f>IF('Bulk Order Details'!N174="","","Na-"&amp;'Bulk Order Details'!N174)</f>
        <v/>
      </c>
      <c r="AO164" s="156" t="str">
        <f>IF('Bulk Order Details'!Q174="","","Fo-"&amp;'Bulk Order Details'!Q174)</f>
        <v/>
      </c>
      <c r="AP164" s="156" t="str">
        <f t="shared" si="13"/>
        <v/>
      </c>
      <c r="AQ164" s="37" t="str">
        <f t="shared" si="14"/>
        <v/>
      </c>
    </row>
    <row r="165" spans="2:43" ht="15" customHeight="1" x14ac:dyDescent="0.2">
      <c r="B165" s="34">
        <f>'Bulk Order Details'!B175</f>
        <v>162</v>
      </c>
      <c r="C165" s="34" t="str">
        <f>IF('Bulk Order Details'!C175="","",'Bulk Order Details'!C175&amp;" "&amp;'Bulk Order Details'!D175)</f>
        <v/>
      </c>
      <c r="D165" s="31" t="str">
        <f>IF('Bulk Order Details'!M175="","",VLOOKUP(1,Price[],3))</f>
        <v/>
      </c>
      <c r="E165" s="29" t="str">
        <f>IF('Bulk Order Details'!M175="","",Summary!$D$9)</f>
        <v/>
      </c>
      <c r="F165" s="16" t="str">
        <f>IF('Bulk Order Details'!I175="","",_xlfn.XLOOKUP('Bulk Order Details'!I175,Size[Display],Size[Price]))</f>
        <v/>
      </c>
      <c r="G165" s="16" t="str">
        <f>IF('Bulk Order Details'!J175="","",_xlfn.XLOOKUP('Bulk Order Details'!J175,Length[Display],Length[Price]))</f>
        <v/>
      </c>
      <c r="H165" s="16" t="str">
        <f>IF('Bulk Order Details'!K175="","",_xlfn.XLOOKUP('Bulk Order Details'!K175,Collection[Display],Collection[Price]))</f>
        <v/>
      </c>
      <c r="I165" s="16" t="str">
        <f>IF('Bulk Order Details'!L175="","",_xlfn.XLOOKUP('Bulk Order Details'!L175,Sleeve[Display],Sleeve[Price]))</f>
        <v/>
      </c>
      <c r="J165" s="16" t="str">
        <f>IF('Bulk Order Details'!M175="","",_xlfn.XLOOKUP('Bulk Order Details'!M175,Collar[Display],Collar[Price]))</f>
        <v/>
      </c>
      <c r="K165" s="16" t="str">
        <f>IF('Bulk Order Details'!N175="","",_xlfn.XLOOKUP("Name",Name[Name],Name[Price]))</f>
        <v/>
      </c>
      <c r="L165" s="18" t="str">
        <f>IFERROR(IF('Bulk Order Details'!R175="","",IF(_xlfn.XLOOKUP('Bulk Order Details'!R175,Logos[Display],Logos[Use])="Flat",_xlfn.XLOOKUP('Bulk Order Details'!R175,Logos[Display],Logos[Flat]),ROUND(_xlfn.XLOOKUP('Bulk Order Details'!R175,Logos[Display],Logos[Pct])*$E165,2))),"")</f>
        <v/>
      </c>
      <c r="M165" s="22" t="str">
        <f>IFERROR(IF('Bulk Order Details'!S175="","",IF(_xlfn.XLOOKUP('Bulk Order Details'!S175,Chest[Display],Chest[Use])="Flat",_xlfn.XLOOKUP('Bulk Order Details'!S175,Chest[Display],Chest[Flat]),ROUND(_xlfn.XLOOKUP('Bulk Order Details'!S175,Chest[Display],Chest[Pct])*$E165,2))),"")</f>
        <v/>
      </c>
      <c r="N165" s="22" t="str">
        <f>IFERROR(IF('Bulk Order Details'!T175="","",IF(_xlfn.XLOOKUP('Bulk Order Details'!T175,Chest[Display],Chest[Use])="Flat",_xlfn.XLOOKUP('Bulk Order Details'!T175,Chest[Display],Chest[Flat]),ROUND(_xlfn.XLOOKUP('Bulk Order Details'!T175,Chest[Display],Chest[Pct])*$E165,2))),"")</f>
        <v/>
      </c>
      <c r="O165" s="22" t="str">
        <f>IFERROR(IF('Bulk Order Details'!U175="","",IF(_xlfn.XLOOKUP('Bulk Order Details'!U175,LeftSleeve[Display],LeftSleeve[Use])="Flat",_xlfn.XLOOKUP('Bulk Order Details'!U175,LeftSleeve[Display],LeftSleeve[Flat]),ROUND(_xlfn.XLOOKUP('Bulk Order Details'!U175,LeftSleeve[Display],LeftSleeve[Pct])*$E165,2))),"")</f>
        <v/>
      </c>
      <c r="P165" s="22" t="str">
        <f>IFERROR(IF('Bulk Order Details'!V175="","",IF(_xlfn.XLOOKUP('Bulk Order Details'!V175,RightSleeve[Display],RightSleeve[Use])="Flat",_xlfn.XLOOKUP('Bulk Order Details'!V175,RightSleeve[Display],RightSleeve[Flat]),ROUND(_xlfn.XLOOKUP('Bulk Order Details'!V175,RightSleeve[Display],RightSleeve[Pct])*$E165,2))),"")</f>
        <v/>
      </c>
      <c r="Q165" s="27" t="str">
        <f>IF('Bulk Order Details'!M175="","",SUM(F165:P165))</f>
        <v/>
      </c>
      <c r="R165" s="24" t="str">
        <f t="shared" si="11"/>
        <v/>
      </c>
      <c r="S165" s="23" t="str">
        <f>IFERROR(MIN(IF(Summary!$D$11="Yes",-J165,0),IF(H165&gt;0,-J165,0)),"")</f>
        <v/>
      </c>
      <c r="T165" s="16" t="str">
        <f>IFERROR(IF(Summary!$D$10="Yes",-K165,""),"")</f>
        <v/>
      </c>
      <c r="U165" s="18" t="str">
        <f>IFERROR(IF(Summary!$D$12="Yes",-L165,""),"")</f>
        <v/>
      </c>
      <c r="V165" s="25" t="str">
        <f>IF('Bulk Order Details'!M175="","",SUM(R165:U165))</f>
        <v/>
      </c>
      <c r="W165" s="36" t="str">
        <f>IF('Bulk Order Details'!M175="","",D165+Q165)</f>
        <v/>
      </c>
      <c r="X165" s="37" t="str">
        <f>IF('Bulk Order Details'!M175="","",D165+Q165+V165)</f>
        <v/>
      </c>
      <c r="Y165" s="168" t="str">
        <f t="shared" si="10"/>
        <v/>
      </c>
      <c r="Z165" s="173" t="str">
        <f>IF('Bulk Order Details'!M175="","",MAX(1,'Bulk Order Details'!G175))</f>
        <v/>
      </c>
      <c r="AA165" s="196" t="str">
        <f>IF(Pricing_Details[[#This Row],[Quantity]]="","",Pricing_Details[[#This Row],[Retail Price]]*Pricing_Details[[#This Row],[Quantity]])</f>
        <v/>
      </c>
      <c r="AB165" s="196" t="str">
        <f>IF(Pricing_Details[[#This Row],[Quantity]]="","",Pricing_Details[[#This Row],[Total Discount]]*Pricing_Details[[#This Row],[Quantity]])</f>
        <v/>
      </c>
      <c r="AC165" s="176" t="str">
        <f>IFERROR(ROUND(Pricing_Details[[#This Row],[Actual Price]]*Pricing_Details[[#This Row],[Quantity]],2),"")</f>
        <v/>
      </c>
      <c r="AE165" s="156" t="str">
        <f>IF('Bulk Order Details'!M175="","",VLOOKUP('Bulk Order Details'!K175,Collection[],3)&amp;VLOOKUP('Bulk Order Details'!M175,Collar[],4)&amp;VLOOKUP('Bulk Order Details'!L175,Sleeve[],4))</f>
        <v/>
      </c>
      <c r="AF165" s="156" t="str">
        <f>IF('Bulk Order Details'!M175="","",LOOKUP('Bulk Order Details'!H175,Cut[Display],Cut[Code])&amp;LOOKUP('Bulk Order Details'!I175,#REF!,#REF!)&amp;IF('Bulk Order Details'!J175="","",LOOKUP('Bulk Order Details'!J175,Length[Display],Length[Code])))</f>
        <v/>
      </c>
      <c r="AG165" s="156" t="str">
        <f>IF('Bulk Order Details'!M175="","",IF('Bulk Order Details'!F175="","",'Bulk Order Details'!F175))</f>
        <v/>
      </c>
      <c r="AH165" s="156" t="str">
        <f>IF('Bulk Order Details'!R175="","","-"&amp;LOOKUP('Bulk Order Details'!R175,#REF!,#REF!))</f>
        <v/>
      </c>
      <c r="AI165" s="156" t="str">
        <f>IF('Bulk Order Details'!S175="","","-"&amp;LOOKUP('Bulk Order Details'!S175,#REF!,#REF!))</f>
        <v/>
      </c>
      <c r="AJ165" s="156" t="str">
        <f>IF('Bulk Order Details'!T175="","","-"&amp;LOOKUP('Bulk Order Details'!T175,#REF!,#REF!))</f>
        <v/>
      </c>
      <c r="AK165" s="156" t="str">
        <f>IF('Bulk Order Details'!U175="","","-"&amp;LOOKUP('Bulk Order Details'!U175,#REF!,#REF!))</f>
        <v/>
      </c>
      <c r="AL165" s="156" t="str">
        <f>IF('Bulk Order Details'!V175="","","-"&amp;LOOKUP('Bulk Order Details'!V175,#REF!,#REF!))</f>
        <v/>
      </c>
      <c r="AM165" s="156" t="str">
        <f t="shared" si="12"/>
        <v/>
      </c>
      <c r="AN165" s="156" t="str">
        <f>IF('Bulk Order Details'!N175="","","Na-"&amp;'Bulk Order Details'!N175)</f>
        <v/>
      </c>
      <c r="AO165" s="156" t="str">
        <f>IF('Bulk Order Details'!Q175="","","Fo-"&amp;'Bulk Order Details'!Q175)</f>
        <v/>
      </c>
      <c r="AP165" s="156" t="str">
        <f t="shared" si="13"/>
        <v/>
      </c>
      <c r="AQ165" s="37" t="str">
        <f t="shared" si="14"/>
        <v/>
      </c>
    </row>
    <row r="166" spans="2:43" ht="15" customHeight="1" x14ac:dyDescent="0.2">
      <c r="B166" s="34">
        <f>'Bulk Order Details'!B176</f>
        <v>163</v>
      </c>
      <c r="C166" s="34" t="str">
        <f>IF('Bulk Order Details'!C176="","",'Bulk Order Details'!C176&amp;" "&amp;'Bulk Order Details'!D176)</f>
        <v/>
      </c>
      <c r="D166" s="31" t="str">
        <f>IF('Bulk Order Details'!M176="","",VLOOKUP(1,Price[],3))</f>
        <v/>
      </c>
      <c r="E166" s="29" t="str">
        <f>IF('Bulk Order Details'!M176="","",Summary!$D$9)</f>
        <v/>
      </c>
      <c r="F166" s="16" t="str">
        <f>IF('Bulk Order Details'!I176="","",_xlfn.XLOOKUP('Bulk Order Details'!I176,Size[Display],Size[Price]))</f>
        <v/>
      </c>
      <c r="G166" s="16" t="str">
        <f>IF('Bulk Order Details'!J176="","",_xlfn.XLOOKUP('Bulk Order Details'!J176,Length[Display],Length[Price]))</f>
        <v/>
      </c>
      <c r="H166" s="16" t="str">
        <f>IF('Bulk Order Details'!K176="","",_xlfn.XLOOKUP('Bulk Order Details'!K176,Collection[Display],Collection[Price]))</f>
        <v/>
      </c>
      <c r="I166" s="16" t="str">
        <f>IF('Bulk Order Details'!L176="","",_xlfn.XLOOKUP('Bulk Order Details'!L176,Sleeve[Display],Sleeve[Price]))</f>
        <v/>
      </c>
      <c r="J166" s="16" t="str">
        <f>IF('Bulk Order Details'!M176="","",_xlfn.XLOOKUP('Bulk Order Details'!M176,Collar[Display],Collar[Price]))</f>
        <v/>
      </c>
      <c r="K166" s="16" t="str">
        <f>IF('Bulk Order Details'!N176="","",_xlfn.XLOOKUP("Name",Name[Name],Name[Price]))</f>
        <v/>
      </c>
      <c r="L166" s="18" t="str">
        <f>IFERROR(IF('Bulk Order Details'!R176="","",IF(_xlfn.XLOOKUP('Bulk Order Details'!R176,Logos[Display],Logos[Use])="Flat",_xlfn.XLOOKUP('Bulk Order Details'!R176,Logos[Display],Logos[Flat]),ROUND(_xlfn.XLOOKUP('Bulk Order Details'!R176,Logos[Display],Logos[Pct])*$E166,2))),"")</f>
        <v/>
      </c>
      <c r="M166" s="22" t="str">
        <f>IFERROR(IF('Bulk Order Details'!S176="","",IF(_xlfn.XLOOKUP('Bulk Order Details'!S176,Chest[Display],Chest[Use])="Flat",_xlfn.XLOOKUP('Bulk Order Details'!S176,Chest[Display],Chest[Flat]),ROUND(_xlfn.XLOOKUP('Bulk Order Details'!S176,Chest[Display],Chest[Pct])*$E166,2))),"")</f>
        <v/>
      </c>
      <c r="N166" s="22" t="str">
        <f>IFERROR(IF('Bulk Order Details'!T176="","",IF(_xlfn.XLOOKUP('Bulk Order Details'!T176,Chest[Display],Chest[Use])="Flat",_xlfn.XLOOKUP('Bulk Order Details'!T176,Chest[Display],Chest[Flat]),ROUND(_xlfn.XLOOKUP('Bulk Order Details'!T176,Chest[Display],Chest[Pct])*$E166,2))),"")</f>
        <v/>
      </c>
      <c r="O166" s="22" t="str">
        <f>IFERROR(IF('Bulk Order Details'!U176="","",IF(_xlfn.XLOOKUP('Bulk Order Details'!U176,LeftSleeve[Display],LeftSleeve[Use])="Flat",_xlfn.XLOOKUP('Bulk Order Details'!U176,LeftSleeve[Display],LeftSleeve[Flat]),ROUND(_xlfn.XLOOKUP('Bulk Order Details'!U176,LeftSleeve[Display],LeftSleeve[Pct])*$E166,2))),"")</f>
        <v/>
      </c>
      <c r="P166" s="22" t="str">
        <f>IFERROR(IF('Bulk Order Details'!V176="","",IF(_xlfn.XLOOKUP('Bulk Order Details'!V176,RightSleeve[Display],RightSleeve[Use])="Flat",_xlfn.XLOOKUP('Bulk Order Details'!V176,RightSleeve[Display],RightSleeve[Flat]),ROUND(_xlfn.XLOOKUP('Bulk Order Details'!V176,RightSleeve[Display],RightSleeve[Pct])*$E166,2))),"")</f>
        <v/>
      </c>
      <c r="Q166" s="27" t="str">
        <f>IF('Bulk Order Details'!M176="","",SUM(F166:P166))</f>
        <v/>
      </c>
      <c r="R166" s="24" t="str">
        <f t="shared" si="11"/>
        <v/>
      </c>
      <c r="S166" s="23" t="str">
        <f>IFERROR(MIN(IF(Summary!$D$11="Yes",-J166,0),IF(H166&gt;0,-J166,0)),"")</f>
        <v/>
      </c>
      <c r="T166" s="16" t="str">
        <f>IFERROR(IF(Summary!$D$10="Yes",-K166,""),"")</f>
        <v/>
      </c>
      <c r="U166" s="18" t="str">
        <f>IFERROR(IF(Summary!$D$12="Yes",-L166,""),"")</f>
        <v/>
      </c>
      <c r="V166" s="25" t="str">
        <f>IF('Bulk Order Details'!M176="","",SUM(R166:U166))</f>
        <v/>
      </c>
      <c r="W166" s="36" t="str">
        <f>IF('Bulk Order Details'!M176="","",D166+Q166)</f>
        <v/>
      </c>
      <c r="X166" s="37" t="str">
        <f>IF('Bulk Order Details'!M176="","",D166+Q166+V166)</f>
        <v/>
      </c>
      <c r="Y166" s="168" t="str">
        <f t="shared" si="10"/>
        <v/>
      </c>
      <c r="Z166" s="173" t="str">
        <f>IF('Bulk Order Details'!M176="","",MAX(1,'Bulk Order Details'!G176))</f>
        <v/>
      </c>
      <c r="AA166" s="196" t="str">
        <f>IF(Pricing_Details[[#This Row],[Quantity]]="","",Pricing_Details[[#This Row],[Retail Price]]*Pricing_Details[[#This Row],[Quantity]])</f>
        <v/>
      </c>
      <c r="AB166" s="196" t="str">
        <f>IF(Pricing_Details[[#This Row],[Quantity]]="","",Pricing_Details[[#This Row],[Total Discount]]*Pricing_Details[[#This Row],[Quantity]])</f>
        <v/>
      </c>
      <c r="AC166" s="176" t="str">
        <f>IFERROR(ROUND(Pricing_Details[[#This Row],[Actual Price]]*Pricing_Details[[#This Row],[Quantity]],2),"")</f>
        <v/>
      </c>
      <c r="AE166" s="156" t="str">
        <f>IF('Bulk Order Details'!M176="","",VLOOKUP('Bulk Order Details'!K176,Collection[],3)&amp;VLOOKUP('Bulk Order Details'!M176,Collar[],4)&amp;VLOOKUP('Bulk Order Details'!L176,Sleeve[],4))</f>
        <v/>
      </c>
      <c r="AF166" s="156" t="str">
        <f>IF('Bulk Order Details'!M176="","",LOOKUP('Bulk Order Details'!H176,Cut[Display],Cut[Code])&amp;LOOKUP('Bulk Order Details'!I176,#REF!,#REF!)&amp;IF('Bulk Order Details'!J176="","",LOOKUP('Bulk Order Details'!J176,Length[Display],Length[Code])))</f>
        <v/>
      </c>
      <c r="AG166" s="156" t="str">
        <f>IF('Bulk Order Details'!M176="","",IF('Bulk Order Details'!F176="","",'Bulk Order Details'!F176))</f>
        <v/>
      </c>
      <c r="AH166" s="156" t="str">
        <f>IF('Bulk Order Details'!R176="","","-"&amp;LOOKUP('Bulk Order Details'!R176,#REF!,#REF!))</f>
        <v/>
      </c>
      <c r="AI166" s="156" t="str">
        <f>IF('Bulk Order Details'!S176="","","-"&amp;LOOKUP('Bulk Order Details'!S176,#REF!,#REF!))</f>
        <v/>
      </c>
      <c r="AJ166" s="156" t="str">
        <f>IF('Bulk Order Details'!T176="","","-"&amp;LOOKUP('Bulk Order Details'!T176,#REF!,#REF!))</f>
        <v/>
      </c>
      <c r="AK166" s="156" t="str">
        <f>IF('Bulk Order Details'!U176="","","-"&amp;LOOKUP('Bulk Order Details'!U176,#REF!,#REF!))</f>
        <v/>
      </c>
      <c r="AL166" s="156" t="str">
        <f>IF('Bulk Order Details'!V176="","","-"&amp;LOOKUP('Bulk Order Details'!V176,#REF!,#REF!))</f>
        <v/>
      </c>
      <c r="AM166" s="156" t="str">
        <f t="shared" si="12"/>
        <v/>
      </c>
      <c r="AN166" s="156" t="str">
        <f>IF('Bulk Order Details'!N176="","","Na-"&amp;'Bulk Order Details'!N176)</f>
        <v/>
      </c>
      <c r="AO166" s="156" t="str">
        <f>IF('Bulk Order Details'!Q176="","","Fo-"&amp;'Bulk Order Details'!Q176)</f>
        <v/>
      </c>
      <c r="AP166" s="156" t="str">
        <f t="shared" si="13"/>
        <v/>
      </c>
      <c r="AQ166" s="37" t="str">
        <f t="shared" si="14"/>
        <v/>
      </c>
    </row>
    <row r="167" spans="2:43" ht="15" customHeight="1" x14ac:dyDescent="0.2">
      <c r="B167" s="34">
        <f>'Bulk Order Details'!B177</f>
        <v>164</v>
      </c>
      <c r="C167" s="34" t="str">
        <f>IF('Bulk Order Details'!C177="","",'Bulk Order Details'!C177&amp;" "&amp;'Bulk Order Details'!D177)</f>
        <v/>
      </c>
      <c r="D167" s="31" t="str">
        <f>IF('Bulk Order Details'!M177="","",VLOOKUP(1,Price[],3))</f>
        <v/>
      </c>
      <c r="E167" s="29" t="str">
        <f>IF('Bulk Order Details'!M177="","",Summary!$D$9)</f>
        <v/>
      </c>
      <c r="F167" s="16" t="str">
        <f>IF('Bulk Order Details'!I177="","",_xlfn.XLOOKUP('Bulk Order Details'!I177,Size[Display],Size[Price]))</f>
        <v/>
      </c>
      <c r="G167" s="16" t="str">
        <f>IF('Bulk Order Details'!J177="","",_xlfn.XLOOKUP('Bulk Order Details'!J177,Length[Display],Length[Price]))</f>
        <v/>
      </c>
      <c r="H167" s="16" t="str">
        <f>IF('Bulk Order Details'!K177="","",_xlfn.XLOOKUP('Bulk Order Details'!K177,Collection[Display],Collection[Price]))</f>
        <v/>
      </c>
      <c r="I167" s="16" t="str">
        <f>IF('Bulk Order Details'!L177="","",_xlfn.XLOOKUP('Bulk Order Details'!L177,Sleeve[Display],Sleeve[Price]))</f>
        <v/>
      </c>
      <c r="J167" s="16" t="str">
        <f>IF('Bulk Order Details'!M177="","",_xlfn.XLOOKUP('Bulk Order Details'!M177,Collar[Display],Collar[Price]))</f>
        <v/>
      </c>
      <c r="K167" s="16" t="str">
        <f>IF('Bulk Order Details'!N177="","",_xlfn.XLOOKUP("Name",Name[Name],Name[Price]))</f>
        <v/>
      </c>
      <c r="L167" s="18" t="str">
        <f>IFERROR(IF('Bulk Order Details'!R177="","",IF(_xlfn.XLOOKUP('Bulk Order Details'!R177,Logos[Display],Logos[Use])="Flat",_xlfn.XLOOKUP('Bulk Order Details'!R177,Logos[Display],Logos[Flat]),ROUND(_xlfn.XLOOKUP('Bulk Order Details'!R177,Logos[Display],Logos[Pct])*$E167,2))),"")</f>
        <v/>
      </c>
      <c r="M167" s="22" t="str">
        <f>IFERROR(IF('Bulk Order Details'!S177="","",IF(_xlfn.XLOOKUP('Bulk Order Details'!S177,Chest[Display],Chest[Use])="Flat",_xlfn.XLOOKUP('Bulk Order Details'!S177,Chest[Display],Chest[Flat]),ROUND(_xlfn.XLOOKUP('Bulk Order Details'!S177,Chest[Display],Chest[Pct])*$E167,2))),"")</f>
        <v/>
      </c>
      <c r="N167" s="22" t="str">
        <f>IFERROR(IF('Bulk Order Details'!T177="","",IF(_xlfn.XLOOKUP('Bulk Order Details'!T177,Chest[Display],Chest[Use])="Flat",_xlfn.XLOOKUP('Bulk Order Details'!T177,Chest[Display],Chest[Flat]),ROUND(_xlfn.XLOOKUP('Bulk Order Details'!T177,Chest[Display],Chest[Pct])*$E167,2))),"")</f>
        <v/>
      </c>
      <c r="O167" s="22" t="str">
        <f>IFERROR(IF('Bulk Order Details'!U177="","",IF(_xlfn.XLOOKUP('Bulk Order Details'!U177,LeftSleeve[Display],LeftSleeve[Use])="Flat",_xlfn.XLOOKUP('Bulk Order Details'!U177,LeftSleeve[Display],LeftSleeve[Flat]),ROUND(_xlfn.XLOOKUP('Bulk Order Details'!U177,LeftSleeve[Display],LeftSleeve[Pct])*$E167,2))),"")</f>
        <v/>
      </c>
      <c r="P167" s="22" t="str">
        <f>IFERROR(IF('Bulk Order Details'!V177="","",IF(_xlfn.XLOOKUP('Bulk Order Details'!V177,RightSleeve[Display],RightSleeve[Use])="Flat",_xlfn.XLOOKUP('Bulk Order Details'!V177,RightSleeve[Display],RightSleeve[Flat]),ROUND(_xlfn.XLOOKUP('Bulk Order Details'!V177,RightSleeve[Display],RightSleeve[Pct])*$E167,2))),"")</f>
        <v/>
      </c>
      <c r="Q167" s="27" t="str">
        <f>IF('Bulk Order Details'!M177="","",SUM(F167:P167))</f>
        <v/>
      </c>
      <c r="R167" s="24" t="str">
        <f t="shared" si="11"/>
        <v/>
      </c>
      <c r="S167" s="23" t="str">
        <f>IFERROR(MIN(IF(Summary!$D$11="Yes",-J167,0),IF(H167&gt;0,-J167,0)),"")</f>
        <v/>
      </c>
      <c r="T167" s="16" t="str">
        <f>IFERROR(IF(Summary!$D$10="Yes",-K167,""),"")</f>
        <v/>
      </c>
      <c r="U167" s="18" t="str">
        <f>IFERROR(IF(Summary!$D$12="Yes",-L167,""),"")</f>
        <v/>
      </c>
      <c r="V167" s="25" t="str">
        <f>IF('Bulk Order Details'!M177="","",SUM(R167:U167))</f>
        <v/>
      </c>
      <c r="W167" s="36" t="str">
        <f>IF('Bulk Order Details'!M177="","",D167+Q167)</f>
        <v/>
      </c>
      <c r="X167" s="37" t="str">
        <f>IF('Bulk Order Details'!M177="","",D167+Q167+V167)</f>
        <v/>
      </c>
      <c r="Y167" s="168" t="str">
        <f t="shared" si="10"/>
        <v/>
      </c>
      <c r="Z167" s="173" t="str">
        <f>IF('Bulk Order Details'!M177="","",MAX(1,'Bulk Order Details'!G177))</f>
        <v/>
      </c>
      <c r="AA167" s="196" t="str">
        <f>IF(Pricing_Details[[#This Row],[Quantity]]="","",Pricing_Details[[#This Row],[Retail Price]]*Pricing_Details[[#This Row],[Quantity]])</f>
        <v/>
      </c>
      <c r="AB167" s="196" t="str">
        <f>IF(Pricing_Details[[#This Row],[Quantity]]="","",Pricing_Details[[#This Row],[Total Discount]]*Pricing_Details[[#This Row],[Quantity]])</f>
        <v/>
      </c>
      <c r="AC167" s="176" t="str">
        <f>IFERROR(ROUND(Pricing_Details[[#This Row],[Actual Price]]*Pricing_Details[[#This Row],[Quantity]],2),"")</f>
        <v/>
      </c>
      <c r="AE167" s="156" t="str">
        <f>IF('Bulk Order Details'!M177="","",VLOOKUP('Bulk Order Details'!K177,Collection[],3)&amp;VLOOKUP('Bulk Order Details'!M177,Collar[],4)&amp;VLOOKUP('Bulk Order Details'!L177,Sleeve[],4))</f>
        <v/>
      </c>
      <c r="AF167" s="156" t="str">
        <f>IF('Bulk Order Details'!M177="","",LOOKUP('Bulk Order Details'!H177,Cut[Display],Cut[Code])&amp;LOOKUP('Bulk Order Details'!I177,#REF!,#REF!)&amp;IF('Bulk Order Details'!J177="","",LOOKUP('Bulk Order Details'!J177,Length[Display],Length[Code])))</f>
        <v/>
      </c>
      <c r="AG167" s="156" t="str">
        <f>IF('Bulk Order Details'!M177="","",IF('Bulk Order Details'!F177="","",'Bulk Order Details'!F177))</f>
        <v/>
      </c>
      <c r="AH167" s="156" t="str">
        <f>IF('Bulk Order Details'!R177="","","-"&amp;LOOKUP('Bulk Order Details'!R177,#REF!,#REF!))</f>
        <v/>
      </c>
      <c r="AI167" s="156" t="str">
        <f>IF('Bulk Order Details'!S177="","","-"&amp;LOOKUP('Bulk Order Details'!S177,#REF!,#REF!))</f>
        <v/>
      </c>
      <c r="AJ167" s="156" t="str">
        <f>IF('Bulk Order Details'!T177="","","-"&amp;LOOKUP('Bulk Order Details'!T177,#REF!,#REF!))</f>
        <v/>
      </c>
      <c r="AK167" s="156" t="str">
        <f>IF('Bulk Order Details'!U177="","","-"&amp;LOOKUP('Bulk Order Details'!U177,#REF!,#REF!))</f>
        <v/>
      </c>
      <c r="AL167" s="156" t="str">
        <f>IF('Bulk Order Details'!V177="","","-"&amp;LOOKUP('Bulk Order Details'!V177,#REF!,#REF!))</f>
        <v/>
      </c>
      <c r="AM167" s="156" t="str">
        <f t="shared" si="12"/>
        <v/>
      </c>
      <c r="AN167" s="156" t="str">
        <f>IF('Bulk Order Details'!N177="","","Na-"&amp;'Bulk Order Details'!N177)</f>
        <v/>
      </c>
      <c r="AO167" s="156" t="str">
        <f>IF('Bulk Order Details'!Q177="","","Fo-"&amp;'Bulk Order Details'!Q177)</f>
        <v/>
      </c>
      <c r="AP167" s="156" t="str">
        <f t="shared" si="13"/>
        <v/>
      </c>
      <c r="AQ167" s="37" t="str">
        <f t="shared" si="14"/>
        <v/>
      </c>
    </row>
    <row r="168" spans="2:43" ht="15" customHeight="1" x14ac:dyDescent="0.2">
      <c r="B168" s="34">
        <f>'Bulk Order Details'!B178</f>
        <v>165</v>
      </c>
      <c r="C168" s="34" t="str">
        <f>IF('Bulk Order Details'!C178="","",'Bulk Order Details'!C178&amp;" "&amp;'Bulk Order Details'!D178)</f>
        <v/>
      </c>
      <c r="D168" s="31" t="str">
        <f>IF('Bulk Order Details'!M178="","",VLOOKUP(1,Price[],3))</f>
        <v/>
      </c>
      <c r="E168" s="29" t="str">
        <f>IF('Bulk Order Details'!M178="","",Summary!$D$9)</f>
        <v/>
      </c>
      <c r="F168" s="16" t="str">
        <f>IF('Bulk Order Details'!I178="","",_xlfn.XLOOKUP('Bulk Order Details'!I178,Size[Display],Size[Price]))</f>
        <v/>
      </c>
      <c r="G168" s="16" t="str">
        <f>IF('Bulk Order Details'!J178="","",_xlfn.XLOOKUP('Bulk Order Details'!J178,Length[Display],Length[Price]))</f>
        <v/>
      </c>
      <c r="H168" s="16" t="str">
        <f>IF('Bulk Order Details'!K178="","",_xlfn.XLOOKUP('Bulk Order Details'!K178,Collection[Display],Collection[Price]))</f>
        <v/>
      </c>
      <c r="I168" s="16" t="str">
        <f>IF('Bulk Order Details'!L178="","",_xlfn.XLOOKUP('Bulk Order Details'!L178,Sleeve[Display],Sleeve[Price]))</f>
        <v/>
      </c>
      <c r="J168" s="16" t="str">
        <f>IF('Bulk Order Details'!M178="","",_xlfn.XLOOKUP('Bulk Order Details'!M178,Collar[Display],Collar[Price]))</f>
        <v/>
      </c>
      <c r="K168" s="16" t="str">
        <f>IF('Bulk Order Details'!N178="","",_xlfn.XLOOKUP("Name",Name[Name],Name[Price]))</f>
        <v/>
      </c>
      <c r="L168" s="18" t="str">
        <f>IFERROR(IF('Bulk Order Details'!R178="","",IF(_xlfn.XLOOKUP('Bulk Order Details'!R178,Logos[Display],Logos[Use])="Flat",_xlfn.XLOOKUP('Bulk Order Details'!R178,Logos[Display],Logos[Flat]),ROUND(_xlfn.XLOOKUP('Bulk Order Details'!R178,Logos[Display],Logos[Pct])*$E168,2))),"")</f>
        <v/>
      </c>
      <c r="M168" s="22" t="str">
        <f>IFERROR(IF('Bulk Order Details'!S178="","",IF(_xlfn.XLOOKUP('Bulk Order Details'!S178,Chest[Display],Chest[Use])="Flat",_xlfn.XLOOKUP('Bulk Order Details'!S178,Chest[Display],Chest[Flat]),ROUND(_xlfn.XLOOKUP('Bulk Order Details'!S178,Chest[Display],Chest[Pct])*$E168,2))),"")</f>
        <v/>
      </c>
      <c r="N168" s="22" t="str">
        <f>IFERROR(IF('Bulk Order Details'!T178="","",IF(_xlfn.XLOOKUP('Bulk Order Details'!T178,Chest[Display],Chest[Use])="Flat",_xlfn.XLOOKUP('Bulk Order Details'!T178,Chest[Display],Chest[Flat]),ROUND(_xlfn.XLOOKUP('Bulk Order Details'!T178,Chest[Display],Chest[Pct])*$E168,2))),"")</f>
        <v/>
      </c>
      <c r="O168" s="22" t="str">
        <f>IFERROR(IF('Bulk Order Details'!U178="","",IF(_xlfn.XLOOKUP('Bulk Order Details'!U178,LeftSleeve[Display],LeftSleeve[Use])="Flat",_xlfn.XLOOKUP('Bulk Order Details'!U178,LeftSleeve[Display],LeftSleeve[Flat]),ROUND(_xlfn.XLOOKUP('Bulk Order Details'!U178,LeftSleeve[Display],LeftSleeve[Pct])*$E168,2))),"")</f>
        <v/>
      </c>
      <c r="P168" s="22" t="str">
        <f>IFERROR(IF('Bulk Order Details'!V178="","",IF(_xlfn.XLOOKUP('Bulk Order Details'!V178,RightSleeve[Display],RightSleeve[Use])="Flat",_xlfn.XLOOKUP('Bulk Order Details'!V178,RightSleeve[Display],RightSleeve[Flat]),ROUND(_xlfn.XLOOKUP('Bulk Order Details'!V178,RightSleeve[Display],RightSleeve[Pct])*$E168,2))),"")</f>
        <v/>
      </c>
      <c r="Q168" s="27" t="str">
        <f>IF('Bulk Order Details'!M178="","",SUM(F168:P168))</f>
        <v/>
      </c>
      <c r="R168" s="24" t="str">
        <f t="shared" si="11"/>
        <v/>
      </c>
      <c r="S168" s="23" t="str">
        <f>IFERROR(MIN(IF(Summary!$D$11="Yes",-J168,0),IF(H168&gt;0,-J168,0)),"")</f>
        <v/>
      </c>
      <c r="T168" s="16" t="str">
        <f>IFERROR(IF(Summary!$D$10="Yes",-K168,""),"")</f>
        <v/>
      </c>
      <c r="U168" s="18" t="str">
        <f>IFERROR(IF(Summary!$D$12="Yes",-L168,""),"")</f>
        <v/>
      </c>
      <c r="V168" s="25" t="str">
        <f>IF('Bulk Order Details'!M178="","",SUM(R168:U168))</f>
        <v/>
      </c>
      <c r="W168" s="36" t="str">
        <f>IF('Bulk Order Details'!M178="","",D168+Q168)</f>
        <v/>
      </c>
      <c r="X168" s="37" t="str">
        <f>IF('Bulk Order Details'!M178="","",D168+Q168+V168)</f>
        <v/>
      </c>
      <c r="Y168" s="168" t="str">
        <f t="shared" si="10"/>
        <v/>
      </c>
      <c r="Z168" s="173" t="str">
        <f>IF('Bulk Order Details'!M178="","",MAX(1,'Bulk Order Details'!G178))</f>
        <v/>
      </c>
      <c r="AA168" s="196" t="str">
        <f>IF(Pricing_Details[[#This Row],[Quantity]]="","",Pricing_Details[[#This Row],[Retail Price]]*Pricing_Details[[#This Row],[Quantity]])</f>
        <v/>
      </c>
      <c r="AB168" s="196" t="str">
        <f>IF(Pricing_Details[[#This Row],[Quantity]]="","",Pricing_Details[[#This Row],[Total Discount]]*Pricing_Details[[#This Row],[Quantity]])</f>
        <v/>
      </c>
      <c r="AC168" s="176" t="str">
        <f>IFERROR(ROUND(Pricing_Details[[#This Row],[Actual Price]]*Pricing_Details[[#This Row],[Quantity]],2),"")</f>
        <v/>
      </c>
      <c r="AE168" s="156" t="str">
        <f>IF('Bulk Order Details'!M178="","",VLOOKUP('Bulk Order Details'!K178,Collection[],3)&amp;VLOOKUP('Bulk Order Details'!M178,Collar[],4)&amp;VLOOKUP('Bulk Order Details'!L178,Sleeve[],4))</f>
        <v/>
      </c>
      <c r="AF168" s="156" t="str">
        <f>IF('Bulk Order Details'!M178="","",LOOKUP('Bulk Order Details'!H178,Cut[Display],Cut[Code])&amp;LOOKUP('Bulk Order Details'!I178,#REF!,#REF!)&amp;IF('Bulk Order Details'!J178="","",LOOKUP('Bulk Order Details'!J178,Length[Display],Length[Code])))</f>
        <v/>
      </c>
      <c r="AG168" s="156" t="str">
        <f>IF('Bulk Order Details'!M178="","",IF('Bulk Order Details'!F178="","",'Bulk Order Details'!F178))</f>
        <v/>
      </c>
      <c r="AH168" s="156" t="str">
        <f>IF('Bulk Order Details'!R178="","","-"&amp;LOOKUP('Bulk Order Details'!R178,#REF!,#REF!))</f>
        <v/>
      </c>
      <c r="AI168" s="156" t="str">
        <f>IF('Bulk Order Details'!S178="","","-"&amp;LOOKUP('Bulk Order Details'!S178,#REF!,#REF!))</f>
        <v/>
      </c>
      <c r="AJ168" s="156" t="str">
        <f>IF('Bulk Order Details'!T178="","","-"&amp;LOOKUP('Bulk Order Details'!T178,#REF!,#REF!))</f>
        <v/>
      </c>
      <c r="AK168" s="156" t="str">
        <f>IF('Bulk Order Details'!U178="","","-"&amp;LOOKUP('Bulk Order Details'!U178,#REF!,#REF!))</f>
        <v/>
      </c>
      <c r="AL168" s="156" t="str">
        <f>IF('Bulk Order Details'!V178="","","-"&amp;LOOKUP('Bulk Order Details'!V178,#REF!,#REF!))</f>
        <v/>
      </c>
      <c r="AM168" s="156" t="str">
        <f t="shared" si="12"/>
        <v/>
      </c>
      <c r="AN168" s="156" t="str">
        <f>IF('Bulk Order Details'!N178="","","Na-"&amp;'Bulk Order Details'!N178)</f>
        <v/>
      </c>
      <c r="AO168" s="156" t="str">
        <f>IF('Bulk Order Details'!Q178="","","Fo-"&amp;'Bulk Order Details'!Q178)</f>
        <v/>
      </c>
      <c r="AP168" s="156" t="str">
        <f t="shared" si="13"/>
        <v/>
      </c>
      <c r="AQ168" s="37" t="str">
        <f t="shared" si="14"/>
        <v/>
      </c>
    </row>
    <row r="169" spans="2:43" ht="15" customHeight="1" x14ac:dyDescent="0.2">
      <c r="B169" s="34">
        <f>'Bulk Order Details'!B179</f>
        <v>166</v>
      </c>
      <c r="C169" s="34" t="str">
        <f>IF('Bulk Order Details'!C179="","",'Bulk Order Details'!C179&amp;" "&amp;'Bulk Order Details'!D179)</f>
        <v/>
      </c>
      <c r="D169" s="31" t="str">
        <f>IF('Bulk Order Details'!M179="","",VLOOKUP(1,Price[],3))</f>
        <v/>
      </c>
      <c r="E169" s="29" t="str">
        <f>IF('Bulk Order Details'!M179="","",Summary!$D$9)</f>
        <v/>
      </c>
      <c r="F169" s="16" t="str">
        <f>IF('Bulk Order Details'!I179="","",_xlfn.XLOOKUP('Bulk Order Details'!I179,Size[Display],Size[Price]))</f>
        <v/>
      </c>
      <c r="G169" s="16" t="str">
        <f>IF('Bulk Order Details'!J179="","",_xlfn.XLOOKUP('Bulk Order Details'!J179,Length[Display],Length[Price]))</f>
        <v/>
      </c>
      <c r="H169" s="16" t="str">
        <f>IF('Bulk Order Details'!K179="","",_xlfn.XLOOKUP('Bulk Order Details'!K179,Collection[Display],Collection[Price]))</f>
        <v/>
      </c>
      <c r="I169" s="16" t="str">
        <f>IF('Bulk Order Details'!L179="","",_xlfn.XLOOKUP('Bulk Order Details'!L179,Sleeve[Display],Sleeve[Price]))</f>
        <v/>
      </c>
      <c r="J169" s="16" t="str">
        <f>IF('Bulk Order Details'!M179="","",_xlfn.XLOOKUP('Bulk Order Details'!M179,Collar[Display],Collar[Price]))</f>
        <v/>
      </c>
      <c r="K169" s="16" t="str">
        <f>IF('Bulk Order Details'!N179="","",_xlfn.XLOOKUP("Name",Name[Name],Name[Price]))</f>
        <v/>
      </c>
      <c r="L169" s="18" t="str">
        <f>IFERROR(IF('Bulk Order Details'!R179="","",IF(_xlfn.XLOOKUP('Bulk Order Details'!R179,Logos[Display],Logos[Use])="Flat",_xlfn.XLOOKUP('Bulk Order Details'!R179,Logos[Display],Logos[Flat]),ROUND(_xlfn.XLOOKUP('Bulk Order Details'!R179,Logos[Display],Logos[Pct])*$E169,2))),"")</f>
        <v/>
      </c>
      <c r="M169" s="22" t="str">
        <f>IFERROR(IF('Bulk Order Details'!S179="","",IF(_xlfn.XLOOKUP('Bulk Order Details'!S179,Chest[Display],Chest[Use])="Flat",_xlfn.XLOOKUP('Bulk Order Details'!S179,Chest[Display],Chest[Flat]),ROUND(_xlfn.XLOOKUP('Bulk Order Details'!S179,Chest[Display],Chest[Pct])*$E169,2))),"")</f>
        <v/>
      </c>
      <c r="N169" s="22" t="str">
        <f>IFERROR(IF('Bulk Order Details'!T179="","",IF(_xlfn.XLOOKUP('Bulk Order Details'!T179,Chest[Display],Chest[Use])="Flat",_xlfn.XLOOKUP('Bulk Order Details'!T179,Chest[Display],Chest[Flat]),ROUND(_xlfn.XLOOKUP('Bulk Order Details'!T179,Chest[Display],Chest[Pct])*$E169,2))),"")</f>
        <v/>
      </c>
      <c r="O169" s="22" t="str">
        <f>IFERROR(IF('Bulk Order Details'!U179="","",IF(_xlfn.XLOOKUP('Bulk Order Details'!U179,LeftSleeve[Display],LeftSleeve[Use])="Flat",_xlfn.XLOOKUP('Bulk Order Details'!U179,LeftSleeve[Display],LeftSleeve[Flat]),ROUND(_xlfn.XLOOKUP('Bulk Order Details'!U179,LeftSleeve[Display],LeftSleeve[Pct])*$E169,2))),"")</f>
        <v/>
      </c>
      <c r="P169" s="22" t="str">
        <f>IFERROR(IF('Bulk Order Details'!V179="","",IF(_xlfn.XLOOKUP('Bulk Order Details'!V179,RightSleeve[Display],RightSleeve[Use])="Flat",_xlfn.XLOOKUP('Bulk Order Details'!V179,RightSleeve[Display],RightSleeve[Flat]),ROUND(_xlfn.XLOOKUP('Bulk Order Details'!V179,RightSleeve[Display],RightSleeve[Pct])*$E169,2))),"")</f>
        <v/>
      </c>
      <c r="Q169" s="27" t="str">
        <f>IF('Bulk Order Details'!M179="","",SUM(F169:P169))</f>
        <v/>
      </c>
      <c r="R169" s="24" t="str">
        <f t="shared" si="11"/>
        <v/>
      </c>
      <c r="S169" s="23" t="str">
        <f>IFERROR(MIN(IF(Summary!$D$11="Yes",-J169,0),IF(H169&gt;0,-J169,0)),"")</f>
        <v/>
      </c>
      <c r="T169" s="16" t="str">
        <f>IFERROR(IF(Summary!$D$10="Yes",-K169,""),"")</f>
        <v/>
      </c>
      <c r="U169" s="18" t="str">
        <f>IFERROR(IF(Summary!$D$12="Yes",-L169,""),"")</f>
        <v/>
      </c>
      <c r="V169" s="25" t="str">
        <f>IF('Bulk Order Details'!M179="","",SUM(R169:U169))</f>
        <v/>
      </c>
      <c r="W169" s="36" t="str">
        <f>IF('Bulk Order Details'!M179="","",D169+Q169)</f>
        <v/>
      </c>
      <c r="X169" s="37" t="str">
        <f>IF('Bulk Order Details'!M179="","",D169+Q169+V169)</f>
        <v/>
      </c>
      <c r="Y169" s="168" t="str">
        <f t="shared" si="10"/>
        <v/>
      </c>
      <c r="Z169" s="173" t="str">
        <f>IF('Bulk Order Details'!M179="","",MAX(1,'Bulk Order Details'!G179))</f>
        <v/>
      </c>
      <c r="AA169" s="196" t="str">
        <f>IF(Pricing_Details[[#This Row],[Quantity]]="","",Pricing_Details[[#This Row],[Retail Price]]*Pricing_Details[[#This Row],[Quantity]])</f>
        <v/>
      </c>
      <c r="AB169" s="196" t="str">
        <f>IF(Pricing_Details[[#This Row],[Quantity]]="","",Pricing_Details[[#This Row],[Total Discount]]*Pricing_Details[[#This Row],[Quantity]])</f>
        <v/>
      </c>
      <c r="AC169" s="176" t="str">
        <f>IFERROR(ROUND(Pricing_Details[[#This Row],[Actual Price]]*Pricing_Details[[#This Row],[Quantity]],2),"")</f>
        <v/>
      </c>
      <c r="AE169" s="156" t="str">
        <f>IF('Bulk Order Details'!M179="","",VLOOKUP('Bulk Order Details'!K179,Collection[],3)&amp;VLOOKUP('Bulk Order Details'!M179,Collar[],4)&amp;VLOOKUP('Bulk Order Details'!L179,Sleeve[],4))</f>
        <v/>
      </c>
      <c r="AF169" s="156" t="str">
        <f>IF('Bulk Order Details'!M179="","",LOOKUP('Bulk Order Details'!H179,Cut[Display],Cut[Code])&amp;LOOKUP('Bulk Order Details'!I179,#REF!,#REF!)&amp;IF('Bulk Order Details'!J179="","",LOOKUP('Bulk Order Details'!J179,Length[Display],Length[Code])))</f>
        <v/>
      </c>
      <c r="AG169" s="156" t="str">
        <f>IF('Bulk Order Details'!M179="","",IF('Bulk Order Details'!F179="","",'Bulk Order Details'!F179))</f>
        <v/>
      </c>
      <c r="AH169" s="156" t="str">
        <f>IF('Bulk Order Details'!R179="","","-"&amp;LOOKUP('Bulk Order Details'!R179,#REF!,#REF!))</f>
        <v/>
      </c>
      <c r="AI169" s="156" t="str">
        <f>IF('Bulk Order Details'!S179="","","-"&amp;LOOKUP('Bulk Order Details'!S179,#REF!,#REF!))</f>
        <v/>
      </c>
      <c r="AJ169" s="156" t="str">
        <f>IF('Bulk Order Details'!T179="","","-"&amp;LOOKUP('Bulk Order Details'!T179,#REF!,#REF!))</f>
        <v/>
      </c>
      <c r="AK169" s="156" t="str">
        <f>IF('Bulk Order Details'!U179="","","-"&amp;LOOKUP('Bulk Order Details'!U179,#REF!,#REF!))</f>
        <v/>
      </c>
      <c r="AL169" s="156" t="str">
        <f>IF('Bulk Order Details'!V179="","","-"&amp;LOOKUP('Bulk Order Details'!V179,#REF!,#REF!))</f>
        <v/>
      </c>
      <c r="AM169" s="156" t="str">
        <f t="shared" si="12"/>
        <v/>
      </c>
      <c r="AN169" s="156" t="str">
        <f>IF('Bulk Order Details'!N179="","","Na-"&amp;'Bulk Order Details'!N179)</f>
        <v/>
      </c>
      <c r="AO169" s="156" t="str">
        <f>IF('Bulk Order Details'!Q179="","","Fo-"&amp;'Bulk Order Details'!Q179)</f>
        <v/>
      </c>
      <c r="AP169" s="156" t="str">
        <f t="shared" si="13"/>
        <v/>
      </c>
      <c r="AQ169" s="37" t="str">
        <f t="shared" si="14"/>
        <v/>
      </c>
    </row>
    <row r="170" spans="2:43" ht="15" customHeight="1" x14ac:dyDescent="0.2">
      <c r="B170" s="34">
        <f>'Bulk Order Details'!B180</f>
        <v>167</v>
      </c>
      <c r="C170" s="34" t="str">
        <f>IF('Bulk Order Details'!C180="","",'Bulk Order Details'!C180&amp;" "&amp;'Bulk Order Details'!D180)</f>
        <v/>
      </c>
      <c r="D170" s="31" t="str">
        <f>IF('Bulk Order Details'!M180="","",VLOOKUP(1,Price[],3))</f>
        <v/>
      </c>
      <c r="E170" s="29" t="str">
        <f>IF('Bulk Order Details'!M180="","",Summary!$D$9)</f>
        <v/>
      </c>
      <c r="F170" s="16" t="str">
        <f>IF('Bulk Order Details'!I180="","",_xlfn.XLOOKUP('Bulk Order Details'!I180,Size[Display],Size[Price]))</f>
        <v/>
      </c>
      <c r="G170" s="16" t="str">
        <f>IF('Bulk Order Details'!J180="","",_xlfn.XLOOKUP('Bulk Order Details'!J180,Length[Display],Length[Price]))</f>
        <v/>
      </c>
      <c r="H170" s="16" t="str">
        <f>IF('Bulk Order Details'!K180="","",_xlfn.XLOOKUP('Bulk Order Details'!K180,Collection[Display],Collection[Price]))</f>
        <v/>
      </c>
      <c r="I170" s="16" t="str">
        <f>IF('Bulk Order Details'!L180="","",_xlfn.XLOOKUP('Bulk Order Details'!L180,Sleeve[Display],Sleeve[Price]))</f>
        <v/>
      </c>
      <c r="J170" s="16" t="str">
        <f>IF('Bulk Order Details'!M180="","",_xlfn.XLOOKUP('Bulk Order Details'!M180,Collar[Display],Collar[Price]))</f>
        <v/>
      </c>
      <c r="K170" s="16" t="str">
        <f>IF('Bulk Order Details'!N180="","",_xlfn.XLOOKUP("Name",Name[Name],Name[Price]))</f>
        <v/>
      </c>
      <c r="L170" s="18" t="str">
        <f>IFERROR(IF('Bulk Order Details'!R180="","",IF(_xlfn.XLOOKUP('Bulk Order Details'!R180,Logos[Display],Logos[Use])="Flat",_xlfn.XLOOKUP('Bulk Order Details'!R180,Logos[Display],Logos[Flat]),ROUND(_xlfn.XLOOKUP('Bulk Order Details'!R180,Logos[Display],Logos[Pct])*$E170,2))),"")</f>
        <v/>
      </c>
      <c r="M170" s="22" t="str">
        <f>IFERROR(IF('Bulk Order Details'!S180="","",IF(_xlfn.XLOOKUP('Bulk Order Details'!S180,Chest[Display],Chest[Use])="Flat",_xlfn.XLOOKUP('Bulk Order Details'!S180,Chest[Display],Chest[Flat]),ROUND(_xlfn.XLOOKUP('Bulk Order Details'!S180,Chest[Display],Chest[Pct])*$E170,2))),"")</f>
        <v/>
      </c>
      <c r="N170" s="22" t="str">
        <f>IFERROR(IF('Bulk Order Details'!T180="","",IF(_xlfn.XLOOKUP('Bulk Order Details'!T180,Chest[Display],Chest[Use])="Flat",_xlfn.XLOOKUP('Bulk Order Details'!T180,Chest[Display],Chest[Flat]),ROUND(_xlfn.XLOOKUP('Bulk Order Details'!T180,Chest[Display],Chest[Pct])*$E170,2))),"")</f>
        <v/>
      </c>
      <c r="O170" s="22" t="str">
        <f>IFERROR(IF('Bulk Order Details'!U180="","",IF(_xlfn.XLOOKUP('Bulk Order Details'!U180,LeftSleeve[Display],LeftSleeve[Use])="Flat",_xlfn.XLOOKUP('Bulk Order Details'!U180,LeftSleeve[Display],LeftSleeve[Flat]),ROUND(_xlfn.XLOOKUP('Bulk Order Details'!U180,LeftSleeve[Display],LeftSleeve[Pct])*$E170,2))),"")</f>
        <v/>
      </c>
      <c r="P170" s="22" t="str">
        <f>IFERROR(IF('Bulk Order Details'!V180="","",IF(_xlfn.XLOOKUP('Bulk Order Details'!V180,RightSleeve[Display],RightSleeve[Use])="Flat",_xlfn.XLOOKUP('Bulk Order Details'!V180,RightSleeve[Display],RightSleeve[Flat]),ROUND(_xlfn.XLOOKUP('Bulk Order Details'!V180,RightSleeve[Display],RightSleeve[Pct])*$E170,2))),"")</f>
        <v/>
      </c>
      <c r="Q170" s="27" t="str">
        <f>IF('Bulk Order Details'!M180="","",SUM(F170:P170))</f>
        <v/>
      </c>
      <c r="R170" s="24" t="str">
        <f t="shared" si="11"/>
        <v/>
      </c>
      <c r="S170" s="23" t="str">
        <f>IFERROR(MIN(IF(Summary!$D$11="Yes",-J170,0),IF(H170&gt;0,-J170,0)),"")</f>
        <v/>
      </c>
      <c r="T170" s="16" t="str">
        <f>IFERROR(IF(Summary!$D$10="Yes",-K170,""),"")</f>
        <v/>
      </c>
      <c r="U170" s="18" t="str">
        <f>IFERROR(IF(Summary!$D$12="Yes",-L170,""),"")</f>
        <v/>
      </c>
      <c r="V170" s="25" t="str">
        <f>IF('Bulk Order Details'!M180="","",SUM(R170:U170))</f>
        <v/>
      </c>
      <c r="W170" s="36" t="str">
        <f>IF('Bulk Order Details'!M180="","",D170+Q170)</f>
        <v/>
      </c>
      <c r="X170" s="37" t="str">
        <f>IF('Bulk Order Details'!M180="","",D170+Q170+V170)</f>
        <v/>
      </c>
      <c r="Y170" s="168" t="str">
        <f t="shared" si="10"/>
        <v/>
      </c>
      <c r="Z170" s="173" t="str">
        <f>IF('Bulk Order Details'!M180="","",MAX(1,'Bulk Order Details'!G180))</f>
        <v/>
      </c>
      <c r="AA170" s="196" t="str">
        <f>IF(Pricing_Details[[#This Row],[Quantity]]="","",Pricing_Details[[#This Row],[Retail Price]]*Pricing_Details[[#This Row],[Quantity]])</f>
        <v/>
      </c>
      <c r="AB170" s="196" t="str">
        <f>IF(Pricing_Details[[#This Row],[Quantity]]="","",Pricing_Details[[#This Row],[Total Discount]]*Pricing_Details[[#This Row],[Quantity]])</f>
        <v/>
      </c>
      <c r="AC170" s="176" t="str">
        <f>IFERROR(ROUND(Pricing_Details[[#This Row],[Actual Price]]*Pricing_Details[[#This Row],[Quantity]],2),"")</f>
        <v/>
      </c>
      <c r="AE170" s="156" t="str">
        <f>IF('Bulk Order Details'!M180="","",VLOOKUP('Bulk Order Details'!K180,Collection[],3)&amp;VLOOKUP('Bulk Order Details'!M180,Collar[],4)&amp;VLOOKUP('Bulk Order Details'!L180,Sleeve[],4))</f>
        <v/>
      </c>
      <c r="AF170" s="156" t="str">
        <f>IF('Bulk Order Details'!M180="","",LOOKUP('Bulk Order Details'!H180,Cut[Display],Cut[Code])&amp;LOOKUP('Bulk Order Details'!I180,#REF!,#REF!)&amp;IF('Bulk Order Details'!J180="","",LOOKUP('Bulk Order Details'!J180,Length[Display],Length[Code])))</f>
        <v/>
      </c>
      <c r="AG170" s="156" t="str">
        <f>IF('Bulk Order Details'!M180="","",IF('Bulk Order Details'!F180="","",'Bulk Order Details'!F180))</f>
        <v/>
      </c>
      <c r="AH170" s="156" t="str">
        <f>IF('Bulk Order Details'!R180="","","-"&amp;LOOKUP('Bulk Order Details'!R180,#REF!,#REF!))</f>
        <v/>
      </c>
      <c r="AI170" s="156" t="str">
        <f>IF('Bulk Order Details'!S180="","","-"&amp;LOOKUP('Bulk Order Details'!S180,#REF!,#REF!))</f>
        <v/>
      </c>
      <c r="AJ170" s="156" t="str">
        <f>IF('Bulk Order Details'!T180="","","-"&amp;LOOKUP('Bulk Order Details'!T180,#REF!,#REF!))</f>
        <v/>
      </c>
      <c r="AK170" s="156" t="str">
        <f>IF('Bulk Order Details'!U180="","","-"&amp;LOOKUP('Bulk Order Details'!U180,#REF!,#REF!))</f>
        <v/>
      </c>
      <c r="AL170" s="156" t="str">
        <f>IF('Bulk Order Details'!V180="","","-"&amp;LOOKUP('Bulk Order Details'!V180,#REF!,#REF!))</f>
        <v/>
      </c>
      <c r="AM170" s="156" t="str">
        <f t="shared" si="12"/>
        <v/>
      </c>
      <c r="AN170" s="156" t="str">
        <f>IF('Bulk Order Details'!N180="","","Na-"&amp;'Bulk Order Details'!N180)</f>
        <v/>
      </c>
      <c r="AO170" s="156" t="str">
        <f>IF('Bulk Order Details'!Q180="","","Fo-"&amp;'Bulk Order Details'!Q180)</f>
        <v/>
      </c>
      <c r="AP170" s="156" t="str">
        <f t="shared" si="13"/>
        <v/>
      </c>
      <c r="AQ170" s="37" t="str">
        <f t="shared" si="14"/>
        <v/>
      </c>
    </row>
    <row r="171" spans="2:43" ht="15" customHeight="1" x14ac:dyDescent="0.2">
      <c r="B171" s="34">
        <f>'Bulk Order Details'!B181</f>
        <v>168</v>
      </c>
      <c r="C171" s="34" t="str">
        <f>IF('Bulk Order Details'!C181="","",'Bulk Order Details'!C181&amp;" "&amp;'Bulk Order Details'!D181)</f>
        <v/>
      </c>
      <c r="D171" s="31" t="str">
        <f>IF('Bulk Order Details'!M181="","",VLOOKUP(1,Price[],3))</f>
        <v/>
      </c>
      <c r="E171" s="29" t="str">
        <f>IF('Bulk Order Details'!M181="","",Summary!$D$9)</f>
        <v/>
      </c>
      <c r="F171" s="16" t="str">
        <f>IF('Bulk Order Details'!I181="","",_xlfn.XLOOKUP('Bulk Order Details'!I181,Size[Display],Size[Price]))</f>
        <v/>
      </c>
      <c r="G171" s="16" t="str">
        <f>IF('Bulk Order Details'!J181="","",_xlfn.XLOOKUP('Bulk Order Details'!J181,Length[Display],Length[Price]))</f>
        <v/>
      </c>
      <c r="H171" s="16" t="str">
        <f>IF('Bulk Order Details'!K181="","",_xlfn.XLOOKUP('Bulk Order Details'!K181,Collection[Display],Collection[Price]))</f>
        <v/>
      </c>
      <c r="I171" s="16" t="str">
        <f>IF('Bulk Order Details'!L181="","",_xlfn.XLOOKUP('Bulk Order Details'!L181,Sleeve[Display],Sleeve[Price]))</f>
        <v/>
      </c>
      <c r="J171" s="16" t="str">
        <f>IF('Bulk Order Details'!M181="","",_xlfn.XLOOKUP('Bulk Order Details'!M181,Collar[Display],Collar[Price]))</f>
        <v/>
      </c>
      <c r="K171" s="16" t="str">
        <f>IF('Bulk Order Details'!N181="","",_xlfn.XLOOKUP("Name",Name[Name],Name[Price]))</f>
        <v/>
      </c>
      <c r="L171" s="18" t="str">
        <f>IFERROR(IF('Bulk Order Details'!R181="","",IF(_xlfn.XLOOKUP('Bulk Order Details'!R181,Logos[Display],Logos[Use])="Flat",_xlfn.XLOOKUP('Bulk Order Details'!R181,Logos[Display],Logos[Flat]),ROUND(_xlfn.XLOOKUP('Bulk Order Details'!R181,Logos[Display],Logos[Pct])*$E171,2))),"")</f>
        <v/>
      </c>
      <c r="M171" s="22" t="str">
        <f>IFERROR(IF('Bulk Order Details'!S181="","",IF(_xlfn.XLOOKUP('Bulk Order Details'!S181,Chest[Display],Chest[Use])="Flat",_xlfn.XLOOKUP('Bulk Order Details'!S181,Chest[Display],Chest[Flat]),ROUND(_xlfn.XLOOKUP('Bulk Order Details'!S181,Chest[Display],Chest[Pct])*$E171,2))),"")</f>
        <v/>
      </c>
      <c r="N171" s="22" t="str">
        <f>IFERROR(IF('Bulk Order Details'!T181="","",IF(_xlfn.XLOOKUP('Bulk Order Details'!T181,Chest[Display],Chest[Use])="Flat",_xlfn.XLOOKUP('Bulk Order Details'!T181,Chest[Display],Chest[Flat]),ROUND(_xlfn.XLOOKUP('Bulk Order Details'!T181,Chest[Display],Chest[Pct])*$E171,2))),"")</f>
        <v/>
      </c>
      <c r="O171" s="22" t="str">
        <f>IFERROR(IF('Bulk Order Details'!U181="","",IF(_xlfn.XLOOKUP('Bulk Order Details'!U181,LeftSleeve[Display],LeftSleeve[Use])="Flat",_xlfn.XLOOKUP('Bulk Order Details'!U181,LeftSleeve[Display],LeftSleeve[Flat]),ROUND(_xlfn.XLOOKUP('Bulk Order Details'!U181,LeftSleeve[Display],LeftSleeve[Pct])*$E171,2))),"")</f>
        <v/>
      </c>
      <c r="P171" s="22" t="str">
        <f>IFERROR(IF('Bulk Order Details'!V181="","",IF(_xlfn.XLOOKUP('Bulk Order Details'!V181,RightSleeve[Display],RightSleeve[Use])="Flat",_xlfn.XLOOKUP('Bulk Order Details'!V181,RightSleeve[Display],RightSleeve[Flat]),ROUND(_xlfn.XLOOKUP('Bulk Order Details'!V181,RightSleeve[Display],RightSleeve[Pct])*$E171,2))),"")</f>
        <v/>
      </c>
      <c r="Q171" s="27" t="str">
        <f>IF('Bulk Order Details'!M181="","",SUM(F171:P171))</f>
        <v/>
      </c>
      <c r="R171" s="24" t="str">
        <f t="shared" si="11"/>
        <v/>
      </c>
      <c r="S171" s="23" t="str">
        <f>IFERROR(MIN(IF(Summary!$D$11="Yes",-J171,0),IF(H171&gt;0,-J171,0)),"")</f>
        <v/>
      </c>
      <c r="T171" s="16" t="str">
        <f>IFERROR(IF(Summary!$D$10="Yes",-K171,""),"")</f>
        <v/>
      </c>
      <c r="U171" s="18" t="str">
        <f>IFERROR(IF(Summary!$D$12="Yes",-L171,""),"")</f>
        <v/>
      </c>
      <c r="V171" s="25" t="str">
        <f>IF('Bulk Order Details'!M181="","",SUM(R171:U171))</f>
        <v/>
      </c>
      <c r="W171" s="36" t="str">
        <f>IF('Bulk Order Details'!M181="","",D171+Q171)</f>
        <v/>
      </c>
      <c r="X171" s="37" t="str">
        <f>IF('Bulk Order Details'!M181="","",D171+Q171+V171)</f>
        <v/>
      </c>
      <c r="Y171" s="168" t="str">
        <f t="shared" si="10"/>
        <v/>
      </c>
      <c r="Z171" s="173" t="str">
        <f>IF('Bulk Order Details'!M181="","",MAX(1,'Bulk Order Details'!G181))</f>
        <v/>
      </c>
      <c r="AA171" s="196" t="str">
        <f>IF(Pricing_Details[[#This Row],[Quantity]]="","",Pricing_Details[[#This Row],[Retail Price]]*Pricing_Details[[#This Row],[Quantity]])</f>
        <v/>
      </c>
      <c r="AB171" s="196" t="str">
        <f>IF(Pricing_Details[[#This Row],[Quantity]]="","",Pricing_Details[[#This Row],[Total Discount]]*Pricing_Details[[#This Row],[Quantity]])</f>
        <v/>
      </c>
      <c r="AC171" s="176" t="str">
        <f>IFERROR(ROUND(Pricing_Details[[#This Row],[Actual Price]]*Pricing_Details[[#This Row],[Quantity]],2),"")</f>
        <v/>
      </c>
      <c r="AE171" s="156" t="str">
        <f>IF('Bulk Order Details'!M181="","",VLOOKUP('Bulk Order Details'!K181,Collection[],3)&amp;VLOOKUP('Bulk Order Details'!M181,Collar[],4)&amp;VLOOKUP('Bulk Order Details'!L181,Sleeve[],4))</f>
        <v/>
      </c>
      <c r="AF171" s="156" t="str">
        <f>IF('Bulk Order Details'!M181="","",LOOKUP('Bulk Order Details'!H181,Cut[Display],Cut[Code])&amp;LOOKUP('Bulk Order Details'!I181,#REF!,#REF!)&amp;IF('Bulk Order Details'!J181="","",LOOKUP('Bulk Order Details'!J181,Length[Display],Length[Code])))</f>
        <v/>
      </c>
      <c r="AG171" s="156" t="str">
        <f>IF('Bulk Order Details'!M181="","",IF('Bulk Order Details'!F181="","",'Bulk Order Details'!F181))</f>
        <v/>
      </c>
      <c r="AH171" s="156" t="str">
        <f>IF('Bulk Order Details'!R181="","","-"&amp;LOOKUP('Bulk Order Details'!R181,#REF!,#REF!))</f>
        <v/>
      </c>
      <c r="AI171" s="156" t="str">
        <f>IF('Bulk Order Details'!S181="","","-"&amp;LOOKUP('Bulk Order Details'!S181,#REF!,#REF!))</f>
        <v/>
      </c>
      <c r="AJ171" s="156" t="str">
        <f>IF('Bulk Order Details'!T181="","","-"&amp;LOOKUP('Bulk Order Details'!T181,#REF!,#REF!))</f>
        <v/>
      </c>
      <c r="AK171" s="156" t="str">
        <f>IF('Bulk Order Details'!U181="","","-"&amp;LOOKUP('Bulk Order Details'!U181,#REF!,#REF!))</f>
        <v/>
      </c>
      <c r="AL171" s="156" t="str">
        <f>IF('Bulk Order Details'!V181="","","-"&amp;LOOKUP('Bulk Order Details'!V181,#REF!,#REF!))</f>
        <v/>
      </c>
      <c r="AM171" s="156" t="str">
        <f t="shared" si="12"/>
        <v/>
      </c>
      <c r="AN171" s="156" t="str">
        <f>IF('Bulk Order Details'!N181="","","Na-"&amp;'Bulk Order Details'!N181)</f>
        <v/>
      </c>
      <c r="AO171" s="156" t="str">
        <f>IF('Bulk Order Details'!Q181="","","Fo-"&amp;'Bulk Order Details'!Q181)</f>
        <v/>
      </c>
      <c r="AP171" s="156" t="str">
        <f t="shared" si="13"/>
        <v/>
      </c>
      <c r="AQ171" s="37" t="str">
        <f t="shared" si="14"/>
        <v/>
      </c>
    </row>
    <row r="172" spans="2:43" ht="15" customHeight="1" x14ac:dyDescent="0.2">
      <c r="B172" s="34">
        <f>'Bulk Order Details'!B182</f>
        <v>169</v>
      </c>
      <c r="C172" s="34" t="str">
        <f>IF('Bulk Order Details'!C182="","",'Bulk Order Details'!C182&amp;" "&amp;'Bulk Order Details'!D182)</f>
        <v/>
      </c>
      <c r="D172" s="31" t="str">
        <f>IF('Bulk Order Details'!M182="","",VLOOKUP(1,Price[],3))</f>
        <v/>
      </c>
      <c r="E172" s="29" t="str">
        <f>IF('Bulk Order Details'!M182="","",Summary!$D$9)</f>
        <v/>
      </c>
      <c r="F172" s="16" t="str">
        <f>IF('Bulk Order Details'!I182="","",_xlfn.XLOOKUP('Bulk Order Details'!I182,Size[Display],Size[Price]))</f>
        <v/>
      </c>
      <c r="G172" s="16" t="str">
        <f>IF('Bulk Order Details'!J182="","",_xlfn.XLOOKUP('Bulk Order Details'!J182,Length[Display],Length[Price]))</f>
        <v/>
      </c>
      <c r="H172" s="16" t="str">
        <f>IF('Bulk Order Details'!K182="","",_xlfn.XLOOKUP('Bulk Order Details'!K182,Collection[Display],Collection[Price]))</f>
        <v/>
      </c>
      <c r="I172" s="16" t="str">
        <f>IF('Bulk Order Details'!L182="","",_xlfn.XLOOKUP('Bulk Order Details'!L182,Sleeve[Display],Sleeve[Price]))</f>
        <v/>
      </c>
      <c r="J172" s="16" t="str">
        <f>IF('Bulk Order Details'!M182="","",_xlfn.XLOOKUP('Bulk Order Details'!M182,Collar[Display],Collar[Price]))</f>
        <v/>
      </c>
      <c r="K172" s="16" t="str">
        <f>IF('Bulk Order Details'!N182="","",_xlfn.XLOOKUP("Name",Name[Name],Name[Price]))</f>
        <v/>
      </c>
      <c r="L172" s="18" t="str">
        <f>IFERROR(IF('Bulk Order Details'!R182="","",IF(_xlfn.XLOOKUP('Bulk Order Details'!R182,Logos[Display],Logos[Use])="Flat",_xlfn.XLOOKUP('Bulk Order Details'!R182,Logos[Display],Logos[Flat]),ROUND(_xlfn.XLOOKUP('Bulk Order Details'!R182,Logos[Display],Logos[Pct])*$E172,2))),"")</f>
        <v/>
      </c>
      <c r="M172" s="22" t="str">
        <f>IFERROR(IF('Bulk Order Details'!S182="","",IF(_xlfn.XLOOKUP('Bulk Order Details'!S182,Chest[Display],Chest[Use])="Flat",_xlfn.XLOOKUP('Bulk Order Details'!S182,Chest[Display],Chest[Flat]),ROUND(_xlfn.XLOOKUP('Bulk Order Details'!S182,Chest[Display],Chest[Pct])*$E172,2))),"")</f>
        <v/>
      </c>
      <c r="N172" s="22" t="str">
        <f>IFERROR(IF('Bulk Order Details'!T182="","",IF(_xlfn.XLOOKUP('Bulk Order Details'!T182,Chest[Display],Chest[Use])="Flat",_xlfn.XLOOKUP('Bulk Order Details'!T182,Chest[Display],Chest[Flat]),ROUND(_xlfn.XLOOKUP('Bulk Order Details'!T182,Chest[Display],Chest[Pct])*$E172,2))),"")</f>
        <v/>
      </c>
      <c r="O172" s="22" t="str">
        <f>IFERROR(IF('Bulk Order Details'!U182="","",IF(_xlfn.XLOOKUP('Bulk Order Details'!U182,LeftSleeve[Display],LeftSleeve[Use])="Flat",_xlfn.XLOOKUP('Bulk Order Details'!U182,LeftSleeve[Display],LeftSleeve[Flat]),ROUND(_xlfn.XLOOKUP('Bulk Order Details'!U182,LeftSleeve[Display],LeftSleeve[Pct])*$E172,2))),"")</f>
        <v/>
      </c>
      <c r="P172" s="22" t="str">
        <f>IFERROR(IF('Bulk Order Details'!V182="","",IF(_xlfn.XLOOKUP('Bulk Order Details'!V182,RightSleeve[Display],RightSleeve[Use])="Flat",_xlfn.XLOOKUP('Bulk Order Details'!V182,RightSleeve[Display],RightSleeve[Flat]),ROUND(_xlfn.XLOOKUP('Bulk Order Details'!V182,RightSleeve[Display],RightSleeve[Pct])*$E172,2))),"")</f>
        <v/>
      </c>
      <c r="Q172" s="27" t="str">
        <f>IF('Bulk Order Details'!M182="","",SUM(F172:P172))</f>
        <v/>
      </c>
      <c r="R172" s="24" t="str">
        <f t="shared" si="11"/>
        <v/>
      </c>
      <c r="S172" s="23" t="str">
        <f>IFERROR(MIN(IF(Summary!$D$11="Yes",-J172,0),IF(H172&gt;0,-J172,0)),"")</f>
        <v/>
      </c>
      <c r="T172" s="16" t="str">
        <f>IFERROR(IF(Summary!$D$10="Yes",-K172,""),"")</f>
        <v/>
      </c>
      <c r="U172" s="18" t="str">
        <f>IFERROR(IF(Summary!$D$12="Yes",-L172,""),"")</f>
        <v/>
      </c>
      <c r="V172" s="25" t="str">
        <f>IF('Bulk Order Details'!M182="","",SUM(R172:U172))</f>
        <v/>
      </c>
      <c r="W172" s="36" t="str">
        <f>IF('Bulk Order Details'!M182="","",D172+Q172)</f>
        <v/>
      </c>
      <c r="X172" s="37" t="str">
        <f>IF('Bulk Order Details'!M182="","",D172+Q172+V172)</f>
        <v/>
      </c>
      <c r="Y172" s="168" t="str">
        <f t="shared" si="10"/>
        <v/>
      </c>
      <c r="Z172" s="173" t="str">
        <f>IF('Bulk Order Details'!M182="","",MAX(1,'Bulk Order Details'!G182))</f>
        <v/>
      </c>
      <c r="AA172" s="196" t="str">
        <f>IF(Pricing_Details[[#This Row],[Quantity]]="","",Pricing_Details[[#This Row],[Retail Price]]*Pricing_Details[[#This Row],[Quantity]])</f>
        <v/>
      </c>
      <c r="AB172" s="196" t="str">
        <f>IF(Pricing_Details[[#This Row],[Quantity]]="","",Pricing_Details[[#This Row],[Total Discount]]*Pricing_Details[[#This Row],[Quantity]])</f>
        <v/>
      </c>
      <c r="AC172" s="176" t="str">
        <f>IFERROR(ROUND(Pricing_Details[[#This Row],[Actual Price]]*Pricing_Details[[#This Row],[Quantity]],2),"")</f>
        <v/>
      </c>
      <c r="AE172" s="156" t="str">
        <f>IF('Bulk Order Details'!M182="","",VLOOKUP('Bulk Order Details'!K182,Collection[],3)&amp;VLOOKUP('Bulk Order Details'!M182,Collar[],4)&amp;VLOOKUP('Bulk Order Details'!L182,Sleeve[],4))</f>
        <v/>
      </c>
      <c r="AF172" s="156" t="str">
        <f>IF('Bulk Order Details'!M182="","",LOOKUP('Bulk Order Details'!H182,Cut[Display],Cut[Code])&amp;LOOKUP('Bulk Order Details'!I182,#REF!,#REF!)&amp;IF('Bulk Order Details'!J182="","",LOOKUP('Bulk Order Details'!J182,Length[Display],Length[Code])))</f>
        <v/>
      </c>
      <c r="AG172" s="156" t="str">
        <f>IF('Bulk Order Details'!M182="","",IF('Bulk Order Details'!F182="","",'Bulk Order Details'!F182))</f>
        <v/>
      </c>
      <c r="AH172" s="156" t="str">
        <f>IF('Bulk Order Details'!R182="","","-"&amp;LOOKUP('Bulk Order Details'!R182,#REF!,#REF!))</f>
        <v/>
      </c>
      <c r="AI172" s="156" t="str">
        <f>IF('Bulk Order Details'!S182="","","-"&amp;LOOKUP('Bulk Order Details'!S182,#REF!,#REF!))</f>
        <v/>
      </c>
      <c r="AJ172" s="156" t="str">
        <f>IF('Bulk Order Details'!T182="","","-"&amp;LOOKUP('Bulk Order Details'!T182,#REF!,#REF!))</f>
        <v/>
      </c>
      <c r="AK172" s="156" t="str">
        <f>IF('Bulk Order Details'!U182="","","-"&amp;LOOKUP('Bulk Order Details'!U182,#REF!,#REF!))</f>
        <v/>
      </c>
      <c r="AL172" s="156" t="str">
        <f>IF('Bulk Order Details'!V182="","","-"&amp;LOOKUP('Bulk Order Details'!V182,#REF!,#REF!))</f>
        <v/>
      </c>
      <c r="AM172" s="156" t="str">
        <f t="shared" si="12"/>
        <v/>
      </c>
      <c r="AN172" s="156" t="str">
        <f>IF('Bulk Order Details'!N182="","","Na-"&amp;'Bulk Order Details'!N182)</f>
        <v/>
      </c>
      <c r="AO172" s="156" t="str">
        <f>IF('Bulk Order Details'!Q182="","","Fo-"&amp;'Bulk Order Details'!Q182)</f>
        <v/>
      </c>
      <c r="AP172" s="156" t="str">
        <f t="shared" si="13"/>
        <v/>
      </c>
      <c r="AQ172" s="37" t="str">
        <f t="shared" si="14"/>
        <v/>
      </c>
    </row>
    <row r="173" spans="2:43" ht="15" customHeight="1" x14ac:dyDescent="0.2">
      <c r="B173" s="34">
        <f>'Bulk Order Details'!B183</f>
        <v>170</v>
      </c>
      <c r="C173" s="34" t="str">
        <f>IF('Bulk Order Details'!C183="","",'Bulk Order Details'!C183&amp;" "&amp;'Bulk Order Details'!D183)</f>
        <v/>
      </c>
      <c r="D173" s="31" t="str">
        <f>IF('Bulk Order Details'!M183="","",VLOOKUP(1,Price[],3))</f>
        <v/>
      </c>
      <c r="E173" s="29" t="str">
        <f>IF('Bulk Order Details'!M183="","",Summary!$D$9)</f>
        <v/>
      </c>
      <c r="F173" s="16" t="str">
        <f>IF('Bulk Order Details'!I183="","",_xlfn.XLOOKUP('Bulk Order Details'!I183,Size[Display],Size[Price]))</f>
        <v/>
      </c>
      <c r="G173" s="16" t="str">
        <f>IF('Bulk Order Details'!J183="","",_xlfn.XLOOKUP('Bulk Order Details'!J183,Length[Display],Length[Price]))</f>
        <v/>
      </c>
      <c r="H173" s="16" t="str">
        <f>IF('Bulk Order Details'!K183="","",_xlfn.XLOOKUP('Bulk Order Details'!K183,Collection[Display],Collection[Price]))</f>
        <v/>
      </c>
      <c r="I173" s="16" t="str">
        <f>IF('Bulk Order Details'!L183="","",_xlfn.XLOOKUP('Bulk Order Details'!L183,Sleeve[Display],Sleeve[Price]))</f>
        <v/>
      </c>
      <c r="J173" s="16" t="str">
        <f>IF('Bulk Order Details'!M183="","",_xlfn.XLOOKUP('Bulk Order Details'!M183,Collar[Display],Collar[Price]))</f>
        <v/>
      </c>
      <c r="K173" s="16" t="str">
        <f>IF('Bulk Order Details'!N183="","",_xlfn.XLOOKUP("Name",Name[Name],Name[Price]))</f>
        <v/>
      </c>
      <c r="L173" s="18" t="str">
        <f>IFERROR(IF('Bulk Order Details'!R183="","",IF(_xlfn.XLOOKUP('Bulk Order Details'!R183,Logos[Display],Logos[Use])="Flat",_xlfn.XLOOKUP('Bulk Order Details'!R183,Logos[Display],Logos[Flat]),ROUND(_xlfn.XLOOKUP('Bulk Order Details'!R183,Logos[Display],Logos[Pct])*$E173,2))),"")</f>
        <v/>
      </c>
      <c r="M173" s="22" t="str">
        <f>IFERROR(IF('Bulk Order Details'!S183="","",IF(_xlfn.XLOOKUP('Bulk Order Details'!S183,Chest[Display],Chest[Use])="Flat",_xlfn.XLOOKUP('Bulk Order Details'!S183,Chest[Display],Chest[Flat]),ROUND(_xlfn.XLOOKUP('Bulk Order Details'!S183,Chest[Display],Chest[Pct])*$E173,2))),"")</f>
        <v/>
      </c>
      <c r="N173" s="22" t="str">
        <f>IFERROR(IF('Bulk Order Details'!T183="","",IF(_xlfn.XLOOKUP('Bulk Order Details'!T183,Chest[Display],Chest[Use])="Flat",_xlfn.XLOOKUP('Bulk Order Details'!T183,Chest[Display],Chest[Flat]),ROUND(_xlfn.XLOOKUP('Bulk Order Details'!T183,Chest[Display],Chest[Pct])*$E173,2))),"")</f>
        <v/>
      </c>
      <c r="O173" s="22" t="str">
        <f>IFERROR(IF('Bulk Order Details'!U183="","",IF(_xlfn.XLOOKUP('Bulk Order Details'!U183,LeftSleeve[Display],LeftSleeve[Use])="Flat",_xlfn.XLOOKUP('Bulk Order Details'!U183,LeftSleeve[Display],LeftSleeve[Flat]),ROUND(_xlfn.XLOOKUP('Bulk Order Details'!U183,LeftSleeve[Display],LeftSleeve[Pct])*$E173,2))),"")</f>
        <v/>
      </c>
      <c r="P173" s="22" t="str">
        <f>IFERROR(IF('Bulk Order Details'!V183="","",IF(_xlfn.XLOOKUP('Bulk Order Details'!V183,RightSleeve[Display],RightSleeve[Use])="Flat",_xlfn.XLOOKUP('Bulk Order Details'!V183,RightSleeve[Display],RightSleeve[Flat]),ROUND(_xlfn.XLOOKUP('Bulk Order Details'!V183,RightSleeve[Display],RightSleeve[Pct])*$E173,2))),"")</f>
        <v/>
      </c>
      <c r="Q173" s="27" t="str">
        <f>IF('Bulk Order Details'!M183="","",SUM(F173:P173))</f>
        <v/>
      </c>
      <c r="R173" s="24" t="str">
        <f t="shared" si="11"/>
        <v/>
      </c>
      <c r="S173" s="23" t="str">
        <f>IFERROR(MIN(IF(Summary!$D$11="Yes",-J173,0),IF(H173&gt;0,-J173,0)),"")</f>
        <v/>
      </c>
      <c r="T173" s="16" t="str">
        <f>IFERROR(IF(Summary!$D$10="Yes",-K173,""),"")</f>
        <v/>
      </c>
      <c r="U173" s="18" t="str">
        <f>IFERROR(IF(Summary!$D$12="Yes",-L173,""),"")</f>
        <v/>
      </c>
      <c r="V173" s="25" t="str">
        <f>IF('Bulk Order Details'!M183="","",SUM(R173:U173))</f>
        <v/>
      </c>
      <c r="W173" s="36" t="str">
        <f>IF('Bulk Order Details'!M183="","",D173+Q173)</f>
        <v/>
      </c>
      <c r="X173" s="37" t="str">
        <f>IF('Bulk Order Details'!M183="","",D173+Q173+V173)</f>
        <v/>
      </c>
      <c r="Y173" s="168" t="str">
        <f t="shared" si="10"/>
        <v/>
      </c>
      <c r="Z173" s="173" t="str">
        <f>IF('Bulk Order Details'!M183="","",MAX(1,'Bulk Order Details'!G183))</f>
        <v/>
      </c>
      <c r="AA173" s="196" t="str">
        <f>IF(Pricing_Details[[#This Row],[Quantity]]="","",Pricing_Details[[#This Row],[Retail Price]]*Pricing_Details[[#This Row],[Quantity]])</f>
        <v/>
      </c>
      <c r="AB173" s="196" t="str">
        <f>IF(Pricing_Details[[#This Row],[Quantity]]="","",Pricing_Details[[#This Row],[Total Discount]]*Pricing_Details[[#This Row],[Quantity]])</f>
        <v/>
      </c>
      <c r="AC173" s="176" t="str">
        <f>IFERROR(ROUND(Pricing_Details[[#This Row],[Actual Price]]*Pricing_Details[[#This Row],[Quantity]],2),"")</f>
        <v/>
      </c>
      <c r="AE173" s="156" t="str">
        <f>IF('Bulk Order Details'!M183="","",VLOOKUP('Bulk Order Details'!K183,Collection[],3)&amp;VLOOKUP('Bulk Order Details'!M183,Collar[],4)&amp;VLOOKUP('Bulk Order Details'!L183,Sleeve[],4))</f>
        <v/>
      </c>
      <c r="AF173" s="156" t="str">
        <f>IF('Bulk Order Details'!M183="","",LOOKUP('Bulk Order Details'!H183,Cut[Display],Cut[Code])&amp;LOOKUP('Bulk Order Details'!I183,#REF!,#REF!)&amp;IF('Bulk Order Details'!J183="","",LOOKUP('Bulk Order Details'!J183,Length[Display],Length[Code])))</f>
        <v/>
      </c>
      <c r="AG173" s="156" t="str">
        <f>IF('Bulk Order Details'!M183="","",IF('Bulk Order Details'!F183="","",'Bulk Order Details'!F183))</f>
        <v/>
      </c>
      <c r="AH173" s="156" t="str">
        <f>IF('Bulk Order Details'!R183="","","-"&amp;LOOKUP('Bulk Order Details'!R183,#REF!,#REF!))</f>
        <v/>
      </c>
      <c r="AI173" s="156" t="str">
        <f>IF('Bulk Order Details'!S183="","","-"&amp;LOOKUP('Bulk Order Details'!S183,#REF!,#REF!))</f>
        <v/>
      </c>
      <c r="AJ173" s="156" t="str">
        <f>IF('Bulk Order Details'!T183="","","-"&amp;LOOKUP('Bulk Order Details'!T183,#REF!,#REF!))</f>
        <v/>
      </c>
      <c r="AK173" s="156" t="str">
        <f>IF('Bulk Order Details'!U183="","","-"&amp;LOOKUP('Bulk Order Details'!U183,#REF!,#REF!))</f>
        <v/>
      </c>
      <c r="AL173" s="156" t="str">
        <f>IF('Bulk Order Details'!V183="","","-"&amp;LOOKUP('Bulk Order Details'!V183,#REF!,#REF!))</f>
        <v/>
      </c>
      <c r="AM173" s="156" t="str">
        <f t="shared" si="12"/>
        <v/>
      </c>
      <c r="AN173" s="156" t="str">
        <f>IF('Bulk Order Details'!N183="","","Na-"&amp;'Bulk Order Details'!N183)</f>
        <v/>
      </c>
      <c r="AO173" s="156" t="str">
        <f>IF('Bulk Order Details'!Q183="","","Fo-"&amp;'Bulk Order Details'!Q183)</f>
        <v/>
      </c>
      <c r="AP173" s="156" t="str">
        <f t="shared" si="13"/>
        <v/>
      </c>
      <c r="AQ173" s="37" t="str">
        <f t="shared" si="14"/>
        <v/>
      </c>
    </row>
    <row r="174" spans="2:43" ht="15" customHeight="1" x14ac:dyDescent="0.2">
      <c r="B174" s="34">
        <f>'Bulk Order Details'!B184</f>
        <v>171</v>
      </c>
      <c r="C174" s="34" t="str">
        <f>IF('Bulk Order Details'!C184="","",'Bulk Order Details'!C184&amp;" "&amp;'Bulk Order Details'!D184)</f>
        <v/>
      </c>
      <c r="D174" s="31" t="str">
        <f>IF('Bulk Order Details'!M184="","",VLOOKUP(1,Price[],3))</f>
        <v/>
      </c>
      <c r="E174" s="29" t="str">
        <f>IF('Bulk Order Details'!M184="","",Summary!$D$9)</f>
        <v/>
      </c>
      <c r="F174" s="16" t="str">
        <f>IF('Bulk Order Details'!I184="","",_xlfn.XLOOKUP('Bulk Order Details'!I184,Size[Display],Size[Price]))</f>
        <v/>
      </c>
      <c r="G174" s="16" t="str">
        <f>IF('Bulk Order Details'!J184="","",_xlfn.XLOOKUP('Bulk Order Details'!J184,Length[Display],Length[Price]))</f>
        <v/>
      </c>
      <c r="H174" s="16" t="str">
        <f>IF('Bulk Order Details'!K184="","",_xlfn.XLOOKUP('Bulk Order Details'!K184,Collection[Display],Collection[Price]))</f>
        <v/>
      </c>
      <c r="I174" s="16" t="str">
        <f>IF('Bulk Order Details'!L184="","",_xlfn.XLOOKUP('Bulk Order Details'!L184,Sleeve[Display],Sleeve[Price]))</f>
        <v/>
      </c>
      <c r="J174" s="16" t="str">
        <f>IF('Bulk Order Details'!M184="","",_xlfn.XLOOKUP('Bulk Order Details'!M184,Collar[Display],Collar[Price]))</f>
        <v/>
      </c>
      <c r="K174" s="16" t="str">
        <f>IF('Bulk Order Details'!N184="","",_xlfn.XLOOKUP("Name",Name[Name],Name[Price]))</f>
        <v/>
      </c>
      <c r="L174" s="18" t="str">
        <f>IFERROR(IF('Bulk Order Details'!R184="","",IF(_xlfn.XLOOKUP('Bulk Order Details'!R184,Logos[Display],Logos[Use])="Flat",_xlfn.XLOOKUP('Bulk Order Details'!R184,Logos[Display],Logos[Flat]),ROUND(_xlfn.XLOOKUP('Bulk Order Details'!R184,Logos[Display],Logos[Pct])*$E174,2))),"")</f>
        <v/>
      </c>
      <c r="M174" s="22" t="str">
        <f>IFERROR(IF('Bulk Order Details'!S184="","",IF(_xlfn.XLOOKUP('Bulk Order Details'!S184,Chest[Display],Chest[Use])="Flat",_xlfn.XLOOKUP('Bulk Order Details'!S184,Chest[Display],Chest[Flat]),ROUND(_xlfn.XLOOKUP('Bulk Order Details'!S184,Chest[Display],Chest[Pct])*$E174,2))),"")</f>
        <v/>
      </c>
      <c r="N174" s="22" t="str">
        <f>IFERROR(IF('Bulk Order Details'!T184="","",IF(_xlfn.XLOOKUP('Bulk Order Details'!T184,Chest[Display],Chest[Use])="Flat",_xlfn.XLOOKUP('Bulk Order Details'!T184,Chest[Display],Chest[Flat]),ROUND(_xlfn.XLOOKUP('Bulk Order Details'!T184,Chest[Display],Chest[Pct])*$E174,2))),"")</f>
        <v/>
      </c>
      <c r="O174" s="22" t="str">
        <f>IFERROR(IF('Bulk Order Details'!U184="","",IF(_xlfn.XLOOKUP('Bulk Order Details'!U184,LeftSleeve[Display],LeftSleeve[Use])="Flat",_xlfn.XLOOKUP('Bulk Order Details'!U184,LeftSleeve[Display],LeftSleeve[Flat]),ROUND(_xlfn.XLOOKUP('Bulk Order Details'!U184,LeftSleeve[Display],LeftSleeve[Pct])*$E174,2))),"")</f>
        <v/>
      </c>
      <c r="P174" s="22" t="str">
        <f>IFERROR(IF('Bulk Order Details'!V184="","",IF(_xlfn.XLOOKUP('Bulk Order Details'!V184,RightSleeve[Display],RightSleeve[Use])="Flat",_xlfn.XLOOKUP('Bulk Order Details'!V184,RightSleeve[Display],RightSleeve[Flat]),ROUND(_xlfn.XLOOKUP('Bulk Order Details'!V184,RightSleeve[Display],RightSleeve[Pct])*$E174,2))),"")</f>
        <v/>
      </c>
      <c r="Q174" s="27" t="str">
        <f>IF('Bulk Order Details'!M184="","",SUM(F174:P174))</f>
        <v/>
      </c>
      <c r="R174" s="24" t="str">
        <f t="shared" si="11"/>
        <v/>
      </c>
      <c r="S174" s="23" t="str">
        <f>IFERROR(MIN(IF(Summary!$D$11="Yes",-J174,0),IF(H174&gt;0,-J174,0)),"")</f>
        <v/>
      </c>
      <c r="T174" s="16" t="str">
        <f>IFERROR(IF(Summary!$D$10="Yes",-K174,""),"")</f>
        <v/>
      </c>
      <c r="U174" s="18" t="str">
        <f>IFERROR(IF(Summary!$D$12="Yes",-L174,""),"")</f>
        <v/>
      </c>
      <c r="V174" s="25" t="str">
        <f>IF('Bulk Order Details'!M184="","",SUM(R174:U174))</f>
        <v/>
      </c>
      <c r="W174" s="36" t="str">
        <f>IF('Bulk Order Details'!M184="","",D174+Q174)</f>
        <v/>
      </c>
      <c r="X174" s="37" t="str">
        <f>IF('Bulk Order Details'!M184="","",D174+Q174+V174)</f>
        <v/>
      </c>
      <c r="Y174" s="168" t="str">
        <f t="shared" si="10"/>
        <v/>
      </c>
      <c r="Z174" s="173" t="str">
        <f>IF('Bulk Order Details'!M184="","",MAX(1,'Bulk Order Details'!G184))</f>
        <v/>
      </c>
      <c r="AA174" s="196" t="str">
        <f>IF(Pricing_Details[[#This Row],[Quantity]]="","",Pricing_Details[[#This Row],[Retail Price]]*Pricing_Details[[#This Row],[Quantity]])</f>
        <v/>
      </c>
      <c r="AB174" s="196" t="str">
        <f>IF(Pricing_Details[[#This Row],[Quantity]]="","",Pricing_Details[[#This Row],[Total Discount]]*Pricing_Details[[#This Row],[Quantity]])</f>
        <v/>
      </c>
      <c r="AC174" s="176" t="str">
        <f>IFERROR(ROUND(Pricing_Details[[#This Row],[Actual Price]]*Pricing_Details[[#This Row],[Quantity]],2),"")</f>
        <v/>
      </c>
      <c r="AE174" s="156" t="str">
        <f>IF('Bulk Order Details'!M184="","",VLOOKUP('Bulk Order Details'!K184,Collection[],3)&amp;VLOOKUP('Bulk Order Details'!M184,Collar[],4)&amp;VLOOKUP('Bulk Order Details'!L184,Sleeve[],4))</f>
        <v/>
      </c>
      <c r="AF174" s="156" t="str">
        <f>IF('Bulk Order Details'!M184="","",LOOKUP('Bulk Order Details'!H184,Cut[Display],Cut[Code])&amp;LOOKUP('Bulk Order Details'!I184,#REF!,#REF!)&amp;IF('Bulk Order Details'!J184="","",LOOKUP('Bulk Order Details'!J184,Length[Display],Length[Code])))</f>
        <v/>
      </c>
      <c r="AG174" s="156" t="str">
        <f>IF('Bulk Order Details'!M184="","",IF('Bulk Order Details'!F184="","",'Bulk Order Details'!F184))</f>
        <v/>
      </c>
      <c r="AH174" s="156" t="str">
        <f>IF('Bulk Order Details'!R184="","","-"&amp;LOOKUP('Bulk Order Details'!R184,#REF!,#REF!))</f>
        <v/>
      </c>
      <c r="AI174" s="156" t="str">
        <f>IF('Bulk Order Details'!S184="","","-"&amp;LOOKUP('Bulk Order Details'!S184,#REF!,#REF!))</f>
        <v/>
      </c>
      <c r="AJ174" s="156" t="str">
        <f>IF('Bulk Order Details'!T184="","","-"&amp;LOOKUP('Bulk Order Details'!T184,#REF!,#REF!))</f>
        <v/>
      </c>
      <c r="AK174" s="156" t="str">
        <f>IF('Bulk Order Details'!U184="","","-"&amp;LOOKUP('Bulk Order Details'!U184,#REF!,#REF!))</f>
        <v/>
      </c>
      <c r="AL174" s="156" t="str">
        <f>IF('Bulk Order Details'!V184="","","-"&amp;LOOKUP('Bulk Order Details'!V184,#REF!,#REF!))</f>
        <v/>
      </c>
      <c r="AM174" s="156" t="str">
        <f t="shared" si="12"/>
        <v/>
      </c>
      <c r="AN174" s="156" t="str">
        <f>IF('Bulk Order Details'!N184="","","Na-"&amp;'Bulk Order Details'!N184)</f>
        <v/>
      </c>
      <c r="AO174" s="156" t="str">
        <f>IF('Bulk Order Details'!Q184="","","Fo-"&amp;'Bulk Order Details'!Q184)</f>
        <v/>
      </c>
      <c r="AP174" s="156" t="str">
        <f t="shared" si="13"/>
        <v/>
      </c>
      <c r="AQ174" s="37" t="str">
        <f t="shared" si="14"/>
        <v/>
      </c>
    </row>
    <row r="175" spans="2:43" ht="15" customHeight="1" x14ac:dyDescent="0.2">
      <c r="B175" s="34">
        <f>'Bulk Order Details'!B185</f>
        <v>172</v>
      </c>
      <c r="C175" s="34" t="str">
        <f>IF('Bulk Order Details'!C185="","",'Bulk Order Details'!C185&amp;" "&amp;'Bulk Order Details'!D185)</f>
        <v/>
      </c>
      <c r="D175" s="31" t="str">
        <f>IF('Bulk Order Details'!M185="","",VLOOKUP(1,Price[],3))</f>
        <v/>
      </c>
      <c r="E175" s="29" t="str">
        <f>IF('Bulk Order Details'!M185="","",Summary!$D$9)</f>
        <v/>
      </c>
      <c r="F175" s="16" t="str">
        <f>IF('Bulk Order Details'!I185="","",_xlfn.XLOOKUP('Bulk Order Details'!I185,Size[Display],Size[Price]))</f>
        <v/>
      </c>
      <c r="G175" s="16" t="str">
        <f>IF('Bulk Order Details'!J185="","",_xlfn.XLOOKUP('Bulk Order Details'!J185,Length[Display],Length[Price]))</f>
        <v/>
      </c>
      <c r="H175" s="16" t="str">
        <f>IF('Bulk Order Details'!K185="","",_xlfn.XLOOKUP('Bulk Order Details'!K185,Collection[Display],Collection[Price]))</f>
        <v/>
      </c>
      <c r="I175" s="16" t="str">
        <f>IF('Bulk Order Details'!L185="","",_xlfn.XLOOKUP('Bulk Order Details'!L185,Sleeve[Display],Sleeve[Price]))</f>
        <v/>
      </c>
      <c r="J175" s="16" t="str">
        <f>IF('Bulk Order Details'!M185="","",_xlfn.XLOOKUP('Bulk Order Details'!M185,Collar[Display],Collar[Price]))</f>
        <v/>
      </c>
      <c r="K175" s="16" t="str">
        <f>IF('Bulk Order Details'!N185="","",_xlfn.XLOOKUP("Name",Name[Name],Name[Price]))</f>
        <v/>
      </c>
      <c r="L175" s="18" t="str">
        <f>IFERROR(IF('Bulk Order Details'!R185="","",IF(_xlfn.XLOOKUP('Bulk Order Details'!R185,Logos[Display],Logos[Use])="Flat",_xlfn.XLOOKUP('Bulk Order Details'!R185,Logos[Display],Logos[Flat]),ROUND(_xlfn.XLOOKUP('Bulk Order Details'!R185,Logos[Display],Logos[Pct])*$E175,2))),"")</f>
        <v/>
      </c>
      <c r="M175" s="22" t="str">
        <f>IFERROR(IF('Bulk Order Details'!S185="","",IF(_xlfn.XLOOKUP('Bulk Order Details'!S185,Chest[Display],Chest[Use])="Flat",_xlfn.XLOOKUP('Bulk Order Details'!S185,Chest[Display],Chest[Flat]),ROUND(_xlfn.XLOOKUP('Bulk Order Details'!S185,Chest[Display],Chest[Pct])*$E175,2))),"")</f>
        <v/>
      </c>
      <c r="N175" s="22" t="str">
        <f>IFERROR(IF('Bulk Order Details'!T185="","",IF(_xlfn.XLOOKUP('Bulk Order Details'!T185,Chest[Display],Chest[Use])="Flat",_xlfn.XLOOKUP('Bulk Order Details'!T185,Chest[Display],Chest[Flat]),ROUND(_xlfn.XLOOKUP('Bulk Order Details'!T185,Chest[Display],Chest[Pct])*$E175,2))),"")</f>
        <v/>
      </c>
      <c r="O175" s="22" t="str">
        <f>IFERROR(IF('Bulk Order Details'!U185="","",IF(_xlfn.XLOOKUP('Bulk Order Details'!U185,LeftSleeve[Display],LeftSleeve[Use])="Flat",_xlfn.XLOOKUP('Bulk Order Details'!U185,LeftSleeve[Display],LeftSleeve[Flat]),ROUND(_xlfn.XLOOKUP('Bulk Order Details'!U185,LeftSleeve[Display],LeftSleeve[Pct])*$E175,2))),"")</f>
        <v/>
      </c>
      <c r="P175" s="22" t="str">
        <f>IFERROR(IF('Bulk Order Details'!V185="","",IF(_xlfn.XLOOKUP('Bulk Order Details'!V185,RightSleeve[Display],RightSleeve[Use])="Flat",_xlfn.XLOOKUP('Bulk Order Details'!V185,RightSleeve[Display],RightSleeve[Flat]),ROUND(_xlfn.XLOOKUP('Bulk Order Details'!V185,RightSleeve[Display],RightSleeve[Pct])*$E175,2))),"")</f>
        <v/>
      </c>
      <c r="Q175" s="27" t="str">
        <f>IF('Bulk Order Details'!M185="","",SUM(F175:P175))</f>
        <v/>
      </c>
      <c r="R175" s="24" t="str">
        <f t="shared" si="11"/>
        <v/>
      </c>
      <c r="S175" s="23" t="str">
        <f>IFERROR(MIN(IF(Summary!$D$11="Yes",-J175,0),IF(H175&gt;0,-J175,0)),"")</f>
        <v/>
      </c>
      <c r="T175" s="16" t="str">
        <f>IFERROR(IF(Summary!$D$10="Yes",-K175,""),"")</f>
        <v/>
      </c>
      <c r="U175" s="18" t="str">
        <f>IFERROR(IF(Summary!$D$12="Yes",-L175,""),"")</f>
        <v/>
      </c>
      <c r="V175" s="25" t="str">
        <f>IF('Bulk Order Details'!M185="","",SUM(R175:U175))</f>
        <v/>
      </c>
      <c r="W175" s="36" t="str">
        <f>IF('Bulk Order Details'!M185="","",D175+Q175)</f>
        <v/>
      </c>
      <c r="X175" s="37" t="str">
        <f>IF('Bulk Order Details'!M185="","",D175+Q175+V175)</f>
        <v/>
      </c>
      <c r="Y175" s="168" t="str">
        <f t="shared" si="10"/>
        <v/>
      </c>
      <c r="Z175" s="173" t="str">
        <f>IF('Bulk Order Details'!M185="","",MAX(1,'Bulk Order Details'!G185))</f>
        <v/>
      </c>
      <c r="AA175" s="196" t="str">
        <f>IF(Pricing_Details[[#This Row],[Quantity]]="","",Pricing_Details[[#This Row],[Retail Price]]*Pricing_Details[[#This Row],[Quantity]])</f>
        <v/>
      </c>
      <c r="AB175" s="196" t="str">
        <f>IF(Pricing_Details[[#This Row],[Quantity]]="","",Pricing_Details[[#This Row],[Total Discount]]*Pricing_Details[[#This Row],[Quantity]])</f>
        <v/>
      </c>
      <c r="AC175" s="176" t="str">
        <f>IFERROR(ROUND(Pricing_Details[[#This Row],[Actual Price]]*Pricing_Details[[#This Row],[Quantity]],2),"")</f>
        <v/>
      </c>
      <c r="AE175" s="156" t="str">
        <f>IF('Bulk Order Details'!M185="","",VLOOKUP('Bulk Order Details'!K185,Collection[],3)&amp;VLOOKUP('Bulk Order Details'!M185,Collar[],4)&amp;VLOOKUP('Bulk Order Details'!L185,Sleeve[],4))</f>
        <v/>
      </c>
      <c r="AF175" s="156" t="str">
        <f>IF('Bulk Order Details'!M185="","",LOOKUP('Bulk Order Details'!H185,Cut[Display],Cut[Code])&amp;LOOKUP('Bulk Order Details'!I185,#REF!,#REF!)&amp;IF('Bulk Order Details'!J185="","",LOOKUP('Bulk Order Details'!J185,Length[Display],Length[Code])))</f>
        <v/>
      </c>
      <c r="AG175" s="156" t="str">
        <f>IF('Bulk Order Details'!M185="","",IF('Bulk Order Details'!F185="","",'Bulk Order Details'!F185))</f>
        <v/>
      </c>
      <c r="AH175" s="156" t="str">
        <f>IF('Bulk Order Details'!R185="","","-"&amp;LOOKUP('Bulk Order Details'!R185,#REF!,#REF!))</f>
        <v/>
      </c>
      <c r="AI175" s="156" t="str">
        <f>IF('Bulk Order Details'!S185="","","-"&amp;LOOKUP('Bulk Order Details'!S185,#REF!,#REF!))</f>
        <v/>
      </c>
      <c r="AJ175" s="156" t="str">
        <f>IF('Bulk Order Details'!T185="","","-"&amp;LOOKUP('Bulk Order Details'!T185,#REF!,#REF!))</f>
        <v/>
      </c>
      <c r="AK175" s="156" t="str">
        <f>IF('Bulk Order Details'!U185="","","-"&amp;LOOKUP('Bulk Order Details'!U185,#REF!,#REF!))</f>
        <v/>
      </c>
      <c r="AL175" s="156" t="str">
        <f>IF('Bulk Order Details'!V185="","","-"&amp;LOOKUP('Bulk Order Details'!V185,#REF!,#REF!))</f>
        <v/>
      </c>
      <c r="AM175" s="156" t="str">
        <f t="shared" si="12"/>
        <v/>
      </c>
      <c r="AN175" s="156" t="str">
        <f>IF('Bulk Order Details'!N185="","","Na-"&amp;'Bulk Order Details'!N185)</f>
        <v/>
      </c>
      <c r="AO175" s="156" t="str">
        <f>IF('Bulk Order Details'!Q185="","","Fo-"&amp;'Bulk Order Details'!Q185)</f>
        <v/>
      </c>
      <c r="AP175" s="156" t="str">
        <f t="shared" si="13"/>
        <v/>
      </c>
      <c r="AQ175" s="37" t="str">
        <f t="shared" si="14"/>
        <v/>
      </c>
    </row>
    <row r="176" spans="2:43" ht="15" customHeight="1" x14ac:dyDescent="0.2">
      <c r="B176" s="34">
        <f>'Bulk Order Details'!B186</f>
        <v>173</v>
      </c>
      <c r="C176" s="34" t="str">
        <f>IF('Bulk Order Details'!C186="","",'Bulk Order Details'!C186&amp;" "&amp;'Bulk Order Details'!D186)</f>
        <v/>
      </c>
      <c r="D176" s="31" t="str">
        <f>IF('Bulk Order Details'!M186="","",VLOOKUP(1,Price[],3))</f>
        <v/>
      </c>
      <c r="E176" s="29" t="str">
        <f>IF('Bulk Order Details'!M186="","",Summary!$D$9)</f>
        <v/>
      </c>
      <c r="F176" s="16" t="str">
        <f>IF('Bulk Order Details'!I186="","",_xlfn.XLOOKUP('Bulk Order Details'!I186,Size[Display],Size[Price]))</f>
        <v/>
      </c>
      <c r="G176" s="16" t="str">
        <f>IF('Bulk Order Details'!J186="","",_xlfn.XLOOKUP('Bulk Order Details'!J186,Length[Display],Length[Price]))</f>
        <v/>
      </c>
      <c r="H176" s="16" t="str">
        <f>IF('Bulk Order Details'!K186="","",_xlfn.XLOOKUP('Bulk Order Details'!K186,Collection[Display],Collection[Price]))</f>
        <v/>
      </c>
      <c r="I176" s="16" t="str">
        <f>IF('Bulk Order Details'!L186="","",_xlfn.XLOOKUP('Bulk Order Details'!L186,Sleeve[Display],Sleeve[Price]))</f>
        <v/>
      </c>
      <c r="J176" s="16" t="str">
        <f>IF('Bulk Order Details'!M186="","",_xlfn.XLOOKUP('Bulk Order Details'!M186,Collar[Display],Collar[Price]))</f>
        <v/>
      </c>
      <c r="K176" s="16" t="str">
        <f>IF('Bulk Order Details'!N186="","",_xlfn.XLOOKUP("Name",Name[Name],Name[Price]))</f>
        <v/>
      </c>
      <c r="L176" s="18" t="str">
        <f>IFERROR(IF('Bulk Order Details'!R186="","",IF(_xlfn.XLOOKUP('Bulk Order Details'!R186,Logos[Display],Logos[Use])="Flat",_xlfn.XLOOKUP('Bulk Order Details'!R186,Logos[Display],Logos[Flat]),ROUND(_xlfn.XLOOKUP('Bulk Order Details'!R186,Logos[Display],Logos[Pct])*$E176,2))),"")</f>
        <v/>
      </c>
      <c r="M176" s="22" t="str">
        <f>IFERROR(IF('Bulk Order Details'!S186="","",IF(_xlfn.XLOOKUP('Bulk Order Details'!S186,Chest[Display],Chest[Use])="Flat",_xlfn.XLOOKUP('Bulk Order Details'!S186,Chest[Display],Chest[Flat]),ROUND(_xlfn.XLOOKUP('Bulk Order Details'!S186,Chest[Display],Chest[Pct])*$E176,2))),"")</f>
        <v/>
      </c>
      <c r="N176" s="22" t="str">
        <f>IFERROR(IF('Bulk Order Details'!T186="","",IF(_xlfn.XLOOKUP('Bulk Order Details'!T186,Chest[Display],Chest[Use])="Flat",_xlfn.XLOOKUP('Bulk Order Details'!T186,Chest[Display],Chest[Flat]),ROUND(_xlfn.XLOOKUP('Bulk Order Details'!T186,Chest[Display],Chest[Pct])*$E176,2))),"")</f>
        <v/>
      </c>
      <c r="O176" s="22" t="str">
        <f>IFERROR(IF('Bulk Order Details'!U186="","",IF(_xlfn.XLOOKUP('Bulk Order Details'!U186,LeftSleeve[Display],LeftSleeve[Use])="Flat",_xlfn.XLOOKUP('Bulk Order Details'!U186,LeftSleeve[Display],LeftSleeve[Flat]),ROUND(_xlfn.XLOOKUP('Bulk Order Details'!U186,LeftSleeve[Display],LeftSleeve[Pct])*$E176,2))),"")</f>
        <v/>
      </c>
      <c r="P176" s="22" t="str">
        <f>IFERROR(IF('Bulk Order Details'!V186="","",IF(_xlfn.XLOOKUP('Bulk Order Details'!V186,RightSleeve[Display],RightSleeve[Use])="Flat",_xlfn.XLOOKUP('Bulk Order Details'!V186,RightSleeve[Display],RightSleeve[Flat]),ROUND(_xlfn.XLOOKUP('Bulk Order Details'!V186,RightSleeve[Display],RightSleeve[Pct])*$E176,2))),"")</f>
        <v/>
      </c>
      <c r="Q176" s="27" t="str">
        <f>IF('Bulk Order Details'!M186="","",SUM(F176:P176))</f>
        <v/>
      </c>
      <c r="R176" s="24" t="str">
        <f t="shared" si="11"/>
        <v/>
      </c>
      <c r="S176" s="23" t="str">
        <f>IFERROR(MIN(IF(Summary!$D$11="Yes",-J176,0),IF(H176&gt;0,-J176,0)),"")</f>
        <v/>
      </c>
      <c r="T176" s="16" t="str">
        <f>IFERROR(IF(Summary!$D$10="Yes",-K176,""),"")</f>
        <v/>
      </c>
      <c r="U176" s="18" t="str">
        <f>IFERROR(IF(Summary!$D$12="Yes",-L176,""),"")</f>
        <v/>
      </c>
      <c r="V176" s="25" t="str">
        <f>IF('Bulk Order Details'!M186="","",SUM(R176:U176))</f>
        <v/>
      </c>
      <c r="W176" s="36" t="str">
        <f>IF('Bulk Order Details'!M186="","",D176+Q176)</f>
        <v/>
      </c>
      <c r="X176" s="37" t="str">
        <f>IF('Bulk Order Details'!M186="","",D176+Q176+V176)</f>
        <v/>
      </c>
      <c r="Y176" s="168" t="str">
        <f t="shared" si="10"/>
        <v/>
      </c>
      <c r="Z176" s="173" t="str">
        <f>IF('Bulk Order Details'!M186="","",MAX(1,'Bulk Order Details'!G186))</f>
        <v/>
      </c>
      <c r="AA176" s="196" t="str">
        <f>IF(Pricing_Details[[#This Row],[Quantity]]="","",Pricing_Details[[#This Row],[Retail Price]]*Pricing_Details[[#This Row],[Quantity]])</f>
        <v/>
      </c>
      <c r="AB176" s="196" t="str">
        <f>IF(Pricing_Details[[#This Row],[Quantity]]="","",Pricing_Details[[#This Row],[Total Discount]]*Pricing_Details[[#This Row],[Quantity]])</f>
        <v/>
      </c>
      <c r="AC176" s="176" t="str">
        <f>IFERROR(ROUND(Pricing_Details[[#This Row],[Actual Price]]*Pricing_Details[[#This Row],[Quantity]],2),"")</f>
        <v/>
      </c>
      <c r="AE176" s="156" t="str">
        <f>IF('Bulk Order Details'!M186="","",VLOOKUP('Bulk Order Details'!K186,Collection[],3)&amp;VLOOKUP('Bulk Order Details'!M186,Collar[],4)&amp;VLOOKUP('Bulk Order Details'!L186,Sleeve[],4))</f>
        <v/>
      </c>
      <c r="AF176" s="156" t="str">
        <f>IF('Bulk Order Details'!M186="","",LOOKUP('Bulk Order Details'!H186,Cut[Display],Cut[Code])&amp;LOOKUP('Bulk Order Details'!I186,#REF!,#REF!)&amp;IF('Bulk Order Details'!J186="","",LOOKUP('Bulk Order Details'!J186,Length[Display],Length[Code])))</f>
        <v/>
      </c>
      <c r="AG176" s="156" t="str">
        <f>IF('Bulk Order Details'!M186="","",IF('Bulk Order Details'!F186="","",'Bulk Order Details'!F186))</f>
        <v/>
      </c>
      <c r="AH176" s="156" t="str">
        <f>IF('Bulk Order Details'!R186="","","-"&amp;LOOKUP('Bulk Order Details'!R186,#REF!,#REF!))</f>
        <v/>
      </c>
      <c r="AI176" s="156" t="str">
        <f>IF('Bulk Order Details'!S186="","","-"&amp;LOOKUP('Bulk Order Details'!S186,#REF!,#REF!))</f>
        <v/>
      </c>
      <c r="AJ176" s="156" t="str">
        <f>IF('Bulk Order Details'!T186="","","-"&amp;LOOKUP('Bulk Order Details'!T186,#REF!,#REF!))</f>
        <v/>
      </c>
      <c r="AK176" s="156" t="str">
        <f>IF('Bulk Order Details'!U186="","","-"&amp;LOOKUP('Bulk Order Details'!U186,#REF!,#REF!))</f>
        <v/>
      </c>
      <c r="AL176" s="156" t="str">
        <f>IF('Bulk Order Details'!V186="","","-"&amp;LOOKUP('Bulk Order Details'!V186,#REF!,#REF!))</f>
        <v/>
      </c>
      <c r="AM176" s="156" t="str">
        <f t="shared" si="12"/>
        <v/>
      </c>
      <c r="AN176" s="156" t="str">
        <f>IF('Bulk Order Details'!N186="","","Na-"&amp;'Bulk Order Details'!N186)</f>
        <v/>
      </c>
      <c r="AO176" s="156" t="str">
        <f>IF('Bulk Order Details'!Q186="","","Fo-"&amp;'Bulk Order Details'!Q186)</f>
        <v/>
      </c>
      <c r="AP176" s="156" t="str">
        <f t="shared" si="13"/>
        <v/>
      </c>
      <c r="AQ176" s="37" t="str">
        <f t="shared" si="14"/>
        <v/>
      </c>
    </row>
    <row r="177" spans="2:43" ht="15" customHeight="1" x14ac:dyDescent="0.2">
      <c r="B177" s="34">
        <f>'Bulk Order Details'!B187</f>
        <v>174</v>
      </c>
      <c r="C177" s="34" t="str">
        <f>IF('Bulk Order Details'!C187="","",'Bulk Order Details'!C187&amp;" "&amp;'Bulk Order Details'!D187)</f>
        <v/>
      </c>
      <c r="D177" s="31" t="str">
        <f>IF('Bulk Order Details'!M187="","",VLOOKUP(1,Price[],3))</f>
        <v/>
      </c>
      <c r="E177" s="29" t="str">
        <f>IF('Bulk Order Details'!M187="","",Summary!$D$9)</f>
        <v/>
      </c>
      <c r="F177" s="16" t="str">
        <f>IF('Bulk Order Details'!I187="","",_xlfn.XLOOKUP('Bulk Order Details'!I187,Size[Display],Size[Price]))</f>
        <v/>
      </c>
      <c r="G177" s="16" t="str">
        <f>IF('Bulk Order Details'!J187="","",_xlfn.XLOOKUP('Bulk Order Details'!J187,Length[Display],Length[Price]))</f>
        <v/>
      </c>
      <c r="H177" s="16" t="str">
        <f>IF('Bulk Order Details'!K187="","",_xlfn.XLOOKUP('Bulk Order Details'!K187,Collection[Display],Collection[Price]))</f>
        <v/>
      </c>
      <c r="I177" s="16" t="str">
        <f>IF('Bulk Order Details'!L187="","",_xlfn.XLOOKUP('Bulk Order Details'!L187,Sleeve[Display],Sleeve[Price]))</f>
        <v/>
      </c>
      <c r="J177" s="16" t="str">
        <f>IF('Bulk Order Details'!M187="","",_xlfn.XLOOKUP('Bulk Order Details'!M187,Collar[Display],Collar[Price]))</f>
        <v/>
      </c>
      <c r="K177" s="16" t="str">
        <f>IF('Bulk Order Details'!N187="","",_xlfn.XLOOKUP("Name",Name[Name],Name[Price]))</f>
        <v/>
      </c>
      <c r="L177" s="18" t="str">
        <f>IFERROR(IF('Bulk Order Details'!R187="","",IF(_xlfn.XLOOKUP('Bulk Order Details'!R187,Logos[Display],Logos[Use])="Flat",_xlfn.XLOOKUP('Bulk Order Details'!R187,Logos[Display],Logos[Flat]),ROUND(_xlfn.XLOOKUP('Bulk Order Details'!R187,Logos[Display],Logos[Pct])*$E177,2))),"")</f>
        <v/>
      </c>
      <c r="M177" s="22" t="str">
        <f>IFERROR(IF('Bulk Order Details'!S187="","",IF(_xlfn.XLOOKUP('Bulk Order Details'!S187,Chest[Display],Chest[Use])="Flat",_xlfn.XLOOKUP('Bulk Order Details'!S187,Chest[Display],Chest[Flat]),ROUND(_xlfn.XLOOKUP('Bulk Order Details'!S187,Chest[Display],Chest[Pct])*$E177,2))),"")</f>
        <v/>
      </c>
      <c r="N177" s="22" t="str">
        <f>IFERROR(IF('Bulk Order Details'!T187="","",IF(_xlfn.XLOOKUP('Bulk Order Details'!T187,Chest[Display],Chest[Use])="Flat",_xlfn.XLOOKUP('Bulk Order Details'!T187,Chest[Display],Chest[Flat]),ROUND(_xlfn.XLOOKUP('Bulk Order Details'!T187,Chest[Display],Chest[Pct])*$E177,2))),"")</f>
        <v/>
      </c>
      <c r="O177" s="22" t="str">
        <f>IFERROR(IF('Bulk Order Details'!U187="","",IF(_xlfn.XLOOKUP('Bulk Order Details'!U187,LeftSleeve[Display],LeftSleeve[Use])="Flat",_xlfn.XLOOKUP('Bulk Order Details'!U187,LeftSleeve[Display],LeftSleeve[Flat]),ROUND(_xlfn.XLOOKUP('Bulk Order Details'!U187,LeftSleeve[Display],LeftSleeve[Pct])*$E177,2))),"")</f>
        <v/>
      </c>
      <c r="P177" s="22" t="str">
        <f>IFERROR(IF('Bulk Order Details'!V187="","",IF(_xlfn.XLOOKUP('Bulk Order Details'!V187,RightSleeve[Display],RightSleeve[Use])="Flat",_xlfn.XLOOKUP('Bulk Order Details'!V187,RightSleeve[Display],RightSleeve[Flat]),ROUND(_xlfn.XLOOKUP('Bulk Order Details'!V187,RightSleeve[Display],RightSleeve[Pct])*$E177,2))),"")</f>
        <v/>
      </c>
      <c r="Q177" s="27" t="str">
        <f>IF('Bulk Order Details'!M187="","",SUM(F177:P177))</f>
        <v/>
      </c>
      <c r="R177" s="24" t="str">
        <f t="shared" si="11"/>
        <v/>
      </c>
      <c r="S177" s="23" t="str">
        <f>IFERROR(MIN(IF(Summary!$D$11="Yes",-J177,0),IF(H177&gt;0,-J177,0)),"")</f>
        <v/>
      </c>
      <c r="T177" s="16" t="str">
        <f>IFERROR(IF(Summary!$D$10="Yes",-K177,""),"")</f>
        <v/>
      </c>
      <c r="U177" s="18" t="str">
        <f>IFERROR(IF(Summary!$D$12="Yes",-L177,""),"")</f>
        <v/>
      </c>
      <c r="V177" s="25" t="str">
        <f>IF('Bulk Order Details'!M187="","",SUM(R177:U177))</f>
        <v/>
      </c>
      <c r="W177" s="36" t="str">
        <f>IF('Bulk Order Details'!M187="","",D177+Q177)</f>
        <v/>
      </c>
      <c r="X177" s="37" t="str">
        <f>IF('Bulk Order Details'!M187="","",D177+Q177+V177)</f>
        <v/>
      </c>
      <c r="Y177" s="168" t="str">
        <f t="shared" si="10"/>
        <v/>
      </c>
      <c r="Z177" s="173" t="str">
        <f>IF('Bulk Order Details'!M187="","",MAX(1,'Bulk Order Details'!G187))</f>
        <v/>
      </c>
      <c r="AA177" s="196" t="str">
        <f>IF(Pricing_Details[[#This Row],[Quantity]]="","",Pricing_Details[[#This Row],[Retail Price]]*Pricing_Details[[#This Row],[Quantity]])</f>
        <v/>
      </c>
      <c r="AB177" s="196" t="str">
        <f>IF(Pricing_Details[[#This Row],[Quantity]]="","",Pricing_Details[[#This Row],[Total Discount]]*Pricing_Details[[#This Row],[Quantity]])</f>
        <v/>
      </c>
      <c r="AC177" s="176" t="str">
        <f>IFERROR(ROUND(Pricing_Details[[#This Row],[Actual Price]]*Pricing_Details[[#This Row],[Quantity]],2),"")</f>
        <v/>
      </c>
      <c r="AE177" s="156" t="str">
        <f>IF('Bulk Order Details'!M187="","",VLOOKUP('Bulk Order Details'!K187,Collection[],3)&amp;VLOOKUP('Bulk Order Details'!M187,Collar[],4)&amp;VLOOKUP('Bulk Order Details'!L187,Sleeve[],4))</f>
        <v/>
      </c>
      <c r="AF177" s="156" t="str">
        <f>IF('Bulk Order Details'!M187="","",LOOKUP('Bulk Order Details'!H187,Cut[Display],Cut[Code])&amp;LOOKUP('Bulk Order Details'!I187,#REF!,#REF!)&amp;IF('Bulk Order Details'!J187="","",LOOKUP('Bulk Order Details'!J187,Length[Display],Length[Code])))</f>
        <v/>
      </c>
      <c r="AG177" s="156" t="str">
        <f>IF('Bulk Order Details'!M187="","",IF('Bulk Order Details'!F187="","",'Bulk Order Details'!F187))</f>
        <v/>
      </c>
      <c r="AH177" s="156" t="str">
        <f>IF('Bulk Order Details'!R187="","","-"&amp;LOOKUP('Bulk Order Details'!R187,#REF!,#REF!))</f>
        <v/>
      </c>
      <c r="AI177" s="156" t="str">
        <f>IF('Bulk Order Details'!S187="","","-"&amp;LOOKUP('Bulk Order Details'!S187,#REF!,#REF!))</f>
        <v/>
      </c>
      <c r="AJ177" s="156" t="str">
        <f>IF('Bulk Order Details'!T187="","","-"&amp;LOOKUP('Bulk Order Details'!T187,#REF!,#REF!))</f>
        <v/>
      </c>
      <c r="AK177" s="156" t="str">
        <f>IF('Bulk Order Details'!U187="","","-"&amp;LOOKUP('Bulk Order Details'!U187,#REF!,#REF!))</f>
        <v/>
      </c>
      <c r="AL177" s="156" t="str">
        <f>IF('Bulk Order Details'!V187="","","-"&amp;LOOKUP('Bulk Order Details'!V187,#REF!,#REF!))</f>
        <v/>
      </c>
      <c r="AM177" s="156" t="str">
        <f t="shared" si="12"/>
        <v/>
      </c>
      <c r="AN177" s="156" t="str">
        <f>IF('Bulk Order Details'!N187="","","Na-"&amp;'Bulk Order Details'!N187)</f>
        <v/>
      </c>
      <c r="AO177" s="156" t="str">
        <f>IF('Bulk Order Details'!Q187="","","Fo-"&amp;'Bulk Order Details'!Q187)</f>
        <v/>
      </c>
      <c r="AP177" s="156" t="str">
        <f t="shared" si="13"/>
        <v/>
      </c>
      <c r="AQ177" s="37" t="str">
        <f t="shared" si="14"/>
        <v/>
      </c>
    </row>
    <row r="178" spans="2:43" ht="15" customHeight="1" x14ac:dyDescent="0.2">
      <c r="B178" s="34">
        <f>'Bulk Order Details'!B188</f>
        <v>175</v>
      </c>
      <c r="C178" s="34" t="str">
        <f>IF('Bulk Order Details'!C188="","",'Bulk Order Details'!C188&amp;" "&amp;'Bulk Order Details'!D188)</f>
        <v/>
      </c>
      <c r="D178" s="31" t="str">
        <f>IF('Bulk Order Details'!M188="","",VLOOKUP(1,Price[],3))</f>
        <v/>
      </c>
      <c r="E178" s="29" t="str">
        <f>IF('Bulk Order Details'!M188="","",Summary!$D$9)</f>
        <v/>
      </c>
      <c r="F178" s="16" t="str">
        <f>IF('Bulk Order Details'!I188="","",_xlfn.XLOOKUP('Bulk Order Details'!I188,Size[Display],Size[Price]))</f>
        <v/>
      </c>
      <c r="G178" s="16" t="str">
        <f>IF('Bulk Order Details'!J188="","",_xlfn.XLOOKUP('Bulk Order Details'!J188,Length[Display],Length[Price]))</f>
        <v/>
      </c>
      <c r="H178" s="16" t="str">
        <f>IF('Bulk Order Details'!K188="","",_xlfn.XLOOKUP('Bulk Order Details'!K188,Collection[Display],Collection[Price]))</f>
        <v/>
      </c>
      <c r="I178" s="16" t="str">
        <f>IF('Bulk Order Details'!L188="","",_xlfn.XLOOKUP('Bulk Order Details'!L188,Sleeve[Display],Sleeve[Price]))</f>
        <v/>
      </c>
      <c r="J178" s="16" t="str">
        <f>IF('Bulk Order Details'!M188="","",_xlfn.XLOOKUP('Bulk Order Details'!M188,Collar[Display],Collar[Price]))</f>
        <v/>
      </c>
      <c r="K178" s="16" t="str">
        <f>IF('Bulk Order Details'!N188="","",_xlfn.XLOOKUP("Name",Name[Name],Name[Price]))</f>
        <v/>
      </c>
      <c r="L178" s="18" t="str">
        <f>IFERROR(IF('Bulk Order Details'!R188="","",IF(_xlfn.XLOOKUP('Bulk Order Details'!R188,Logos[Display],Logos[Use])="Flat",_xlfn.XLOOKUP('Bulk Order Details'!R188,Logos[Display],Logos[Flat]),ROUND(_xlfn.XLOOKUP('Bulk Order Details'!R188,Logos[Display],Logos[Pct])*$E178,2))),"")</f>
        <v/>
      </c>
      <c r="M178" s="22" t="str">
        <f>IFERROR(IF('Bulk Order Details'!S188="","",IF(_xlfn.XLOOKUP('Bulk Order Details'!S188,Chest[Display],Chest[Use])="Flat",_xlfn.XLOOKUP('Bulk Order Details'!S188,Chest[Display],Chest[Flat]),ROUND(_xlfn.XLOOKUP('Bulk Order Details'!S188,Chest[Display],Chest[Pct])*$E178,2))),"")</f>
        <v/>
      </c>
      <c r="N178" s="22" t="str">
        <f>IFERROR(IF('Bulk Order Details'!T188="","",IF(_xlfn.XLOOKUP('Bulk Order Details'!T188,Chest[Display],Chest[Use])="Flat",_xlfn.XLOOKUP('Bulk Order Details'!T188,Chest[Display],Chest[Flat]),ROUND(_xlfn.XLOOKUP('Bulk Order Details'!T188,Chest[Display],Chest[Pct])*$E178,2))),"")</f>
        <v/>
      </c>
      <c r="O178" s="22" t="str">
        <f>IFERROR(IF('Bulk Order Details'!U188="","",IF(_xlfn.XLOOKUP('Bulk Order Details'!U188,LeftSleeve[Display],LeftSleeve[Use])="Flat",_xlfn.XLOOKUP('Bulk Order Details'!U188,LeftSleeve[Display],LeftSleeve[Flat]),ROUND(_xlfn.XLOOKUP('Bulk Order Details'!U188,LeftSleeve[Display],LeftSleeve[Pct])*$E178,2))),"")</f>
        <v/>
      </c>
      <c r="P178" s="22" t="str">
        <f>IFERROR(IF('Bulk Order Details'!V188="","",IF(_xlfn.XLOOKUP('Bulk Order Details'!V188,RightSleeve[Display],RightSleeve[Use])="Flat",_xlfn.XLOOKUP('Bulk Order Details'!V188,RightSleeve[Display],RightSleeve[Flat]),ROUND(_xlfn.XLOOKUP('Bulk Order Details'!V188,RightSleeve[Display],RightSleeve[Pct])*$E178,2))),"")</f>
        <v/>
      </c>
      <c r="Q178" s="27" t="str">
        <f>IF('Bulk Order Details'!M188="","",SUM(F178:P178))</f>
        <v/>
      </c>
      <c r="R178" s="24" t="str">
        <f t="shared" si="11"/>
        <v/>
      </c>
      <c r="S178" s="23" t="str">
        <f>IFERROR(MIN(IF(Summary!$D$11="Yes",-J178,0),IF(H178&gt;0,-J178,0)),"")</f>
        <v/>
      </c>
      <c r="T178" s="16" t="str">
        <f>IFERROR(IF(Summary!$D$10="Yes",-K178,""),"")</f>
        <v/>
      </c>
      <c r="U178" s="18" t="str">
        <f>IFERROR(IF(Summary!$D$12="Yes",-L178,""),"")</f>
        <v/>
      </c>
      <c r="V178" s="25" t="str">
        <f>IF('Bulk Order Details'!M188="","",SUM(R178:U178))</f>
        <v/>
      </c>
      <c r="W178" s="36" t="str">
        <f>IF('Bulk Order Details'!M188="","",D178+Q178)</f>
        <v/>
      </c>
      <c r="X178" s="37" t="str">
        <f>IF('Bulk Order Details'!M188="","",D178+Q178+V178)</f>
        <v/>
      </c>
      <c r="Y178" s="168" t="str">
        <f t="shared" si="10"/>
        <v/>
      </c>
      <c r="Z178" s="173" t="str">
        <f>IF('Bulk Order Details'!M188="","",MAX(1,'Bulk Order Details'!G188))</f>
        <v/>
      </c>
      <c r="AA178" s="196" t="str">
        <f>IF(Pricing_Details[[#This Row],[Quantity]]="","",Pricing_Details[[#This Row],[Retail Price]]*Pricing_Details[[#This Row],[Quantity]])</f>
        <v/>
      </c>
      <c r="AB178" s="196" t="str">
        <f>IF(Pricing_Details[[#This Row],[Quantity]]="","",Pricing_Details[[#This Row],[Total Discount]]*Pricing_Details[[#This Row],[Quantity]])</f>
        <v/>
      </c>
      <c r="AC178" s="176" t="str">
        <f>IFERROR(ROUND(Pricing_Details[[#This Row],[Actual Price]]*Pricing_Details[[#This Row],[Quantity]],2),"")</f>
        <v/>
      </c>
      <c r="AE178" s="156" t="str">
        <f>IF('Bulk Order Details'!M188="","",VLOOKUP('Bulk Order Details'!K188,Collection[],3)&amp;VLOOKUP('Bulk Order Details'!M188,Collar[],4)&amp;VLOOKUP('Bulk Order Details'!L188,Sleeve[],4))</f>
        <v/>
      </c>
      <c r="AF178" s="156" t="str">
        <f>IF('Bulk Order Details'!M188="","",LOOKUP('Bulk Order Details'!H188,Cut[Display],Cut[Code])&amp;LOOKUP('Bulk Order Details'!I188,#REF!,#REF!)&amp;IF('Bulk Order Details'!J188="","",LOOKUP('Bulk Order Details'!J188,Length[Display],Length[Code])))</f>
        <v/>
      </c>
      <c r="AG178" s="156" t="str">
        <f>IF('Bulk Order Details'!M188="","",IF('Bulk Order Details'!F188="","",'Bulk Order Details'!F188))</f>
        <v/>
      </c>
      <c r="AH178" s="156" t="str">
        <f>IF('Bulk Order Details'!R188="","","-"&amp;LOOKUP('Bulk Order Details'!R188,#REF!,#REF!))</f>
        <v/>
      </c>
      <c r="AI178" s="156" t="str">
        <f>IF('Bulk Order Details'!S188="","","-"&amp;LOOKUP('Bulk Order Details'!S188,#REF!,#REF!))</f>
        <v/>
      </c>
      <c r="AJ178" s="156" t="str">
        <f>IF('Bulk Order Details'!T188="","","-"&amp;LOOKUP('Bulk Order Details'!T188,#REF!,#REF!))</f>
        <v/>
      </c>
      <c r="AK178" s="156" t="str">
        <f>IF('Bulk Order Details'!U188="","","-"&amp;LOOKUP('Bulk Order Details'!U188,#REF!,#REF!))</f>
        <v/>
      </c>
      <c r="AL178" s="156" t="str">
        <f>IF('Bulk Order Details'!V188="","","-"&amp;LOOKUP('Bulk Order Details'!V188,#REF!,#REF!))</f>
        <v/>
      </c>
      <c r="AM178" s="156" t="str">
        <f t="shared" si="12"/>
        <v/>
      </c>
      <c r="AN178" s="156" t="str">
        <f>IF('Bulk Order Details'!N188="","","Na-"&amp;'Bulk Order Details'!N188)</f>
        <v/>
      </c>
      <c r="AO178" s="156" t="str">
        <f>IF('Bulk Order Details'!Q188="","","Fo-"&amp;'Bulk Order Details'!Q188)</f>
        <v/>
      </c>
      <c r="AP178" s="156" t="str">
        <f t="shared" si="13"/>
        <v/>
      </c>
      <c r="AQ178" s="37" t="str">
        <f t="shared" si="14"/>
        <v/>
      </c>
    </row>
    <row r="179" spans="2:43" ht="15" customHeight="1" x14ac:dyDescent="0.2">
      <c r="B179" s="34">
        <f>'Bulk Order Details'!B189</f>
        <v>176</v>
      </c>
      <c r="C179" s="34" t="str">
        <f>IF('Bulk Order Details'!C189="","",'Bulk Order Details'!C189&amp;" "&amp;'Bulk Order Details'!D189)</f>
        <v/>
      </c>
      <c r="D179" s="31" t="str">
        <f>IF('Bulk Order Details'!M189="","",VLOOKUP(1,Price[],3))</f>
        <v/>
      </c>
      <c r="E179" s="29" t="str">
        <f>IF('Bulk Order Details'!M189="","",Summary!$D$9)</f>
        <v/>
      </c>
      <c r="F179" s="16" t="str">
        <f>IF('Bulk Order Details'!I189="","",_xlfn.XLOOKUP('Bulk Order Details'!I189,Size[Display],Size[Price]))</f>
        <v/>
      </c>
      <c r="G179" s="16" t="str">
        <f>IF('Bulk Order Details'!J189="","",_xlfn.XLOOKUP('Bulk Order Details'!J189,Length[Display],Length[Price]))</f>
        <v/>
      </c>
      <c r="H179" s="16" t="str">
        <f>IF('Bulk Order Details'!K189="","",_xlfn.XLOOKUP('Bulk Order Details'!K189,Collection[Display],Collection[Price]))</f>
        <v/>
      </c>
      <c r="I179" s="16" t="str">
        <f>IF('Bulk Order Details'!L189="","",_xlfn.XLOOKUP('Bulk Order Details'!L189,Sleeve[Display],Sleeve[Price]))</f>
        <v/>
      </c>
      <c r="J179" s="16" t="str">
        <f>IF('Bulk Order Details'!M189="","",_xlfn.XLOOKUP('Bulk Order Details'!M189,Collar[Display],Collar[Price]))</f>
        <v/>
      </c>
      <c r="K179" s="16" t="str">
        <f>IF('Bulk Order Details'!N189="","",_xlfn.XLOOKUP("Name",Name[Name],Name[Price]))</f>
        <v/>
      </c>
      <c r="L179" s="18" t="str">
        <f>IFERROR(IF('Bulk Order Details'!R189="","",IF(_xlfn.XLOOKUP('Bulk Order Details'!R189,Logos[Display],Logos[Use])="Flat",_xlfn.XLOOKUP('Bulk Order Details'!R189,Logos[Display],Logos[Flat]),ROUND(_xlfn.XLOOKUP('Bulk Order Details'!R189,Logos[Display],Logos[Pct])*$E179,2))),"")</f>
        <v/>
      </c>
      <c r="M179" s="22" t="str">
        <f>IFERROR(IF('Bulk Order Details'!S189="","",IF(_xlfn.XLOOKUP('Bulk Order Details'!S189,Chest[Display],Chest[Use])="Flat",_xlfn.XLOOKUP('Bulk Order Details'!S189,Chest[Display],Chest[Flat]),ROUND(_xlfn.XLOOKUP('Bulk Order Details'!S189,Chest[Display],Chest[Pct])*$E179,2))),"")</f>
        <v/>
      </c>
      <c r="N179" s="22" t="str">
        <f>IFERROR(IF('Bulk Order Details'!T189="","",IF(_xlfn.XLOOKUP('Bulk Order Details'!T189,Chest[Display],Chest[Use])="Flat",_xlfn.XLOOKUP('Bulk Order Details'!T189,Chest[Display],Chest[Flat]),ROUND(_xlfn.XLOOKUP('Bulk Order Details'!T189,Chest[Display],Chest[Pct])*$E179,2))),"")</f>
        <v/>
      </c>
      <c r="O179" s="22" t="str">
        <f>IFERROR(IF('Bulk Order Details'!U189="","",IF(_xlfn.XLOOKUP('Bulk Order Details'!U189,LeftSleeve[Display],LeftSleeve[Use])="Flat",_xlfn.XLOOKUP('Bulk Order Details'!U189,LeftSleeve[Display],LeftSleeve[Flat]),ROUND(_xlfn.XLOOKUP('Bulk Order Details'!U189,LeftSleeve[Display],LeftSleeve[Pct])*$E179,2))),"")</f>
        <v/>
      </c>
      <c r="P179" s="22" t="str">
        <f>IFERROR(IF('Bulk Order Details'!V189="","",IF(_xlfn.XLOOKUP('Bulk Order Details'!V189,RightSleeve[Display],RightSleeve[Use])="Flat",_xlfn.XLOOKUP('Bulk Order Details'!V189,RightSleeve[Display],RightSleeve[Flat]),ROUND(_xlfn.XLOOKUP('Bulk Order Details'!V189,RightSleeve[Display],RightSleeve[Pct])*$E179,2))),"")</f>
        <v/>
      </c>
      <c r="Q179" s="27" t="str">
        <f>IF('Bulk Order Details'!M189="","",SUM(F179:P179))</f>
        <v/>
      </c>
      <c r="R179" s="24" t="str">
        <f t="shared" si="11"/>
        <v/>
      </c>
      <c r="S179" s="23" t="str">
        <f>IFERROR(MIN(IF(Summary!$D$11="Yes",-J179,0),IF(H179&gt;0,-J179,0)),"")</f>
        <v/>
      </c>
      <c r="T179" s="16" t="str">
        <f>IFERROR(IF(Summary!$D$10="Yes",-K179,""),"")</f>
        <v/>
      </c>
      <c r="U179" s="18" t="str">
        <f>IFERROR(IF(Summary!$D$12="Yes",-L179,""),"")</f>
        <v/>
      </c>
      <c r="V179" s="25" t="str">
        <f>IF('Bulk Order Details'!M189="","",SUM(R179:U179))</f>
        <v/>
      </c>
      <c r="W179" s="36" t="str">
        <f>IF('Bulk Order Details'!M189="","",D179+Q179)</f>
        <v/>
      </c>
      <c r="X179" s="37" t="str">
        <f>IF('Bulk Order Details'!M189="","",D179+Q179+V179)</f>
        <v/>
      </c>
      <c r="Y179" s="168" t="str">
        <f t="shared" si="10"/>
        <v/>
      </c>
      <c r="Z179" s="173" t="str">
        <f>IF('Bulk Order Details'!M189="","",MAX(1,'Bulk Order Details'!G189))</f>
        <v/>
      </c>
      <c r="AA179" s="196" t="str">
        <f>IF(Pricing_Details[[#This Row],[Quantity]]="","",Pricing_Details[[#This Row],[Retail Price]]*Pricing_Details[[#This Row],[Quantity]])</f>
        <v/>
      </c>
      <c r="AB179" s="196" t="str">
        <f>IF(Pricing_Details[[#This Row],[Quantity]]="","",Pricing_Details[[#This Row],[Total Discount]]*Pricing_Details[[#This Row],[Quantity]])</f>
        <v/>
      </c>
      <c r="AC179" s="176" t="str">
        <f>IFERROR(ROUND(Pricing_Details[[#This Row],[Actual Price]]*Pricing_Details[[#This Row],[Quantity]],2),"")</f>
        <v/>
      </c>
      <c r="AE179" s="156" t="str">
        <f>IF('Bulk Order Details'!M189="","",VLOOKUP('Bulk Order Details'!K189,Collection[],3)&amp;VLOOKUP('Bulk Order Details'!M189,Collar[],4)&amp;VLOOKUP('Bulk Order Details'!L189,Sleeve[],4))</f>
        <v/>
      </c>
      <c r="AF179" s="156" t="str">
        <f>IF('Bulk Order Details'!M189="","",LOOKUP('Bulk Order Details'!H189,Cut[Display],Cut[Code])&amp;LOOKUP('Bulk Order Details'!I189,#REF!,#REF!)&amp;IF('Bulk Order Details'!J189="","",LOOKUP('Bulk Order Details'!J189,Length[Display],Length[Code])))</f>
        <v/>
      </c>
      <c r="AG179" s="156" t="str">
        <f>IF('Bulk Order Details'!M189="","",IF('Bulk Order Details'!F189="","",'Bulk Order Details'!F189))</f>
        <v/>
      </c>
      <c r="AH179" s="156" t="str">
        <f>IF('Bulk Order Details'!R189="","","-"&amp;LOOKUP('Bulk Order Details'!R189,#REF!,#REF!))</f>
        <v/>
      </c>
      <c r="AI179" s="156" t="str">
        <f>IF('Bulk Order Details'!S189="","","-"&amp;LOOKUP('Bulk Order Details'!S189,#REF!,#REF!))</f>
        <v/>
      </c>
      <c r="AJ179" s="156" t="str">
        <f>IF('Bulk Order Details'!T189="","","-"&amp;LOOKUP('Bulk Order Details'!T189,#REF!,#REF!))</f>
        <v/>
      </c>
      <c r="AK179" s="156" t="str">
        <f>IF('Bulk Order Details'!U189="","","-"&amp;LOOKUP('Bulk Order Details'!U189,#REF!,#REF!))</f>
        <v/>
      </c>
      <c r="AL179" s="156" t="str">
        <f>IF('Bulk Order Details'!V189="","","-"&amp;LOOKUP('Bulk Order Details'!V189,#REF!,#REF!))</f>
        <v/>
      </c>
      <c r="AM179" s="156" t="str">
        <f t="shared" si="12"/>
        <v/>
      </c>
      <c r="AN179" s="156" t="str">
        <f>IF('Bulk Order Details'!N189="","","Na-"&amp;'Bulk Order Details'!N189)</f>
        <v/>
      </c>
      <c r="AO179" s="156" t="str">
        <f>IF('Bulk Order Details'!Q189="","","Fo-"&amp;'Bulk Order Details'!Q189)</f>
        <v/>
      </c>
      <c r="AP179" s="156" t="str">
        <f t="shared" si="13"/>
        <v/>
      </c>
      <c r="AQ179" s="37" t="str">
        <f t="shared" si="14"/>
        <v/>
      </c>
    </row>
    <row r="180" spans="2:43" ht="15" customHeight="1" x14ac:dyDescent="0.2">
      <c r="B180" s="34">
        <f>'Bulk Order Details'!B190</f>
        <v>177</v>
      </c>
      <c r="C180" s="34" t="str">
        <f>IF('Bulk Order Details'!C190="","",'Bulk Order Details'!C190&amp;" "&amp;'Bulk Order Details'!D190)</f>
        <v/>
      </c>
      <c r="D180" s="31" t="str">
        <f>IF('Bulk Order Details'!M190="","",VLOOKUP(1,Price[],3))</f>
        <v/>
      </c>
      <c r="E180" s="29" t="str">
        <f>IF('Bulk Order Details'!M190="","",Summary!$D$9)</f>
        <v/>
      </c>
      <c r="F180" s="16" t="str">
        <f>IF('Bulk Order Details'!I190="","",_xlfn.XLOOKUP('Bulk Order Details'!I190,Size[Display],Size[Price]))</f>
        <v/>
      </c>
      <c r="G180" s="16" t="str">
        <f>IF('Bulk Order Details'!J190="","",_xlfn.XLOOKUP('Bulk Order Details'!J190,Length[Display],Length[Price]))</f>
        <v/>
      </c>
      <c r="H180" s="16" t="str">
        <f>IF('Bulk Order Details'!K190="","",_xlfn.XLOOKUP('Bulk Order Details'!K190,Collection[Display],Collection[Price]))</f>
        <v/>
      </c>
      <c r="I180" s="16" t="str">
        <f>IF('Bulk Order Details'!L190="","",_xlfn.XLOOKUP('Bulk Order Details'!L190,Sleeve[Display],Sleeve[Price]))</f>
        <v/>
      </c>
      <c r="J180" s="16" t="str">
        <f>IF('Bulk Order Details'!M190="","",_xlfn.XLOOKUP('Bulk Order Details'!M190,Collar[Display],Collar[Price]))</f>
        <v/>
      </c>
      <c r="K180" s="16" t="str">
        <f>IF('Bulk Order Details'!N190="","",_xlfn.XLOOKUP("Name",Name[Name],Name[Price]))</f>
        <v/>
      </c>
      <c r="L180" s="18" t="str">
        <f>IFERROR(IF('Bulk Order Details'!R190="","",IF(_xlfn.XLOOKUP('Bulk Order Details'!R190,Logos[Display],Logos[Use])="Flat",_xlfn.XLOOKUP('Bulk Order Details'!R190,Logos[Display],Logos[Flat]),ROUND(_xlfn.XLOOKUP('Bulk Order Details'!R190,Logos[Display],Logos[Pct])*$E180,2))),"")</f>
        <v/>
      </c>
      <c r="M180" s="22" t="str">
        <f>IFERROR(IF('Bulk Order Details'!S190="","",IF(_xlfn.XLOOKUP('Bulk Order Details'!S190,Chest[Display],Chest[Use])="Flat",_xlfn.XLOOKUP('Bulk Order Details'!S190,Chest[Display],Chest[Flat]),ROUND(_xlfn.XLOOKUP('Bulk Order Details'!S190,Chest[Display],Chest[Pct])*$E180,2))),"")</f>
        <v/>
      </c>
      <c r="N180" s="22" t="str">
        <f>IFERROR(IF('Bulk Order Details'!T190="","",IF(_xlfn.XLOOKUP('Bulk Order Details'!T190,Chest[Display],Chest[Use])="Flat",_xlfn.XLOOKUP('Bulk Order Details'!T190,Chest[Display],Chest[Flat]),ROUND(_xlfn.XLOOKUP('Bulk Order Details'!T190,Chest[Display],Chest[Pct])*$E180,2))),"")</f>
        <v/>
      </c>
      <c r="O180" s="22" t="str">
        <f>IFERROR(IF('Bulk Order Details'!U190="","",IF(_xlfn.XLOOKUP('Bulk Order Details'!U190,LeftSleeve[Display],LeftSleeve[Use])="Flat",_xlfn.XLOOKUP('Bulk Order Details'!U190,LeftSleeve[Display],LeftSleeve[Flat]),ROUND(_xlfn.XLOOKUP('Bulk Order Details'!U190,LeftSleeve[Display],LeftSleeve[Pct])*$E180,2))),"")</f>
        <v/>
      </c>
      <c r="P180" s="22" t="str">
        <f>IFERROR(IF('Bulk Order Details'!V190="","",IF(_xlfn.XLOOKUP('Bulk Order Details'!V190,RightSleeve[Display],RightSleeve[Use])="Flat",_xlfn.XLOOKUP('Bulk Order Details'!V190,RightSleeve[Display],RightSleeve[Flat]),ROUND(_xlfn.XLOOKUP('Bulk Order Details'!V190,RightSleeve[Display],RightSleeve[Pct])*$E180,2))),"")</f>
        <v/>
      </c>
      <c r="Q180" s="27" t="str">
        <f>IF('Bulk Order Details'!M190="","",SUM(F180:P180))</f>
        <v/>
      </c>
      <c r="R180" s="24" t="str">
        <f t="shared" si="11"/>
        <v/>
      </c>
      <c r="S180" s="23" t="str">
        <f>IFERROR(MIN(IF(Summary!$D$11="Yes",-J180,0),IF(H180&gt;0,-J180,0)),"")</f>
        <v/>
      </c>
      <c r="T180" s="16" t="str">
        <f>IFERROR(IF(Summary!$D$10="Yes",-K180,""),"")</f>
        <v/>
      </c>
      <c r="U180" s="18" t="str">
        <f>IFERROR(IF(Summary!$D$12="Yes",-L180,""),"")</f>
        <v/>
      </c>
      <c r="V180" s="25" t="str">
        <f>IF('Bulk Order Details'!M190="","",SUM(R180:U180))</f>
        <v/>
      </c>
      <c r="W180" s="36" t="str">
        <f>IF('Bulk Order Details'!M190="","",D180+Q180)</f>
        <v/>
      </c>
      <c r="X180" s="37" t="str">
        <f>IF('Bulk Order Details'!M190="","",D180+Q180+V180)</f>
        <v/>
      </c>
      <c r="Y180" s="168" t="str">
        <f t="shared" si="10"/>
        <v/>
      </c>
      <c r="Z180" s="173" t="str">
        <f>IF('Bulk Order Details'!M190="","",MAX(1,'Bulk Order Details'!G190))</f>
        <v/>
      </c>
      <c r="AA180" s="196" t="str">
        <f>IF(Pricing_Details[[#This Row],[Quantity]]="","",Pricing_Details[[#This Row],[Retail Price]]*Pricing_Details[[#This Row],[Quantity]])</f>
        <v/>
      </c>
      <c r="AB180" s="196" t="str">
        <f>IF(Pricing_Details[[#This Row],[Quantity]]="","",Pricing_Details[[#This Row],[Total Discount]]*Pricing_Details[[#This Row],[Quantity]])</f>
        <v/>
      </c>
      <c r="AC180" s="176" t="str">
        <f>IFERROR(ROUND(Pricing_Details[[#This Row],[Actual Price]]*Pricing_Details[[#This Row],[Quantity]],2),"")</f>
        <v/>
      </c>
      <c r="AE180" s="156" t="str">
        <f>IF('Bulk Order Details'!M190="","",VLOOKUP('Bulk Order Details'!K190,Collection[],3)&amp;VLOOKUP('Bulk Order Details'!M190,Collar[],4)&amp;VLOOKUP('Bulk Order Details'!L190,Sleeve[],4))</f>
        <v/>
      </c>
      <c r="AF180" s="156" t="str">
        <f>IF('Bulk Order Details'!M190="","",LOOKUP('Bulk Order Details'!H190,Cut[Display],Cut[Code])&amp;LOOKUP('Bulk Order Details'!I190,#REF!,#REF!)&amp;IF('Bulk Order Details'!J190="","",LOOKUP('Bulk Order Details'!J190,Length[Display],Length[Code])))</f>
        <v/>
      </c>
      <c r="AG180" s="156" t="str">
        <f>IF('Bulk Order Details'!M190="","",IF('Bulk Order Details'!F190="","",'Bulk Order Details'!F190))</f>
        <v/>
      </c>
      <c r="AH180" s="156" t="str">
        <f>IF('Bulk Order Details'!R190="","","-"&amp;LOOKUP('Bulk Order Details'!R190,#REF!,#REF!))</f>
        <v/>
      </c>
      <c r="AI180" s="156" t="str">
        <f>IF('Bulk Order Details'!S190="","","-"&amp;LOOKUP('Bulk Order Details'!S190,#REF!,#REF!))</f>
        <v/>
      </c>
      <c r="AJ180" s="156" t="str">
        <f>IF('Bulk Order Details'!T190="","","-"&amp;LOOKUP('Bulk Order Details'!T190,#REF!,#REF!))</f>
        <v/>
      </c>
      <c r="AK180" s="156" t="str">
        <f>IF('Bulk Order Details'!U190="","","-"&amp;LOOKUP('Bulk Order Details'!U190,#REF!,#REF!))</f>
        <v/>
      </c>
      <c r="AL180" s="156" t="str">
        <f>IF('Bulk Order Details'!V190="","","-"&amp;LOOKUP('Bulk Order Details'!V190,#REF!,#REF!))</f>
        <v/>
      </c>
      <c r="AM180" s="156" t="str">
        <f t="shared" si="12"/>
        <v/>
      </c>
      <c r="AN180" s="156" t="str">
        <f>IF('Bulk Order Details'!N190="","","Na-"&amp;'Bulk Order Details'!N190)</f>
        <v/>
      </c>
      <c r="AO180" s="156" t="str">
        <f>IF('Bulk Order Details'!Q190="","","Fo-"&amp;'Bulk Order Details'!Q190)</f>
        <v/>
      </c>
      <c r="AP180" s="156" t="str">
        <f t="shared" si="13"/>
        <v/>
      </c>
      <c r="AQ180" s="37" t="str">
        <f t="shared" si="14"/>
        <v/>
      </c>
    </row>
    <row r="181" spans="2:43" ht="15" customHeight="1" x14ac:dyDescent="0.2">
      <c r="B181" s="34">
        <f>'Bulk Order Details'!B191</f>
        <v>178</v>
      </c>
      <c r="C181" s="34" t="str">
        <f>IF('Bulk Order Details'!C191="","",'Bulk Order Details'!C191&amp;" "&amp;'Bulk Order Details'!D191)</f>
        <v/>
      </c>
      <c r="D181" s="31" t="str">
        <f>IF('Bulk Order Details'!M191="","",VLOOKUP(1,Price[],3))</f>
        <v/>
      </c>
      <c r="E181" s="29" t="str">
        <f>IF('Bulk Order Details'!M191="","",Summary!$D$9)</f>
        <v/>
      </c>
      <c r="F181" s="16" t="str">
        <f>IF('Bulk Order Details'!I191="","",_xlfn.XLOOKUP('Bulk Order Details'!I191,Size[Display],Size[Price]))</f>
        <v/>
      </c>
      <c r="G181" s="16" t="str">
        <f>IF('Bulk Order Details'!J191="","",_xlfn.XLOOKUP('Bulk Order Details'!J191,Length[Display],Length[Price]))</f>
        <v/>
      </c>
      <c r="H181" s="16" t="str">
        <f>IF('Bulk Order Details'!K191="","",_xlfn.XLOOKUP('Bulk Order Details'!K191,Collection[Display],Collection[Price]))</f>
        <v/>
      </c>
      <c r="I181" s="16" t="str">
        <f>IF('Bulk Order Details'!L191="","",_xlfn.XLOOKUP('Bulk Order Details'!L191,Sleeve[Display],Sleeve[Price]))</f>
        <v/>
      </c>
      <c r="J181" s="16" t="str">
        <f>IF('Bulk Order Details'!M191="","",_xlfn.XLOOKUP('Bulk Order Details'!M191,Collar[Display],Collar[Price]))</f>
        <v/>
      </c>
      <c r="K181" s="16" t="str">
        <f>IF('Bulk Order Details'!N191="","",_xlfn.XLOOKUP("Name",Name[Name],Name[Price]))</f>
        <v/>
      </c>
      <c r="L181" s="18" t="str">
        <f>IFERROR(IF('Bulk Order Details'!R191="","",IF(_xlfn.XLOOKUP('Bulk Order Details'!R191,Logos[Display],Logos[Use])="Flat",_xlfn.XLOOKUP('Bulk Order Details'!R191,Logos[Display],Logos[Flat]),ROUND(_xlfn.XLOOKUP('Bulk Order Details'!R191,Logos[Display],Logos[Pct])*$E181,2))),"")</f>
        <v/>
      </c>
      <c r="M181" s="22" t="str">
        <f>IFERROR(IF('Bulk Order Details'!S191="","",IF(_xlfn.XLOOKUP('Bulk Order Details'!S191,Chest[Display],Chest[Use])="Flat",_xlfn.XLOOKUP('Bulk Order Details'!S191,Chest[Display],Chest[Flat]),ROUND(_xlfn.XLOOKUP('Bulk Order Details'!S191,Chest[Display],Chest[Pct])*$E181,2))),"")</f>
        <v/>
      </c>
      <c r="N181" s="22" t="str">
        <f>IFERROR(IF('Bulk Order Details'!T191="","",IF(_xlfn.XLOOKUP('Bulk Order Details'!T191,Chest[Display],Chest[Use])="Flat",_xlfn.XLOOKUP('Bulk Order Details'!T191,Chest[Display],Chest[Flat]),ROUND(_xlfn.XLOOKUP('Bulk Order Details'!T191,Chest[Display],Chest[Pct])*$E181,2))),"")</f>
        <v/>
      </c>
      <c r="O181" s="22" t="str">
        <f>IFERROR(IF('Bulk Order Details'!U191="","",IF(_xlfn.XLOOKUP('Bulk Order Details'!U191,LeftSleeve[Display],LeftSleeve[Use])="Flat",_xlfn.XLOOKUP('Bulk Order Details'!U191,LeftSleeve[Display],LeftSleeve[Flat]),ROUND(_xlfn.XLOOKUP('Bulk Order Details'!U191,LeftSleeve[Display],LeftSleeve[Pct])*$E181,2))),"")</f>
        <v/>
      </c>
      <c r="P181" s="22" t="str">
        <f>IFERROR(IF('Bulk Order Details'!V191="","",IF(_xlfn.XLOOKUP('Bulk Order Details'!V191,RightSleeve[Display],RightSleeve[Use])="Flat",_xlfn.XLOOKUP('Bulk Order Details'!V191,RightSleeve[Display],RightSleeve[Flat]),ROUND(_xlfn.XLOOKUP('Bulk Order Details'!V191,RightSleeve[Display],RightSleeve[Pct])*$E181,2))),"")</f>
        <v/>
      </c>
      <c r="Q181" s="27" t="str">
        <f>IF('Bulk Order Details'!M191="","",SUM(F181:P181))</f>
        <v/>
      </c>
      <c r="R181" s="24" t="str">
        <f t="shared" si="11"/>
        <v/>
      </c>
      <c r="S181" s="23" t="str">
        <f>IFERROR(MIN(IF(Summary!$D$11="Yes",-J181,0),IF(H181&gt;0,-J181,0)),"")</f>
        <v/>
      </c>
      <c r="T181" s="16" t="str">
        <f>IFERROR(IF(Summary!$D$10="Yes",-K181,""),"")</f>
        <v/>
      </c>
      <c r="U181" s="18" t="str">
        <f>IFERROR(IF(Summary!$D$12="Yes",-L181,""),"")</f>
        <v/>
      </c>
      <c r="V181" s="25" t="str">
        <f>IF('Bulk Order Details'!M191="","",SUM(R181:U181))</f>
        <v/>
      </c>
      <c r="W181" s="36" t="str">
        <f>IF('Bulk Order Details'!M191="","",D181+Q181)</f>
        <v/>
      </c>
      <c r="X181" s="37" t="str">
        <f>IF('Bulk Order Details'!M191="","",D181+Q181+V181)</f>
        <v/>
      </c>
      <c r="Y181" s="168" t="str">
        <f t="shared" si="10"/>
        <v/>
      </c>
      <c r="Z181" s="173" t="str">
        <f>IF('Bulk Order Details'!M191="","",MAX(1,'Bulk Order Details'!G191))</f>
        <v/>
      </c>
      <c r="AA181" s="196" t="str">
        <f>IF(Pricing_Details[[#This Row],[Quantity]]="","",Pricing_Details[[#This Row],[Retail Price]]*Pricing_Details[[#This Row],[Quantity]])</f>
        <v/>
      </c>
      <c r="AB181" s="196" t="str">
        <f>IF(Pricing_Details[[#This Row],[Quantity]]="","",Pricing_Details[[#This Row],[Total Discount]]*Pricing_Details[[#This Row],[Quantity]])</f>
        <v/>
      </c>
      <c r="AC181" s="176" t="str">
        <f>IFERROR(ROUND(Pricing_Details[[#This Row],[Actual Price]]*Pricing_Details[[#This Row],[Quantity]],2),"")</f>
        <v/>
      </c>
      <c r="AE181" s="156" t="str">
        <f>IF('Bulk Order Details'!M191="","",VLOOKUP('Bulk Order Details'!K191,Collection[],3)&amp;VLOOKUP('Bulk Order Details'!M191,Collar[],4)&amp;VLOOKUP('Bulk Order Details'!L191,Sleeve[],4))</f>
        <v/>
      </c>
      <c r="AF181" s="156" t="str">
        <f>IF('Bulk Order Details'!M191="","",LOOKUP('Bulk Order Details'!H191,Cut[Display],Cut[Code])&amp;LOOKUP('Bulk Order Details'!I191,#REF!,#REF!)&amp;IF('Bulk Order Details'!J191="","",LOOKUP('Bulk Order Details'!J191,Length[Display],Length[Code])))</f>
        <v/>
      </c>
      <c r="AG181" s="156" t="str">
        <f>IF('Bulk Order Details'!M191="","",IF('Bulk Order Details'!F191="","",'Bulk Order Details'!F191))</f>
        <v/>
      </c>
      <c r="AH181" s="156" t="str">
        <f>IF('Bulk Order Details'!R191="","","-"&amp;LOOKUP('Bulk Order Details'!R191,#REF!,#REF!))</f>
        <v/>
      </c>
      <c r="AI181" s="156" t="str">
        <f>IF('Bulk Order Details'!S191="","","-"&amp;LOOKUP('Bulk Order Details'!S191,#REF!,#REF!))</f>
        <v/>
      </c>
      <c r="AJ181" s="156" t="str">
        <f>IF('Bulk Order Details'!T191="","","-"&amp;LOOKUP('Bulk Order Details'!T191,#REF!,#REF!))</f>
        <v/>
      </c>
      <c r="AK181" s="156" t="str">
        <f>IF('Bulk Order Details'!U191="","","-"&amp;LOOKUP('Bulk Order Details'!U191,#REF!,#REF!))</f>
        <v/>
      </c>
      <c r="AL181" s="156" t="str">
        <f>IF('Bulk Order Details'!V191="","","-"&amp;LOOKUP('Bulk Order Details'!V191,#REF!,#REF!))</f>
        <v/>
      </c>
      <c r="AM181" s="156" t="str">
        <f t="shared" si="12"/>
        <v/>
      </c>
      <c r="AN181" s="156" t="str">
        <f>IF('Bulk Order Details'!N191="","","Na-"&amp;'Bulk Order Details'!N191)</f>
        <v/>
      </c>
      <c r="AO181" s="156" t="str">
        <f>IF('Bulk Order Details'!Q191="","","Fo-"&amp;'Bulk Order Details'!Q191)</f>
        <v/>
      </c>
      <c r="AP181" s="156" t="str">
        <f t="shared" si="13"/>
        <v/>
      </c>
      <c r="AQ181" s="37" t="str">
        <f t="shared" si="14"/>
        <v/>
      </c>
    </row>
    <row r="182" spans="2:43" ht="15" customHeight="1" x14ac:dyDescent="0.2">
      <c r="B182" s="34">
        <f>'Bulk Order Details'!B192</f>
        <v>179</v>
      </c>
      <c r="C182" s="34" t="str">
        <f>IF('Bulk Order Details'!C192="","",'Bulk Order Details'!C192&amp;" "&amp;'Bulk Order Details'!D192)</f>
        <v/>
      </c>
      <c r="D182" s="31" t="str">
        <f>IF('Bulk Order Details'!M192="","",VLOOKUP(1,Price[],3))</f>
        <v/>
      </c>
      <c r="E182" s="29" t="str">
        <f>IF('Bulk Order Details'!M192="","",Summary!$D$9)</f>
        <v/>
      </c>
      <c r="F182" s="16" t="str">
        <f>IF('Bulk Order Details'!I192="","",_xlfn.XLOOKUP('Bulk Order Details'!I192,Size[Display],Size[Price]))</f>
        <v/>
      </c>
      <c r="G182" s="16" t="str">
        <f>IF('Bulk Order Details'!J192="","",_xlfn.XLOOKUP('Bulk Order Details'!J192,Length[Display],Length[Price]))</f>
        <v/>
      </c>
      <c r="H182" s="16" t="str">
        <f>IF('Bulk Order Details'!K192="","",_xlfn.XLOOKUP('Bulk Order Details'!K192,Collection[Display],Collection[Price]))</f>
        <v/>
      </c>
      <c r="I182" s="16" t="str">
        <f>IF('Bulk Order Details'!L192="","",_xlfn.XLOOKUP('Bulk Order Details'!L192,Sleeve[Display],Sleeve[Price]))</f>
        <v/>
      </c>
      <c r="J182" s="16" t="str">
        <f>IF('Bulk Order Details'!M192="","",_xlfn.XLOOKUP('Bulk Order Details'!M192,Collar[Display],Collar[Price]))</f>
        <v/>
      </c>
      <c r="K182" s="16" t="str">
        <f>IF('Bulk Order Details'!N192="","",_xlfn.XLOOKUP("Name",Name[Name],Name[Price]))</f>
        <v/>
      </c>
      <c r="L182" s="18" t="str">
        <f>IFERROR(IF('Bulk Order Details'!R192="","",IF(_xlfn.XLOOKUP('Bulk Order Details'!R192,Logos[Display],Logos[Use])="Flat",_xlfn.XLOOKUP('Bulk Order Details'!R192,Logos[Display],Logos[Flat]),ROUND(_xlfn.XLOOKUP('Bulk Order Details'!R192,Logos[Display],Logos[Pct])*$E182,2))),"")</f>
        <v/>
      </c>
      <c r="M182" s="22" t="str">
        <f>IFERROR(IF('Bulk Order Details'!S192="","",IF(_xlfn.XLOOKUP('Bulk Order Details'!S192,Chest[Display],Chest[Use])="Flat",_xlfn.XLOOKUP('Bulk Order Details'!S192,Chest[Display],Chest[Flat]),ROUND(_xlfn.XLOOKUP('Bulk Order Details'!S192,Chest[Display],Chest[Pct])*$E182,2))),"")</f>
        <v/>
      </c>
      <c r="N182" s="22" t="str">
        <f>IFERROR(IF('Bulk Order Details'!T192="","",IF(_xlfn.XLOOKUP('Bulk Order Details'!T192,Chest[Display],Chest[Use])="Flat",_xlfn.XLOOKUP('Bulk Order Details'!T192,Chest[Display],Chest[Flat]),ROUND(_xlfn.XLOOKUP('Bulk Order Details'!T192,Chest[Display],Chest[Pct])*$E182,2))),"")</f>
        <v/>
      </c>
      <c r="O182" s="22" t="str">
        <f>IFERROR(IF('Bulk Order Details'!U192="","",IF(_xlfn.XLOOKUP('Bulk Order Details'!U192,LeftSleeve[Display],LeftSleeve[Use])="Flat",_xlfn.XLOOKUP('Bulk Order Details'!U192,LeftSleeve[Display],LeftSleeve[Flat]),ROUND(_xlfn.XLOOKUP('Bulk Order Details'!U192,LeftSleeve[Display],LeftSleeve[Pct])*$E182,2))),"")</f>
        <v/>
      </c>
      <c r="P182" s="22" t="str">
        <f>IFERROR(IF('Bulk Order Details'!V192="","",IF(_xlfn.XLOOKUP('Bulk Order Details'!V192,RightSleeve[Display],RightSleeve[Use])="Flat",_xlfn.XLOOKUP('Bulk Order Details'!V192,RightSleeve[Display],RightSleeve[Flat]),ROUND(_xlfn.XLOOKUP('Bulk Order Details'!V192,RightSleeve[Display],RightSleeve[Pct])*$E182,2))),"")</f>
        <v/>
      </c>
      <c r="Q182" s="27" t="str">
        <f>IF('Bulk Order Details'!M192="","",SUM(F182:P182))</f>
        <v/>
      </c>
      <c r="R182" s="24" t="str">
        <f t="shared" si="11"/>
        <v/>
      </c>
      <c r="S182" s="23" t="str">
        <f>IFERROR(MIN(IF(Summary!$D$11="Yes",-J182,0),IF(H182&gt;0,-J182,0)),"")</f>
        <v/>
      </c>
      <c r="T182" s="16" t="str">
        <f>IFERROR(IF(Summary!$D$10="Yes",-K182,""),"")</f>
        <v/>
      </c>
      <c r="U182" s="18" t="str">
        <f>IFERROR(IF(Summary!$D$12="Yes",-L182,""),"")</f>
        <v/>
      </c>
      <c r="V182" s="25" t="str">
        <f>IF('Bulk Order Details'!M192="","",SUM(R182:U182))</f>
        <v/>
      </c>
      <c r="W182" s="36" t="str">
        <f>IF('Bulk Order Details'!M192="","",D182+Q182)</f>
        <v/>
      </c>
      <c r="X182" s="37" t="str">
        <f>IF('Bulk Order Details'!M192="","",D182+Q182+V182)</f>
        <v/>
      </c>
      <c r="Y182" s="168" t="str">
        <f t="shared" si="10"/>
        <v/>
      </c>
      <c r="Z182" s="173" t="str">
        <f>IF('Bulk Order Details'!M192="","",MAX(1,'Bulk Order Details'!G192))</f>
        <v/>
      </c>
      <c r="AA182" s="196" t="str">
        <f>IF(Pricing_Details[[#This Row],[Quantity]]="","",Pricing_Details[[#This Row],[Retail Price]]*Pricing_Details[[#This Row],[Quantity]])</f>
        <v/>
      </c>
      <c r="AB182" s="196" t="str">
        <f>IF(Pricing_Details[[#This Row],[Quantity]]="","",Pricing_Details[[#This Row],[Total Discount]]*Pricing_Details[[#This Row],[Quantity]])</f>
        <v/>
      </c>
      <c r="AC182" s="176" t="str">
        <f>IFERROR(ROUND(Pricing_Details[[#This Row],[Actual Price]]*Pricing_Details[[#This Row],[Quantity]],2),"")</f>
        <v/>
      </c>
      <c r="AE182" s="156" t="str">
        <f>IF('Bulk Order Details'!M192="","",VLOOKUP('Bulk Order Details'!K192,Collection[],3)&amp;VLOOKUP('Bulk Order Details'!M192,Collar[],4)&amp;VLOOKUP('Bulk Order Details'!L192,Sleeve[],4))</f>
        <v/>
      </c>
      <c r="AF182" s="156" t="str">
        <f>IF('Bulk Order Details'!M192="","",LOOKUP('Bulk Order Details'!H192,Cut[Display],Cut[Code])&amp;LOOKUP('Bulk Order Details'!I192,#REF!,#REF!)&amp;IF('Bulk Order Details'!J192="","",LOOKUP('Bulk Order Details'!J192,Length[Display],Length[Code])))</f>
        <v/>
      </c>
      <c r="AG182" s="156" t="str">
        <f>IF('Bulk Order Details'!M192="","",IF('Bulk Order Details'!F192="","",'Bulk Order Details'!F192))</f>
        <v/>
      </c>
      <c r="AH182" s="156" t="str">
        <f>IF('Bulk Order Details'!R192="","","-"&amp;LOOKUP('Bulk Order Details'!R192,#REF!,#REF!))</f>
        <v/>
      </c>
      <c r="AI182" s="156" t="str">
        <f>IF('Bulk Order Details'!S192="","","-"&amp;LOOKUP('Bulk Order Details'!S192,#REF!,#REF!))</f>
        <v/>
      </c>
      <c r="AJ182" s="156" t="str">
        <f>IF('Bulk Order Details'!T192="","","-"&amp;LOOKUP('Bulk Order Details'!T192,#REF!,#REF!))</f>
        <v/>
      </c>
      <c r="AK182" s="156" t="str">
        <f>IF('Bulk Order Details'!U192="","","-"&amp;LOOKUP('Bulk Order Details'!U192,#REF!,#REF!))</f>
        <v/>
      </c>
      <c r="AL182" s="156" t="str">
        <f>IF('Bulk Order Details'!V192="","","-"&amp;LOOKUP('Bulk Order Details'!V192,#REF!,#REF!))</f>
        <v/>
      </c>
      <c r="AM182" s="156" t="str">
        <f t="shared" si="12"/>
        <v/>
      </c>
      <c r="AN182" s="156" t="str">
        <f>IF('Bulk Order Details'!N192="","","Na-"&amp;'Bulk Order Details'!N192)</f>
        <v/>
      </c>
      <c r="AO182" s="156" t="str">
        <f>IF('Bulk Order Details'!Q192="","","Fo-"&amp;'Bulk Order Details'!Q192)</f>
        <v/>
      </c>
      <c r="AP182" s="156" t="str">
        <f t="shared" si="13"/>
        <v/>
      </c>
      <c r="AQ182" s="37" t="str">
        <f t="shared" si="14"/>
        <v/>
      </c>
    </row>
    <row r="183" spans="2:43" ht="15" customHeight="1" x14ac:dyDescent="0.2">
      <c r="B183" s="34">
        <f>'Bulk Order Details'!B193</f>
        <v>180</v>
      </c>
      <c r="C183" s="34" t="str">
        <f>IF('Bulk Order Details'!C193="","",'Bulk Order Details'!C193&amp;" "&amp;'Bulk Order Details'!D193)</f>
        <v/>
      </c>
      <c r="D183" s="31" t="str">
        <f>IF('Bulk Order Details'!M193="","",VLOOKUP(1,Price[],3))</f>
        <v/>
      </c>
      <c r="E183" s="29" t="str">
        <f>IF('Bulk Order Details'!M193="","",Summary!$D$9)</f>
        <v/>
      </c>
      <c r="F183" s="16" t="str">
        <f>IF('Bulk Order Details'!I193="","",_xlfn.XLOOKUP('Bulk Order Details'!I193,Size[Display],Size[Price]))</f>
        <v/>
      </c>
      <c r="G183" s="16" t="str">
        <f>IF('Bulk Order Details'!J193="","",_xlfn.XLOOKUP('Bulk Order Details'!J193,Length[Display],Length[Price]))</f>
        <v/>
      </c>
      <c r="H183" s="16" t="str">
        <f>IF('Bulk Order Details'!K193="","",_xlfn.XLOOKUP('Bulk Order Details'!K193,Collection[Display],Collection[Price]))</f>
        <v/>
      </c>
      <c r="I183" s="16" t="str">
        <f>IF('Bulk Order Details'!L193="","",_xlfn.XLOOKUP('Bulk Order Details'!L193,Sleeve[Display],Sleeve[Price]))</f>
        <v/>
      </c>
      <c r="J183" s="16" t="str">
        <f>IF('Bulk Order Details'!M193="","",_xlfn.XLOOKUP('Bulk Order Details'!M193,Collar[Display],Collar[Price]))</f>
        <v/>
      </c>
      <c r="K183" s="16" t="str">
        <f>IF('Bulk Order Details'!N193="","",_xlfn.XLOOKUP("Name",Name[Name],Name[Price]))</f>
        <v/>
      </c>
      <c r="L183" s="18" t="str">
        <f>IFERROR(IF('Bulk Order Details'!R193="","",IF(_xlfn.XLOOKUP('Bulk Order Details'!R193,Logos[Display],Logos[Use])="Flat",_xlfn.XLOOKUP('Bulk Order Details'!R193,Logos[Display],Logos[Flat]),ROUND(_xlfn.XLOOKUP('Bulk Order Details'!R193,Logos[Display],Logos[Pct])*$E183,2))),"")</f>
        <v/>
      </c>
      <c r="M183" s="22" t="str">
        <f>IFERROR(IF('Bulk Order Details'!S193="","",IF(_xlfn.XLOOKUP('Bulk Order Details'!S193,Chest[Display],Chest[Use])="Flat",_xlfn.XLOOKUP('Bulk Order Details'!S193,Chest[Display],Chest[Flat]),ROUND(_xlfn.XLOOKUP('Bulk Order Details'!S193,Chest[Display],Chest[Pct])*$E183,2))),"")</f>
        <v/>
      </c>
      <c r="N183" s="22" t="str">
        <f>IFERROR(IF('Bulk Order Details'!T193="","",IF(_xlfn.XLOOKUP('Bulk Order Details'!T193,Chest[Display],Chest[Use])="Flat",_xlfn.XLOOKUP('Bulk Order Details'!T193,Chest[Display],Chest[Flat]),ROUND(_xlfn.XLOOKUP('Bulk Order Details'!T193,Chest[Display],Chest[Pct])*$E183,2))),"")</f>
        <v/>
      </c>
      <c r="O183" s="22" t="str">
        <f>IFERROR(IF('Bulk Order Details'!U193="","",IF(_xlfn.XLOOKUP('Bulk Order Details'!U193,LeftSleeve[Display],LeftSleeve[Use])="Flat",_xlfn.XLOOKUP('Bulk Order Details'!U193,LeftSleeve[Display],LeftSleeve[Flat]),ROUND(_xlfn.XLOOKUP('Bulk Order Details'!U193,LeftSleeve[Display],LeftSleeve[Pct])*$E183,2))),"")</f>
        <v/>
      </c>
      <c r="P183" s="22" t="str">
        <f>IFERROR(IF('Bulk Order Details'!V193="","",IF(_xlfn.XLOOKUP('Bulk Order Details'!V193,RightSleeve[Display],RightSleeve[Use])="Flat",_xlfn.XLOOKUP('Bulk Order Details'!V193,RightSleeve[Display],RightSleeve[Flat]),ROUND(_xlfn.XLOOKUP('Bulk Order Details'!V193,RightSleeve[Display],RightSleeve[Pct])*$E183,2))),"")</f>
        <v/>
      </c>
      <c r="Q183" s="27" t="str">
        <f>IF('Bulk Order Details'!M193="","",SUM(F183:P183))</f>
        <v/>
      </c>
      <c r="R183" s="24" t="str">
        <f t="shared" si="11"/>
        <v/>
      </c>
      <c r="S183" s="23" t="str">
        <f>IFERROR(MIN(IF(Summary!$D$11="Yes",-J183,0),IF(H183&gt;0,-J183,0)),"")</f>
        <v/>
      </c>
      <c r="T183" s="16" t="str">
        <f>IFERROR(IF(Summary!$D$10="Yes",-K183,""),"")</f>
        <v/>
      </c>
      <c r="U183" s="18" t="str">
        <f>IFERROR(IF(Summary!$D$12="Yes",-L183,""),"")</f>
        <v/>
      </c>
      <c r="V183" s="25" t="str">
        <f>IF('Bulk Order Details'!M193="","",SUM(R183:U183))</f>
        <v/>
      </c>
      <c r="W183" s="36" t="str">
        <f>IF('Bulk Order Details'!M193="","",D183+Q183)</f>
        <v/>
      </c>
      <c r="X183" s="37" t="str">
        <f>IF('Bulk Order Details'!M193="","",D183+Q183+V183)</f>
        <v/>
      </c>
      <c r="Y183" s="168" t="str">
        <f t="shared" si="10"/>
        <v/>
      </c>
      <c r="Z183" s="173" t="str">
        <f>IF('Bulk Order Details'!M193="","",MAX(1,'Bulk Order Details'!G193))</f>
        <v/>
      </c>
      <c r="AA183" s="196" t="str">
        <f>IF(Pricing_Details[[#This Row],[Quantity]]="","",Pricing_Details[[#This Row],[Retail Price]]*Pricing_Details[[#This Row],[Quantity]])</f>
        <v/>
      </c>
      <c r="AB183" s="196" t="str">
        <f>IF(Pricing_Details[[#This Row],[Quantity]]="","",Pricing_Details[[#This Row],[Total Discount]]*Pricing_Details[[#This Row],[Quantity]])</f>
        <v/>
      </c>
      <c r="AC183" s="176" t="str">
        <f>IFERROR(ROUND(Pricing_Details[[#This Row],[Actual Price]]*Pricing_Details[[#This Row],[Quantity]],2),"")</f>
        <v/>
      </c>
      <c r="AE183" s="156" t="str">
        <f>IF('Bulk Order Details'!M193="","",VLOOKUP('Bulk Order Details'!K193,Collection[],3)&amp;VLOOKUP('Bulk Order Details'!M193,Collar[],4)&amp;VLOOKUP('Bulk Order Details'!L193,Sleeve[],4))</f>
        <v/>
      </c>
      <c r="AF183" s="156" t="str">
        <f>IF('Bulk Order Details'!M193="","",LOOKUP('Bulk Order Details'!H193,Cut[Display],Cut[Code])&amp;LOOKUP('Bulk Order Details'!I193,#REF!,#REF!)&amp;IF('Bulk Order Details'!J193="","",LOOKUP('Bulk Order Details'!J193,Length[Display],Length[Code])))</f>
        <v/>
      </c>
      <c r="AG183" s="156" t="str">
        <f>IF('Bulk Order Details'!M193="","",IF('Bulk Order Details'!F193="","",'Bulk Order Details'!F193))</f>
        <v/>
      </c>
      <c r="AH183" s="156" t="str">
        <f>IF('Bulk Order Details'!R193="","","-"&amp;LOOKUP('Bulk Order Details'!R193,#REF!,#REF!))</f>
        <v/>
      </c>
      <c r="AI183" s="156" t="str">
        <f>IF('Bulk Order Details'!S193="","","-"&amp;LOOKUP('Bulk Order Details'!S193,#REF!,#REF!))</f>
        <v/>
      </c>
      <c r="AJ183" s="156" t="str">
        <f>IF('Bulk Order Details'!T193="","","-"&amp;LOOKUP('Bulk Order Details'!T193,#REF!,#REF!))</f>
        <v/>
      </c>
      <c r="AK183" s="156" t="str">
        <f>IF('Bulk Order Details'!U193="","","-"&amp;LOOKUP('Bulk Order Details'!U193,#REF!,#REF!))</f>
        <v/>
      </c>
      <c r="AL183" s="156" t="str">
        <f>IF('Bulk Order Details'!V193="","","-"&amp;LOOKUP('Bulk Order Details'!V193,#REF!,#REF!))</f>
        <v/>
      </c>
      <c r="AM183" s="156" t="str">
        <f t="shared" si="12"/>
        <v/>
      </c>
      <c r="AN183" s="156" t="str">
        <f>IF('Bulk Order Details'!N193="","","Na-"&amp;'Bulk Order Details'!N193)</f>
        <v/>
      </c>
      <c r="AO183" s="156" t="str">
        <f>IF('Bulk Order Details'!Q193="","","Fo-"&amp;'Bulk Order Details'!Q193)</f>
        <v/>
      </c>
      <c r="AP183" s="156" t="str">
        <f t="shared" si="13"/>
        <v/>
      </c>
      <c r="AQ183" s="37" t="str">
        <f t="shared" si="14"/>
        <v/>
      </c>
    </row>
    <row r="184" spans="2:43" ht="15" customHeight="1" x14ac:dyDescent="0.2">
      <c r="B184" s="34">
        <f>'Bulk Order Details'!B194</f>
        <v>181</v>
      </c>
      <c r="C184" s="34" t="str">
        <f>IF('Bulk Order Details'!C194="","",'Bulk Order Details'!C194&amp;" "&amp;'Bulk Order Details'!D194)</f>
        <v/>
      </c>
      <c r="D184" s="31" t="str">
        <f>IF('Bulk Order Details'!M194="","",VLOOKUP(1,Price[],3))</f>
        <v/>
      </c>
      <c r="E184" s="29" t="str">
        <f>IF('Bulk Order Details'!M194="","",Summary!$D$9)</f>
        <v/>
      </c>
      <c r="F184" s="16" t="str">
        <f>IF('Bulk Order Details'!I194="","",_xlfn.XLOOKUP('Bulk Order Details'!I194,Size[Display],Size[Price]))</f>
        <v/>
      </c>
      <c r="G184" s="16" t="str">
        <f>IF('Bulk Order Details'!J194="","",_xlfn.XLOOKUP('Bulk Order Details'!J194,Length[Display],Length[Price]))</f>
        <v/>
      </c>
      <c r="H184" s="16" t="str">
        <f>IF('Bulk Order Details'!K194="","",_xlfn.XLOOKUP('Bulk Order Details'!K194,Collection[Display],Collection[Price]))</f>
        <v/>
      </c>
      <c r="I184" s="16" t="str">
        <f>IF('Bulk Order Details'!L194="","",_xlfn.XLOOKUP('Bulk Order Details'!L194,Sleeve[Display],Sleeve[Price]))</f>
        <v/>
      </c>
      <c r="J184" s="16" t="str">
        <f>IF('Bulk Order Details'!M194="","",_xlfn.XLOOKUP('Bulk Order Details'!M194,Collar[Display],Collar[Price]))</f>
        <v/>
      </c>
      <c r="K184" s="16" t="str">
        <f>IF('Bulk Order Details'!N194="","",_xlfn.XLOOKUP("Name",Name[Name],Name[Price]))</f>
        <v/>
      </c>
      <c r="L184" s="18" t="str">
        <f>IFERROR(IF('Bulk Order Details'!R194="","",IF(_xlfn.XLOOKUP('Bulk Order Details'!R194,Logos[Display],Logos[Use])="Flat",_xlfn.XLOOKUP('Bulk Order Details'!R194,Logos[Display],Logos[Flat]),ROUND(_xlfn.XLOOKUP('Bulk Order Details'!R194,Logos[Display],Logos[Pct])*$E184,2))),"")</f>
        <v/>
      </c>
      <c r="M184" s="22" t="str">
        <f>IFERROR(IF('Bulk Order Details'!S194="","",IF(_xlfn.XLOOKUP('Bulk Order Details'!S194,Chest[Display],Chest[Use])="Flat",_xlfn.XLOOKUP('Bulk Order Details'!S194,Chest[Display],Chest[Flat]),ROUND(_xlfn.XLOOKUP('Bulk Order Details'!S194,Chest[Display],Chest[Pct])*$E184,2))),"")</f>
        <v/>
      </c>
      <c r="N184" s="22" t="str">
        <f>IFERROR(IF('Bulk Order Details'!T194="","",IF(_xlfn.XLOOKUP('Bulk Order Details'!T194,Chest[Display],Chest[Use])="Flat",_xlfn.XLOOKUP('Bulk Order Details'!T194,Chest[Display],Chest[Flat]),ROUND(_xlfn.XLOOKUP('Bulk Order Details'!T194,Chest[Display],Chest[Pct])*$E184,2))),"")</f>
        <v/>
      </c>
      <c r="O184" s="22" t="str">
        <f>IFERROR(IF('Bulk Order Details'!U194="","",IF(_xlfn.XLOOKUP('Bulk Order Details'!U194,LeftSleeve[Display],LeftSleeve[Use])="Flat",_xlfn.XLOOKUP('Bulk Order Details'!U194,LeftSleeve[Display],LeftSleeve[Flat]),ROUND(_xlfn.XLOOKUP('Bulk Order Details'!U194,LeftSleeve[Display],LeftSleeve[Pct])*$E184,2))),"")</f>
        <v/>
      </c>
      <c r="P184" s="22" t="str">
        <f>IFERROR(IF('Bulk Order Details'!V194="","",IF(_xlfn.XLOOKUP('Bulk Order Details'!V194,RightSleeve[Display],RightSleeve[Use])="Flat",_xlfn.XLOOKUP('Bulk Order Details'!V194,RightSleeve[Display],RightSleeve[Flat]),ROUND(_xlfn.XLOOKUP('Bulk Order Details'!V194,RightSleeve[Display],RightSleeve[Pct])*$E184,2))),"")</f>
        <v/>
      </c>
      <c r="Q184" s="27" t="str">
        <f>IF('Bulk Order Details'!M194="","",SUM(F184:P184))</f>
        <v/>
      </c>
      <c r="R184" s="24" t="str">
        <f t="shared" si="11"/>
        <v/>
      </c>
      <c r="S184" s="23" t="str">
        <f>IFERROR(MIN(IF(Summary!$D$11="Yes",-J184,0),IF(H184&gt;0,-J184,0)),"")</f>
        <v/>
      </c>
      <c r="T184" s="16" t="str">
        <f>IFERROR(IF(Summary!$D$10="Yes",-K184,""),"")</f>
        <v/>
      </c>
      <c r="U184" s="18" t="str">
        <f>IFERROR(IF(Summary!$D$12="Yes",-L184,""),"")</f>
        <v/>
      </c>
      <c r="V184" s="25" t="str">
        <f>IF('Bulk Order Details'!M194="","",SUM(R184:U184))</f>
        <v/>
      </c>
      <c r="W184" s="36" t="str">
        <f>IF('Bulk Order Details'!M194="","",D184+Q184)</f>
        <v/>
      </c>
      <c r="X184" s="37" t="str">
        <f>IF('Bulk Order Details'!M194="","",D184+Q184+V184)</f>
        <v/>
      </c>
      <c r="Y184" s="168" t="str">
        <f t="shared" si="10"/>
        <v/>
      </c>
      <c r="Z184" s="173" t="str">
        <f>IF('Bulk Order Details'!M194="","",MAX(1,'Bulk Order Details'!G194))</f>
        <v/>
      </c>
      <c r="AA184" s="196" t="str">
        <f>IF(Pricing_Details[[#This Row],[Quantity]]="","",Pricing_Details[[#This Row],[Retail Price]]*Pricing_Details[[#This Row],[Quantity]])</f>
        <v/>
      </c>
      <c r="AB184" s="196" t="str">
        <f>IF(Pricing_Details[[#This Row],[Quantity]]="","",Pricing_Details[[#This Row],[Total Discount]]*Pricing_Details[[#This Row],[Quantity]])</f>
        <v/>
      </c>
      <c r="AC184" s="176" t="str">
        <f>IFERROR(ROUND(Pricing_Details[[#This Row],[Actual Price]]*Pricing_Details[[#This Row],[Quantity]],2),"")</f>
        <v/>
      </c>
      <c r="AE184" s="156" t="str">
        <f>IF('Bulk Order Details'!M194="","",VLOOKUP('Bulk Order Details'!K194,Collection[],3)&amp;VLOOKUP('Bulk Order Details'!M194,Collar[],4)&amp;VLOOKUP('Bulk Order Details'!L194,Sleeve[],4))</f>
        <v/>
      </c>
      <c r="AF184" s="156" t="str">
        <f>IF('Bulk Order Details'!M194="","",LOOKUP('Bulk Order Details'!H194,Cut[Display],Cut[Code])&amp;LOOKUP('Bulk Order Details'!I194,#REF!,#REF!)&amp;IF('Bulk Order Details'!J194="","",LOOKUP('Bulk Order Details'!J194,Length[Display],Length[Code])))</f>
        <v/>
      </c>
      <c r="AG184" s="156" t="str">
        <f>IF('Bulk Order Details'!M194="","",IF('Bulk Order Details'!F194="","",'Bulk Order Details'!F194))</f>
        <v/>
      </c>
      <c r="AH184" s="156" t="str">
        <f>IF('Bulk Order Details'!R194="","","-"&amp;LOOKUP('Bulk Order Details'!R194,#REF!,#REF!))</f>
        <v/>
      </c>
      <c r="AI184" s="156" t="str">
        <f>IF('Bulk Order Details'!S194="","","-"&amp;LOOKUP('Bulk Order Details'!S194,#REF!,#REF!))</f>
        <v/>
      </c>
      <c r="AJ184" s="156" t="str">
        <f>IF('Bulk Order Details'!T194="","","-"&amp;LOOKUP('Bulk Order Details'!T194,#REF!,#REF!))</f>
        <v/>
      </c>
      <c r="AK184" s="156" t="str">
        <f>IF('Bulk Order Details'!U194="","","-"&amp;LOOKUP('Bulk Order Details'!U194,#REF!,#REF!))</f>
        <v/>
      </c>
      <c r="AL184" s="156" t="str">
        <f>IF('Bulk Order Details'!V194="","","-"&amp;LOOKUP('Bulk Order Details'!V194,#REF!,#REF!))</f>
        <v/>
      </c>
      <c r="AM184" s="156" t="str">
        <f t="shared" si="12"/>
        <v/>
      </c>
      <c r="AN184" s="156" t="str">
        <f>IF('Bulk Order Details'!N194="","","Na-"&amp;'Bulk Order Details'!N194)</f>
        <v/>
      </c>
      <c r="AO184" s="156" t="str">
        <f>IF('Bulk Order Details'!Q194="","","Fo-"&amp;'Bulk Order Details'!Q194)</f>
        <v/>
      </c>
      <c r="AP184" s="156" t="str">
        <f t="shared" si="13"/>
        <v/>
      </c>
      <c r="AQ184" s="37" t="str">
        <f t="shared" si="14"/>
        <v/>
      </c>
    </row>
    <row r="185" spans="2:43" ht="15" customHeight="1" x14ac:dyDescent="0.2">
      <c r="B185" s="34">
        <f>'Bulk Order Details'!B195</f>
        <v>182</v>
      </c>
      <c r="C185" s="34" t="str">
        <f>IF('Bulk Order Details'!C195="","",'Bulk Order Details'!C195&amp;" "&amp;'Bulk Order Details'!D195)</f>
        <v/>
      </c>
      <c r="D185" s="31" t="str">
        <f>IF('Bulk Order Details'!M195="","",VLOOKUP(1,Price[],3))</f>
        <v/>
      </c>
      <c r="E185" s="29" t="str">
        <f>IF('Bulk Order Details'!M195="","",Summary!$D$9)</f>
        <v/>
      </c>
      <c r="F185" s="16" t="str">
        <f>IF('Bulk Order Details'!I195="","",_xlfn.XLOOKUP('Bulk Order Details'!I195,Size[Display],Size[Price]))</f>
        <v/>
      </c>
      <c r="G185" s="16" t="str">
        <f>IF('Bulk Order Details'!J195="","",_xlfn.XLOOKUP('Bulk Order Details'!J195,Length[Display],Length[Price]))</f>
        <v/>
      </c>
      <c r="H185" s="16" t="str">
        <f>IF('Bulk Order Details'!K195="","",_xlfn.XLOOKUP('Bulk Order Details'!K195,Collection[Display],Collection[Price]))</f>
        <v/>
      </c>
      <c r="I185" s="16" t="str">
        <f>IF('Bulk Order Details'!L195="","",_xlfn.XLOOKUP('Bulk Order Details'!L195,Sleeve[Display],Sleeve[Price]))</f>
        <v/>
      </c>
      <c r="J185" s="16" t="str">
        <f>IF('Bulk Order Details'!M195="","",_xlfn.XLOOKUP('Bulk Order Details'!M195,Collar[Display],Collar[Price]))</f>
        <v/>
      </c>
      <c r="K185" s="16" t="str">
        <f>IF('Bulk Order Details'!N195="","",_xlfn.XLOOKUP("Name",Name[Name],Name[Price]))</f>
        <v/>
      </c>
      <c r="L185" s="18" t="str">
        <f>IFERROR(IF('Bulk Order Details'!R195="","",IF(_xlfn.XLOOKUP('Bulk Order Details'!R195,Logos[Display],Logos[Use])="Flat",_xlfn.XLOOKUP('Bulk Order Details'!R195,Logos[Display],Logos[Flat]),ROUND(_xlfn.XLOOKUP('Bulk Order Details'!R195,Logos[Display],Logos[Pct])*$E185,2))),"")</f>
        <v/>
      </c>
      <c r="M185" s="22" t="str">
        <f>IFERROR(IF('Bulk Order Details'!S195="","",IF(_xlfn.XLOOKUP('Bulk Order Details'!S195,Chest[Display],Chest[Use])="Flat",_xlfn.XLOOKUP('Bulk Order Details'!S195,Chest[Display],Chest[Flat]),ROUND(_xlfn.XLOOKUP('Bulk Order Details'!S195,Chest[Display],Chest[Pct])*$E185,2))),"")</f>
        <v/>
      </c>
      <c r="N185" s="22" t="str">
        <f>IFERROR(IF('Bulk Order Details'!T195="","",IF(_xlfn.XLOOKUP('Bulk Order Details'!T195,Chest[Display],Chest[Use])="Flat",_xlfn.XLOOKUP('Bulk Order Details'!T195,Chest[Display],Chest[Flat]),ROUND(_xlfn.XLOOKUP('Bulk Order Details'!T195,Chest[Display],Chest[Pct])*$E185,2))),"")</f>
        <v/>
      </c>
      <c r="O185" s="22" t="str">
        <f>IFERROR(IF('Bulk Order Details'!U195="","",IF(_xlfn.XLOOKUP('Bulk Order Details'!U195,LeftSleeve[Display],LeftSleeve[Use])="Flat",_xlfn.XLOOKUP('Bulk Order Details'!U195,LeftSleeve[Display],LeftSleeve[Flat]),ROUND(_xlfn.XLOOKUP('Bulk Order Details'!U195,LeftSleeve[Display],LeftSleeve[Pct])*$E185,2))),"")</f>
        <v/>
      </c>
      <c r="P185" s="22" t="str">
        <f>IFERROR(IF('Bulk Order Details'!V195="","",IF(_xlfn.XLOOKUP('Bulk Order Details'!V195,RightSleeve[Display],RightSleeve[Use])="Flat",_xlfn.XLOOKUP('Bulk Order Details'!V195,RightSleeve[Display],RightSleeve[Flat]),ROUND(_xlfn.XLOOKUP('Bulk Order Details'!V195,RightSleeve[Display],RightSleeve[Pct])*$E185,2))),"")</f>
        <v/>
      </c>
      <c r="Q185" s="27" t="str">
        <f>IF('Bulk Order Details'!M195="","",SUM(F185:P185))</f>
        <v/>
      </c>
      <c r="R185" s="24" t="str">
        <f t="shared" si="11"/>
        <v/>
      </c>
      <c r="S185" s="23" t="str">
        <f>IFERROR(MIN(IF(Summary!$D$11="Yes",-J185,0),IF(H185&gt;0,-J185,0)),"")</f>
        <v/>
      </c>
      <c r="T185" s="16" t="str">
        <f>IFERROR(IF(Summary!$D$10="Yes",-K185,""),"")</f>
        <v/>
      </c>
      <c r="U185" s="18" t="str">
        <f>IFERROR(IF(Summary!$D$12="Yes",-L185,""),"")</f>
        <v/>
      </c>
      <c r="V185" s="25" t="str">
        <f>IF('Bulk Order Details'!M195="","",SUM(R185:U185))</f>
        <v/>
      </c>
      <c r="W185" s="36" t="str">
        <f>IF('Bulk Order Details'!M195="","",D185+Q185)</f>
        <v/>
      </c>
      <c r="X185" s="37" t="str">
        <f>IF('Bulk Order Details'!M195="","",D185+Q185+V185)</f>
        <v/>
      </c>
      <c r="Y185" s="168" t="str">
        <f t="shared" si="10"/>
        <v/>
      </c>
      <c r="Z185" s="173" t="str">
        <f>IF('Bulk Order Details'!M195="","",MAX(1,'Bulk Order Details'!G195))</f>
        <v/>
      </c>
      <c r="AA185" s="196" t="str">
        <f>IF(Pricing_Details[[#This Row],[Quantity]]="","",Pricing_Details[[#This Row],[Retail Price]]*Pricing_Details[[#This Row],[Quantity]])</f>
        <v/>
      </c>
      <c r="AB185" s="196" t="str">
        <f>IF(Pricing_Details[[#This Row],[Quantity]]="","",Pricing_Details[[#This Row],[Total Discount]]*Pricing_Details[[#This Row],[Quantity]])</f>
        <v/>
      </c>
      <c r="AC185" s="176" t="str">
        <f>IFERROR(ROUND(Pricing_Details[[#This Row],[Actual Price]]*Pricing_Details[[#This Row],[Quantity]],2),"")</f>
        <v/>
      </c>
      <c r="AE185" s="156" t="str">
        <f>IF('Bulk Order Details'!M195="","",VLOOKUP('Bulk Order Details'!K195,Collection[],3)&amp;VLOOKUP('Bulk Order Details'!M195,Collar[],4)&amp;VLOOKUP('Bulk Order Details'!L195,Sleeve[],4))</f>
        <v/>
      </c>
      <c r="AF185" s="156" t="str">
        <f>IF('Bulk Order Details'!M195="","",LOOKUP('Bulk Order Details'!H195,Cut[Display],Cut[Code])&amp;LOOKUP('Bulk Order Details'!I195,#REF!,#REF!)&amp;IF('Bulk Order Details'!J195="","",LOOKUP('Bulk Order Details'!J195,Length[Display],Length[Code])))</f>
        <v/>
      </c>
      <c r="AG185" s="156" t="str">
        <f>IF('Bulk Order Details'!M195="","",IF('Bulk Order Details'!F195="","",'Bulk Order Details'!F195))</f>
        <v/>
      </c>
      <c r="AH185" s="156" t="str">
        <f>IF('Bulk Order Details'!R195="","","-"&amp;LOOKUP('Bulk Order Details'!R195,#REF!,#REF!))</f>
        <v/>
      </c>
      <c r="AI185" s="156" t="str">
        <f>IF('Bulk Order Details'!S195="","","-"&amp;LOOKUP('Bulk Order Details'!S195,#REF!,#REF!))</f>
        <v/>
      </c>
      <c r="AJ185" s="156" t="str">
        <f>IF('Bulk Order Details'!T195="","","-"&amp;LOOKUP('Bulk Order Details'!T195,#REF!,#REF!))</f>
        <v/>
      </c>
      <c r="AK185" s="156" t="str">
        <f>IF('Bulk Order Details'!U195="","","-"&amp;LOOKUP('Bulk Order Details'!U195,#REF!,#REF!))</f>
        <v/>
      </c>
      <c r="AL185" s="156" t="str">
        <f>IF('Bulk Order Details'!V195="","","-"&amp;LOOKUP('Bulk Order Details'!V195,#REF!,#REF!))</f>
        <v/>
      </c>
      <c r="AM185" s="156" t="str">
        <f t="shared" si="12"/>
        <v/>
      </c>
      <c r="AN185" s="156" t="str">
        <f>IF('Bulk Order Details'!N195="","","Na-"&amp;'Bulk Order Details'!N195)</f>
        <v/>
      </c>
      <c r="AO185" s="156" t="str">
        <f>IF('Bulk Order Details'!Q195="","","Fo-"&amp;'Bulk Order Details'!Q195)</f>
        <v/>
      </c>
      <c r="AP185" s="156" t="str">
        <f t="shared" si="13"/>
        <v/>
      </c>
      <c r="AQ185" s="37" t="str">
        <f t="shared" si="14"/>
        <v/>
      </c>
    </row>
    <row r="186" spans="2:43" ht="15" customHeight="1" x14ac:dyDescent="0.2">
      <c r="B186" s="34">
        <f>'Bulk Order Details'!B196</f>
        <v>183</v>
      </c>
      <c r="C186" s="34" t="str">
        <f>IF('Bulk Order Details'!C196="","",'Bulk Order Details'!C196&amp;" "&amp;'Bulk Order Details'!D196)</f>
        <v/>
      </c>
      <c r="D186" s="31" t="str">
        <f>IF('Bulk Order Details'!M196="","",VLOOKUP(1,Price[],3))</f>
        <v/>
      </c>
      <c r="E186" s="29" t="str">
        <f>IF('Bulk Order Details'!M196="","",Summary!$D$9)</f>
        <v/>
      </c>
      <c r="F186" s="16" t="str">
        <f>IF('Bulk Order Details'!I196="","",_xlfn.XLOOKUP('Bulk Order Details'!I196,Size[Display],Size[Price]))</f>
        <v/>
      </c>
      <c r="G186" s="16" t="str">
        <f>IF('Bulk Order Details'!J196="","",_xlfn.XLOOKUP('Bulk Order Details'!J196,Length[Display],Length[Price]))</f>
        <v/>
      </c>
      <c r="H186" s="16" t="str">
        <f>IF('Bulk Order Details'!K196="","",_xlfn.XLOOKUP('Bulk Order Details'!K196,Collection[Display],Collection[Price]))</f>
        <v/>
      </c>
      <c r="I186" s="16" t="str">
        <f>IF('Bulk Order Details'!L196="","",_xlfn.XLOOKUP('Bulk Order Details'!L196,Sleeve[Display],Sleeve[Price]))</f>
        <v/>
      </c>
      <c r="J186" s="16" t="str">
        <f>IF('Bulk Order Details'!M196="","",_xlfn.XLOOKUP('Bulk Order Details'!M196,Collar[Display],Collar[Price]))</f>
        <v/>
      </c>
      <c r="K186" s="16" t="str">
        <f>IF('Bulk Order Details'!N196="","",_xlfn.XLOOKUP("Name",Name[Name],Name[Price]))</f>
        <v/>
      </c>
      <c r="L186" s="18" t="str">
        <f>IFERROR(IF('Bulk Order Details'!R196="","",IF(_xlfn.XLOOKUP('Bulk Order Details'!R196,Logos[Display],Logos[Use])="Flat",_xlfn.XLOOKUP('Bulk Order Details'!R196,Logos[Display],Logos[Flat]),ROUND(_xlfn.XLOOKUP('Bulk Order Details'!R196,Logos[Display],Logos[Pct])*$E186,2))),"")</f>
        <v/>
      </c>
      <c r="M186" s="22" t="str">
        <f>IFERROR(IF('Bulk Order Details'!S196="","",IF(_xlfn.XLOOKUP('Bulk Order Details'!S196,Chest[Display],Chest[Use])="Flat",_xlfn.XLOOKUP('Bulk Order Details'!S196,Chest[Display],Chest[Flat]),ROUND(_xlfn.XLOOKUP('Bulk Order Details'!S196,Chest[Display],Chest[Pct])*$E186,2))),"")</f>
        <v/>
      </c>
      <c r="N186" s="22" t="str">
        <f>IFERROR(IF('Bulk Order Details'!T196="","",IF(_xlfn.XLOOKUP('Bulk Order Details'!T196,Chest[Display],Chest[Use])="Flat",_xlfn.XLOOKUP('Bulk Order Details'!T196,Chest[Display],Chest[Flat]),ROUND(_xlfn.XLOOKUP('Bulk Order Details'!T196,Chest[Display],Chest[Pct])*$E186,2))),"")</f>
        <v/>
      </c>
      <c r="O186" s="22" t="str">
        <f>IFERROR(IF('Bulk Order Details'!U196="","",IF(_xlfn.XLOOKUP('Bulk Order Details'!U196,LeftSleeve[Display],LeftSleeve[Use])="Flat",_xlfn.XLOOKUP('Bulk Order Details'!U196,LeftSleeve[Display],LeftSleeve[Flat]),ROUND(_xlfn.XLOOKUP('Bulk Order Details'!U196,LeftSleeve[Display],LeftSleeve[Pct])*$E186,2))),"")</f>
        <v/>
      </c>
      <c r="P186" s="22" t="str">
        <f>IFERROR(IF('Bulk Order Details'!V196="","",IF(_xlfn.XLOOKUP('Bulk Order Details'!V196,RightSleeve[Display],RightSleeve[Use])="Flat",_xlfn.XLOOKUP('Bulk Order Details'!V196,RightSleeve[Display],RightSleeve[Flat]),ROUND(_xlfn.XLOOKUP('Bulk Order Details'!V196,RightSleeve[Display],RightSleeve[Pct])*$E186,2))),"")</f>
        <v/>
      </c>
      <c r="Q186" s="27" t="str">
        <f>IF('Bulk Order Details'!M196="","",SUM(F186:P186))</f>
        <v/>
      </c>
      <c r="R186" s="24" t="str">
        <f t="shared" si="11"/>
        <v/>
      </c>
      <c r="S186" s="23" t="str">
        <f>IFERROR(MIN(IF(Summary!$D$11="Yes",-J186,0),IF(H186&gt;0,-J186,0)),"")</f>
        <v/>
      </c>
      <c r="T186" s="16" t="str">
        <f>IFERROR(IF(Summary!$D$10="Yes",-K186,""),"")</f>
        <v/>
      </c>
      <c r="U186" s="18" t="str">
        <f>IFERROR(IF(Summary!$D$12="Yes",-L186,""),"")</f>
        <v/>
      </c>
      <c r="V186" s="25" t="str">
        <f>IF('Bulk Order Details'!M196="","",SUM(R186:U186))</f>
        <v/>
      </c>
      <c r="W186" s="36" t="str">
        <f>IF('Bulk Order Details'!M196="","",D186+Q186)</f>
        <v/>
      </c>
      <c r="X186" s="37" t="str">
        <f>IF('Bulk Order Details'!M196="","",D186+Q186+V186)</f>
        <v/>
      </c>
      <c r="Y186" s="168" t="str">
        <f t="shared" si="10"/>
        <v/>
      </c>
      <c r="Z186" s="173" t="str">
        <f>IF('Bulk Order Details'!M196="","",MAX(1,'Bulk Order Details'!G196))</f>
        <v/>
      </c>
      <c r="AA186" s="196" t="str">
        <f>IF(Pricing_Details[[#This Row],[Quantity]]="","",Pricing_Details[[#This Row],[Retail Price]]*Pricing_Details[[#This Row],[Quantity]])</f>
        <v/>
      </c>
      <c r="AB186" s="196" t="str">
        <f>IF(Pricing_Details[[#This Row],[Quantity]]="","",Pricing_Details[[#This Row],[Total Discount]]*Pricing_Details[[#This Row],[Quantity]])</f>
        <v/>
      </c>
      <c r="AC186" s="176" t="str">
        <f>IFERROR(ROUND(Pricing_Details[[#This Row],[Actual Price]]*Pricing_Details[[#This Row],[Quantity]],2),"")</f>
        <v/>
      </c>
      <c r="AE186" s="156" t="str">
        <f>IF('Bulk Order Details'!M196="","",VLOOKUP('Bulk Order Details'!K196,Collection[],3)&amp;VLOOKUP('Bulk Order Details'!M196,Collar[],4)&amp;VLOOKUP('Bulk Order Details'!L196,Sleeve[],4))</f>
        <v/>
      </c>
      <c r="AF186" s="156" t="str">
        <f>IF('Bulk Order Details'!M196="","",LOOKUP('Bulk Order Details'!H196,Cut[Display],Cut[Code])&amp;LOOKUP('Bulk Order Details'!I196,#REF!,#REF!)&amp;IF('Bulk Order Details'!J196="","",LOOKUP('Bulk Order Details'!J196,Length[Display],Length[Code])))</f>
        <v/>
      </c>
      <c r="AG186" s="156" t="str">
        <f>IF('Bulk Order Details'!M196="","",IF('Bulk Order Details'!F196="","",'Bulk Order Details'!F196))</f>
        <v/>
      </c>
      <c r="AH186" s="156" t="str">
        <f>IF('Bulk Order Details'!R196="","","-"&amp;LOOKUP('Bulk Order Details'!R196,#REF!,#REF!))</f>
        <v/>
      </c>
      <c r="AI186" s="156" t="str">
        <f>IF('Bulk Order Details'!S196="","","-"&amp;LOOKUP('Bulk Order Details'!S196,#REF!,#REF!))</f>
        <v/>
      </c>
      <c r="AJ186" s="156" t="str">
        <f>IF('Bulk Order Details'!T196="","","-"&amp;LOOKUP('Bulk Order Details'!T196,#REF!,#REF!))</f>
        <v/>
      </c>
      <c r="AK186" s="156" t="str">
        <f>IF('Bulk Order Details'!U196="","","-"&amp;LOOKUP('Bulk Order Details'!U196,#REF!,#REF!))</f>
        <v/>
      </c>
      <c r="AL186" s="156" t="str">
        <f>IF('Bulk Order Details'!V196="","","-"&amp;LOOKUP('Bulk Order Details'!V196,#REF!,#REF!))</f>
        <v/>
      </c>
      <c r="AM186" s="156" t="str">
        <f t="shared" si="12"/>
        <v/>
      </c>
      <c r="AN186" s="156" t="str">
        <f>IF('Bulk Order Details'!N196="","","Na-"&amp;'Bulk Order Details'!N196)</f>
        <v/>
      </c>
      <c r="AO186" s="156" t="str">
        <f>IF('Bulk Order Details'!Q196="","","Fo-"&amp;'Bulk Order Details'!Q196)</f>
        <v/>
      </c>
      <c r="AP186" s="156" t="str">
        <f t="shared" si="13"/>
        <v/>
      </c>
      <c r="AQ186" s="37" t="str">
        <f t="shared" si="14"/>
        <v/>
      </c>
    </row>
    <row r="187" spans="2:43" ht="15" customHeight="1" x14ac:dyDescent="0.2">
      <c r="B187" s="34">
        <f>'Bulk Order Details'!B197</f>
        <v>184</v>
      </c>
      <c r="C187" s="34" t="str">
        <f>IF('Bulk Order Details'!C197="","",'Bulk Order Details'!C197&amp;" "&amp;'Bulk Order Details'!D197)</f>
        <v/>
      </c>
      <c r="D187" s="31" t="str">
        <f>IF('Bulk Order Details'!M197="","",VLOOKUP(1,Price[],3))</f>
        <v/>
      </c>
      <c r="E187" s="29" t="str">
        <f>IF('Bulk Order Details'!M197="","",Summary!$D$9)</f>
        <v/>
      </c>
      <c r="F187" s="16" t="str">
        <f>IF('Bulk Order Details'!I197="","",_xlfn.XLOOKUP('Bulk Order Details'!I197,Size[Display],Size[Price]))</f>
        <v/>
      </c>
      <c r="G187" s="16" t="str">
        <f>IF('Bulk Order Details'!J197="","",_xlfn.XLOOKUP('Bulk Order Details'!J197,Length[Display],Length[Price]))</f>
        <v/>
      </c>
      <c r="H187" s="16" t="str">
        <f>IF('Bulk Order Details'!K197="","",_xlfn.XLOOKUP('Bulk Order Details'!K197,Collection[Display],Collection[Price]))</f>
        <v/>
      </c>
      <c r="I187" s="16" t="str">
        <f>IF('Bulk Order Details'!L197="","",_xlfn.XLOOKUP('Bulk Order Details'!L197,Sleeve[Display],Sleeve[Price]))</f>
        <v/>
      </c>
      <c r="J187" s="16" t="str">
        <f>IF('Bulk Order Details'!M197="","",_xlfn.XLOOKUP('Bulk Order Details'!M197,Collar[Display],Collar[Price]))</f>
        <v/>
      </c>
      <c r="K187" s="16" t="str">
        <f>IF('Bulk Order Details'!N197="","",_xlfn.XLOOKUP("Name",Name[Name],Name[Price]))</f>
        <v/>
      </c>
      <c r="L187" s="18" t="str">
        <f>IFERROR(IF('Bulk Order Details'!R197="","",IF(_xlfn.XLOOKUP('Bulk Order Details'!R197,Logos[Display],Logos[Use])="Flat",_xlfn.XLOOKUP('Bulk Order Details'!R197,Logos[Display],Logos[Flat]),ROUND(_xlfn.XLOOKUP('Bulk Order Details'!R197,Logos[Display],Logos[Pct])*$E187,2))),"")</f>
        <v/>
      </c>
      <c r="M187" s="22" t="str">
        <f>IFERROR(IF('Bulk Order Details'!S197="","",IF(_xlfn.XLOOKUP('Bulk Order Details'!S197,Chest[Display],Chest[Use])="Flat",_xlfn.XLOOKUP('Bulk Order Details'!S197,Chest[Display],Chest[Flat]),ROUND(_xlfn.XLOOKUP('Bulk Order Details'!S197,Chest[Display],Chest[Pct])*$E187,2))),"")</f>
        <v/>
      </c>
      <c r="N187" s="22" t="str">
        <f>IFERROR(IF('Bulk Order Details'!T197="","",IF(_xlfn.XLOOKUP('Bulk Order Details'!T197,Chest[Display],Chest[Use])="Flat",_xlfn.XLOOKUP('Bulk Order Details'!T197,Chest[Display],Chest[Flat]),ROUND(_xlfn.XLOOKUP('Bulk Order Details'!T197,Chest[Display],Chest[Pct])*$E187,2))),"")</f>
        <v/>
      </c>
      <c r="O187" s="22" t="str">
        <f>IFERROR(IF('Bulk Order Details'!U197="","",IF(_xlfn.XLOOKUP('Bulk Order Details'!U197,LeftSleeve[Display],LeftSleeve[Use])="Flat",_xlfn.XLOOKUP('Bulk Order Details'!U197,LeftSleeve[Display],LeftSleeve[Flat]),ROUND(_xlfn.XLOOKUP('Bulk Order Details'!U197,LeftSleeve[Display],LeftSleeve[Pct])*$E187,2))),"")</f>
        <v/>
      </c>
      <c r="P187" s="22" t="str">
        <f>IFERROR(IF('Bulk Order Details'!V197="","",IF(_xlfn.XLOOKUP('Bulk Order Details'!V197,RightSleeve[Display],RightSleeve[Use])="Flat",_xlfn.XLOOKUP('Bulk Order Details'!V197,RightSleeve[Display],RightSleeve[Flat]),ROUND(_xlfn.XLOOKUP('Bulk Order Details'!V197,RightSleeve[Display],RightSleeve[Pct])*$E187,2))),"")</f>
        <v/>
      </c>
      <c r="Q187" s="27" t="str">
        <f>IF('Bulk Order Details'!M197="","",SUM(F187:P187))</f>
        <v/>
      </c>
      <c r="R187" s="24" t="str">
        <f t="shared" si="11"/>
        <v/>
      </c>
      <c r="S187" s="23" t="str">
        <f>IFERROR(MIN(IF(Summary!$D$11="Yes",-J187,0),IF(H187&gt;0,-J187,0)),"")</f>
        <v/>
      </c>
      <c r="T187" s="16" t="str">
        <f>IFERROR(IF(Summary!$D$10="Yes",-K187,""),"")</f>
        <v/>
      </c>
      <c r="U187" s="18" t="str">
        <f>IFERROR(IF(Summary!$D$12="Yes",-L187,""),"")</f>
        <v/>
      </c>
      <c r="V187" s="25" t="str">
        <f>IF('Bulk Order Details'!M197="","",SUM(R187:U187))</f>
        <v/>
      </c>
      <c r="W187" s="36" t="str">
        <f>IF('Bulk Order Details'!M197="","",D187+Q187)</f>
        <v/>
      </c>
      <c r="X187" s="37" t="str">
        <f>IF('Bulk Order Details'!M197="","",D187+Q187+V187)</f>
        <v/>
      </c>
      <c r="Y187" s="168" t="str">
        <f t="shared" si="10"/>
        <v/>
      </c>
      <c r="Z187" s="173" t="str">
        <f>IF('Bulk Order Details'!M197="","",MAX(1,'Bulk Order Details'!G197))</f>
        <v/>
      </c>
      <c r="AA187" s="196" t="str">
        <f>IF(Pricing_Details[[#This Row],[Quantity]]="","",Pricing_Details[[#This Row],[Retail Price]]*Pricing_Details[[#This Row],[Quantity]])</f>
        <v/>
      </c>
      <c r="AB187" s="196" t="str">
        <f>IF(Pricing_Details[[#This Row],[Quantity]]="","",Pricing_Details[[#This Row],[Total Discount]]*Pricing_Details[[#This Row],[Quantity]])</f>
        <v/>
      </c>
      <c r="AC187" s="176" t="str">
        <f>IFERROR(ROUND(Pricing_Details[[#This Row],[Actual Price]]*Pricing_Details[[#This Row],[Quantity]],2),"")</f>
        <v/>
      </c>
      <c r="AE187" s="156" t="str">
        <f>IF('Bulk Order Details'!M197="","",VLOOKUP('Bulk Order Details'!K197,Collection[],3)&amp;VLOOKUP('Bulk Order Details'!M197,Collar[],4)&amp;VLOOKUP('Bulk Order Details'!L197,Sleeve[],4))</f>
        <v/>
      </c>
      <c r="AF187" s="156" t="str">
        <f>IF('Bulk Order Details'!M197="","",LOOKUP('Bulk Order Details'!H197,Cut[Display],Cut[Code])&amp;LOOKUP('Bulk Order Details'!I197,#REF!,#REF!)&amp;IF('Bulk Order Details'!J197="","",LOOKUP('Bulk Order Details'!J197,Length[Display],Length[Code])))</f>
        <v/>
      </c>
      <c r="AG187" s="156" t="str">
        <f>IF('Bulk Order Details'!M197="","",IF('Bulk Order Details'!F197="","",'Bulk Order Details'!F197))</f>
        <v/>
      </c>
      <c r="AH187" s="156" t="str">
        <f>IF('Bulk Order Details'!R197="","","-"&amp;LOOKUP('Bulk Order Details'!R197,#REF!,#REF!))</f>
        <v/>
      </c>
      <c r="AI187" s="156" t="str">
        <f>IF('Bulk Order Details'!S197="","","-"&amp;LOOKUP('Bulk Order Details'!S197,#REF!,#REF!))</f>
        <v/>
      </c>
      <c r="AJ187" s="156" t="str">
        <f>IF('Bulk Order Details'!T197="","","-"&amp;LOOKUP('Bulk Order Details'!T197,#REF!,#REF!))</f>
        <v/>
      </c>
      <c r="AK187" s="156" t="str">
        <f>IF('Bulk Order Details'!U197="","","-"&amp;LOOKUP('Bulk Order Details'!U197,#REF!,#REF!))</f>
        <v/>
      </c>
      <c r="AL187" s="156" t="str">
        <f>IF('Bulk Order Details'!V197="","","-"&amp;LOOKUP('Bulk Order Details'!V197,#REF!,#REF!))</f>
        <v/>
      </c>
      <c r="AM187" s="156" t="str">
        <f t="shared" si="12"/>
        <v/>
      </c>
      <c r="AN187" s="156" t="str">
        <f>IF('Bulk Order Details'!N197="","","Na-"&amp;'Bulk Order Details'!N197)</f>
        <v/>
      </c>
      <c r="AO187" s="156" t="str">
        <f>IF('Bulk Order Details'!Q197="","","Fo-"&amp;'Bulk Order Details'!Q197)</f>
        <v/>
      </c>
      <c r="AP187" s="156" t="str">
        <f t="shared" si="13"/>
        <v/>
      </c>
      <c r="AQ187" s="37" t="str">
        <f t="shared" si="14"/>
        <v/>
      </c>
    </row>
    <row r="188" spans="2:43" ht="15" customHeight="1" x14ac:dyDescent="0.2">
      <c r="B188" s="34">
        <f>'Bulk Order Details'!B198</f>
        <v>185</v>
      </c>
      <c r="C188" s="34" t="str">
        <f>IF('Bulk Order Details'!C198="","",'Bulk Order Details'!C198&amp;" "&amp;'Bulk Order Details'!D198)</f>
        <v/>
      </c>
      <c r="D188" s="31" t="str">
        <f>IF('Bulk Order Details'!M198="","",VLOOKUP(1,Price[],3))</f>
        <v/>
      </c>
      <c r="E188" s="29" t="str">
        <f>IF('Bulk Order Details'!M198="","",Summary!$D$9)</f>
        <v/>
      </c>
      <c r="F188" s="16" t="str">
        <f>IF('Bulk Order Details'!I198="","",_xlfn.XLOOKUP('Bulk Order Details'!I198,Size[Display],Size[Price]))</f>
        <v/>
      </c>
      <c r="G188" s="16" t="str">
        <f>IF('Bulk Order Details'!J198="","",_xlfn.XLOOKUP('Bulk Order Details'!J198,Length[Display],Length[Price]))</f>
        <v/>
      </c>
      <c r="H188" s="16" t="str">
        <f>IF('Bulk Order Details'!K198="","",_xlfn.XLOOKUP('Bulk Order Details'!K198,Collection[Display],Collection[Price]))</f>
        <v/>
      </c>
      <c r="I188" s="16" t="str">
        <f>IF('Bulk Order Details'!L198="","",_xlfn.XLOOKUP('Bulk Order Details'!L198,Sleeve[Display],Sleeve[Price]))</f>
        <v/>
      </c>
      <c r="J188" s="16" t="str">
        <f>IF('Bulk Order Details'!M198="","",_xlfn.XLOOKUP('Bulk Order Details'!M198,Collar[Display],Collar[Price]))</f>
        <v/>
      </c>
      <c r="K188" s="16" t="str">
        <f>IF('Bulk Order Details'!N198="","",_xlfn.XLOOKUP("Name",Name[Name],Name[Price]))</f>
        <v/>
      </c>
      <c r="L188" s="18" t="str">
        <f>IFERROR(IF('Bulk Order Details'!R198="","",IF(_xlfn.XLOOKUP('Bulk Order Details'!R198,Logos[Display],Logos[Use])="Flat",_xlfn.XLOOKUP('Bulk Order Details'!R198,Logos[Display],Logos[Flat]),ROUND(_xlfn.XLOOKUP('Bulk Order Details'!R198,Logos[Display],Logos[Pct])*$E188,2))),"")</f>
        <v/>
      </c>
      <c r="M188" s="22" t="str">
        <f>IFERROR(IF('Bulk Order Details'!S198="","",IF(_xlfn.XLOOKUP('Bulk Order Details'!S198,Chest[Display],Chest[Use])="Flat",_xlfn.XLOOKUP('Bulk Order Details'!S198,Chest[Display],Chest[Flat]),ROUND(_xlfn.XLOOKUP('Bulk Order Details'!S198,Chest[Display],Chest[Pct])*$E188,2))),"")</f>
        <v/>
      </c>
      <c r="N188" s="22" t="str">
        <f>IFERROR(IF('Bulk Order Details'!T198="","",IF(_xlfn.XLOOKUP('Bulk Order Details'!T198,Chest[Display],Chest[Use])="Flat",_xlfn.XLOOKUP('Bulk Order Details'!T198,Chest[Display],Chest[Flat]),ROUND(_xlfn.XLOOKUP('Bulk Order Details'!T198,Chest[Display],Chest[Pct])*$E188,2))),"")</f>
        <v/>
      </c>
      <c r="O188" s="22" t="str">
        <f>IFERROR(IF('Bulk Order Details'!U198="","",IF(_xlfn.XLOOKUP('Bulk Order Details'!U198,LeftSleeve[Display],LeftSleeve[Use])="Flat",_xlfn.XLOOKUP('Bulk Order Details'!U198,LeftSleeve[Display],LeftSleeve[Flat]),ROUND(_xlfn.XLOOKUP('Bulk Order Details'!U198,LeftSleeve[Display],LeftSleeve[Pct])*$E188,2))),"")</f>
        <v/>
      </c>
      <c r="P188" s="22" t="str">
        <f>IFERROR(IF('Bulk Order Details'!V198="","",IF(_xlfn.XLOOKUP('Bulk Order Details'!V198,RightSleeve[Display],RightSleeve[Use])="Flat",_xlfn.XLOOKUP('Bulk Order Details'!V198,RightSleeve[Display],RightSleeve[Flat]),ROUND(_xlfn.XLOOKUP('Bulk Order Details'!V198,RightSleeve[Display],RightSleeve[Pct])*$E188,2))),"")</f>
        <v/>
      </c>
      <c r="Q188" s="27" t="str">
        <f>IF('Bulk Order Details'!M198="","",SUM(F188:P188))</f>
        <v/>
      </c>
      <c r="R188" s="24" t="str">
        <f t="shared" si="11"/>
        <v/>
      </c>
      <c r="S188" s="23" t="str">
        <f>IFERROR(MIN(IF(Summary!$D$11="Yes",-J188,0),IF(H188&gt;0,-J188,0)),"")</f>
        <v/>
      </c>
      <c r="T188" s="16" t="str">
        <f>IFERROR(IF(Summary!$D$10="Yes",-K188,""),"")</f>
        <v/>
      </c>
      <c r="U188" s="18" t="str">
        <f>IFERROR(IF(Summary!$D$12="Yes",-L188,""),"")</f>
        <v/>
      </c>
      <c r="V188" s="25" t="str">
        <f>IF('Bulk Order Details'!M198="","",SUM(R188:U188))</f>
        <v/>
      </c>
      <c r="W188" s="36" t="str">
        <f>IF('Bulk Order Details'!M198="","",D188+Q188)</f>
        <v/>
      </c>
      <c r="X188" s="37" t="str">
        <f>IF('Bulk Order Details'!M198="","",D188+Q188+V188)</f>
        <v/>
      </c>
      <c r="Y188" s="168" t="str">
        <f t="shared" si="10"/>
        <v/>
      </c>
      <c r="Z188" s="173" t="str">
        <f>IF('Bulk Order Details'!M198="","",MAX(1,'Bulk Order Details'!G198))</f>
        <v/>
      </c>
      <c r="AA188" s="196" t="str">
        <f>IF(Pricing_Details[[#This Row],[Quantity]]="","",Pricing_Details[[#This Row],[Retail Price]]*Pricing_Details[[#This Row],[Quantity]])</f>
        <v/>
      </c>
      <c r="AB188" s="196" t="str">
        <f>IF(Pricing_Details[[#This Row],[Quantity]]="","",Pricing_Details[[#This Row],[Total Discount]]*Pricing_Details[[#This Row],[Quantity]])</f>
        <v/>
      </c>
      <c r="AC188" s="176" t="str">
        <f>IFERROR(ROUND(Pricing_Details[[#This Row],[Actual Price]]*Pricing_Details[[#This Row],[Quantity]],2),"")</f>
        <v/>
      </c>
      <c r="AE188" s="156" t="str">
        <f>IF('Bulk Order Details'!M198="","",VLOOKUP('Bulk Order Details'!K198,Collection[],3)&amp;VLOOKUP('Bulk Order Details'!M198,Collar[],4)&amp;VLOOKUP('Bulk Order Details'!L198,Sleeve[],4))</f>
        <v/>
      </c>
      <c r="AF188" s="156" t="str">
        <f>IF('Bulk Order Details'!M198="","",LOOKUP('Bulk Order Details'!H198,Cut[Display],Cut[Code])&amp;LOOKUP('Bulk Order Details'!I198,#REF!,#REF!)&amp;IF('Bulk Order Details'!J198="","",LOOKUP('Bulk Order Details'!J198,Length[Display],Length[Code])))</f>
        <v/>
      </c>
      <c r="AG188" s="156" t="str">
        <f>IF('Bulk Order Details'!M198="","",IF('Bulk Order Details'!F198="","",'Bulk Order Details'!F198))</f>
        <v/>
      </c>
      <c r="AH188" s="156" t="str">
        <f>IF('Bulk Order Details'!R198="","","-"&amp;LOOKUP('Bulk Order Details'!R198,#REF!,#REF!))</f>
        <v/>
      </c>
      <c r="AI188" s="156" t="str">
        <f>IF('Bulk Order Details'!S198="","","-"&amp;LOOKUP('Bulk Order Details'!S198,#REF!,#REF!))</f>
        <v/>
      </c>
      <c r="AJ188" s="156" t="str">
        <f>IF('Bulk Order Details'!T198="","","-"&amp;LOOKUP('Bulk Order Details'!T198,#REF!,#REF!))</f>
        <v/>
      </c>
      <c r="AK188" s="156" t="str">
        <f>IF('Bulk Order Details'!U198="","","-"&amp;LOOKUP('Bulk Order Details'!U198,#REF!,#REF!))</f>
        <v/>
      </c>
      <c r="AL188" s="156" t="str">
        <f>IF('Bulk Order Details'!V198="","","-"&amp;LOOKUP('Bulk Order Details'!V198,#REF!,#REF!))</f>
        <v/>
      </c>
      <c r="AM188" s="156" t="str">
        <f t="shared" si="12"/>
        <v/>
      </c>
      <c r="AN188" s="156" t="str">
        <f>IF('Bulk Order Details'!N198="","","Na-"&amp;'Bulk Order Details'!N198)</f>
        <v/>
      </c>
      <c r="AO188" s="156" t="str">
        <f>IF('Bulk Order Details'!Q198="","","Fo-"&amp;'Bulk Order Details'!Q198)</f>
        <v/>
      </c>
      <c r="AP188" s="156" t="str">
        <f t="shared" si="13"/>
        <v/>
      </c>
      <c r="AQ188" s="37" t="str">
        <f t="shared" si="14"/>
        <v/>
      </c>
    </row>
    <row r="189" spans="2:43" ht="15" customHeight="1" x14ac:dyDescent="0.2">
      <c r="B189" s="34">
        <f>'Bulk Order Details'!B199</f>
        <v>186</v>
      </c>
      <c r="C189" s="34" t="str">
        <f>IF('Bulk Order Details'!C199="","",'Bulk Order Details'!C199&amp;" "&amp;'Bulk Order Details'!D199)</f>
        <v/>
      </c>
      <c r="D189" s="31" t="str">
        <f>IF('Bulk Order Details'!M199="","",VLOOKUP(1,Price[],3))</f>
        <v/>
      </c>
      <c r="E189" s="29" t="str">
        <f>IF('Bulk Order Details'!M199="","",Summary!$D$9)</f>
        <v/>
      </c>
      <c r="F189" s="16" t="str">
        <f>IF('Bulk Order Details'!I199="","",_xlfn.XLOOKUP('Bulk Order Details'!I199,Size[Display],Size[Price]))</f>
        <v/>
      </c>
      <c r="G189" s="16" t="str">
        <f>IF('Bulk Order Details'!J199="","",_xlfn.XLOOKUP('Bulk Order Details'!J199,Length[Display],Length[Price]))</f>
        <v/>
      </c>
      <c r="H189" s="16" t="str">
        <f>IF('Bulk Order Details'!K199="","",_xlfn.XLOOKUP('Bulk Order Details'!K199,Collection[Display],Collection[Price]))</f>
        <v/>
      </c>
      <c r="I189" s="16" t="str">
        <f>IF('Bulk Order Details'!L199="","",_xlfn.XLOOKUP('Bulk Order Details'!L199,Sleeve[Display],Sleeve[Price]))</f>
        <v/>
      </c>
      <c r="J189" s="16" t="str">
        <f>IF('Bulk Order Details'!M199="","",_xlfn.XLOOKUP('Bulk Order Details'!M199,Collar[Display],Collar[Price]))</f>
        <v/>
      </c>
      <c r="K189" s="16" t="str">
        <f>IF('Bulk Order Details'!N199="","",_xlfn.XLOOKUP("Name",Name[Name],Name[Price]))</f>
        <v/>
      </c>
      <c r="L189" s="18" t="str">
        <f>IFERROR(IF('Bulk Order Details'!R199="","",IF(_xlfn.XLOOKUP('Bulk Order Details'!R199,Logos[Display],Logos[Use])="Flat",_xlfn.XLOOKUP('Bulk Order Details'!R199,Logos[Display],Logos[Flat]),ROUND(_xlfn.XLOOKUP('Bulk Order Details'!R199,Logos[Display],Logos[Pct])*$E189,2))),"")</f>
        <v/>
      </c>
      <c r="M189" s="22" t="str">
        <f>IFERROR(IF('Bulk Order Details'!S199="","",IF(_xlfn.XLOOKUP('Bulk Order Details'!S199,Chest[Display],Chest[Use])="Flat",_xlfn.XLOOKUP('Bulk Order Details'!S199,Chest[Display],Chest[Flat]),ROUND(_xlfn.XLOOKUP('Bulk Order Details'!S199,Chest[Display],Chest[Pct])*$E189,2))),"")</f>
        <v/>
      </c>
      <c r="N189" s="22" t="str">
        <f>IFERROR(IF('Bulk Order Details'!T199="","",IF(_xlfn.XLOOKUP('Bulk Order Details'!T199,Chest[Display],Chest[Use])="Flat",_xlfn.XLOOKUP('Bulk Order Details'!T199,Chest[Display],Chest[Flat]),ROUND(_xlfn.XLOOKUP('Bulk Order Details'!T199,Chest[Display],Chest[Pct])*$E189,2))),"")</f>
        <v/>
      </c>
      <c r="O189" s="22" t="str">
        <f>IFERROR(IF('Bulk Order Details'!U199="","",IF(_xlfn.XLOOKUP('Bulk Order Details'!U199,LeftSleeve[Display],LeftSleeve[Use])="Flat",_xlfn.XLOOKUP('Bulk Order Details'!U199,LeftSleeve[Display],LeftSleeve[Flat]),ROUND(_xlfn.XLOOKUP('Bulk Order Details'!U199,LeftSleeve[Display],LeftSleeve[Pct])*$E189,2))),"")</f>
        <v/>
      </c>
      <c r="P189" s="22" t="str">
        <f>IFERROR(IF('Bulk Order Details'!V199="","",IF(_xlfn.XLOOKUP('Bulk Order Details'!V199,RightSleeve[Display],RightSleeve[Use])="Flat",_xlfn.XLOOKUP('Bulk Order Details'!V199,RightSleeve[Display],RightSleeve[Flat]),ROUND(_xlfn.XLOOKUP('Bulk Order Details'!V199,RightSleeve[Display],RightSleeve[Pct])*$E189,2))),"")</f>
        <v/>
      </c>
      <c r="Q189" s="27" t="str">
        <f>IF('Bulk Order Details'!M199="","",SUM(F189:P189))</f>
        <v/>
      </c>
      <c r="R189" s="24" t="str">
        <f t="shared" si="11"/>
        <v/>
      </c>
      <c r="S189" s="23" t="str">
        <f>IFERROR(MIN(IF(Summary!$D$11="Yes",-J189,0),IF(H189&gt;0,-J189,0)),"")</f>
        <v/>
      </c>
      <c r="T189" s="16" t="str">
        <f>IFERROR(IF(Summary!$D$10="Yes",-K189,""),"")</f>
        <v/>
      </c>
      <c r="U189" s="18" t="str">
        <f>IFERROR(IF(Summary!$D$12="Yes",-L189,""),"")</f>
        <v/>
      </c>
      <c r="V189" s="25" t="str">
        <f>IF('Bulk Order Details'!M199="","",SUM(R189:U189))</f>
        <v/>
      </c>
      <c r="W189" s="36" t="str">
        <f>IF('Bulk Order Details'!M199="","",D189+Q189)</f>
        <v/>
      </c>
      <c r="X189" s="37" t="str">
        <f>IF('Bulk Order Details'!M199="","",D189+Q189+V189)</f>
        <v/>
      </c>
      <c r="Y189" s="168" t="str">
        <f t="shared" si="10"/>
        <v/>
      </c>
      <c r="Z189" s="173" t="str">
        <f>IF('Bulk Order Details'!M199="","",MAX(1,'Bulk Order Details'!G199))</f>
        <v/>
      </c>
      <c r="AA189" s="196" t="str">
        <f>IF(Pricing_Details[[#This Row],[Quantity]]="","",Pricing_Details[[#This Row],[Retail Price]]*Pricing_Details[[#This Row],[Quantity]])</f>
        <v/>
      </c>
      <c r="AB189" s="196" t="str">
        <f>IF(Pricing_Details[[#This Row],[Quantity]]="","",Pricing_Details[[#This Row],[Total Discount]]*Pricing_Details[[#This Row],[Quantity]])</f>
        <v/>
      </c>
      <c r="AC189" s="176" t="str">
        <f>IFERROR(ROUND(Pricing_Details[[#This Row],[Actual Price]]*Pricing_Details[[#This Row],[Quantity]],2),"")</f>
        <v/>
      </c>
      <c r="AE189" s="156" t="str">
        <f>IF('Bulk Order Details'!M199="","",VLOOKUP('Bulk Order Details'!K199,Collection[],3)&amp;VLOOKUP('Bulk Order Details'!M199,Collar[],4)&amp;VLOOKUP('Bulk Order Details'!L199,Sleeve[],4))</f>
        <v/>
      </c>
      <c r="AF189" s="156" t="str">
        <f>IF('Bulk Order Details'!M199="","",LOOKUP('Bulk Order Details'!H199,Cut[Display],Cut[Code])&amp;LOOKUP('Bulk Order Details'!I199,#REF!,#REF!)&amp;IF('Bulk Order Details'!J199="","",LOOKUP('Bulk Order Details'!J199,Length[Display],Length[Code])))</f>
        <v/>
      </c>
      <c r="AG189" s="156" t="str">
        <f>IF('Bulk Order Details'!M199="","",IF('Bulk Order Details'!F199="","",'Bulk Order Details'!F199))</f>
        <v/>
      </c>
      <c r="AH189" s="156" t="str">
        <f>IF('Bulk Order Details'!R199="","","-"&amp;LOOKUP('Bulk Order Details'!R199,#REF!,#REF!))</f>
        <v/>
      </c>
      <c r="AI189" s="156" t="str">
        <f>IF('Bulk Order Details'!S199="","","-"&amp;LOOKUP('Bulk Order Details'!S199,#REF!,#REF!))</f>
        <v/>
      </c>
      <c r="AJ189" s="156" t="str">
        <f>IF('Bulk Order Details'!T199="","","-"&amp;LOOKUP('Bulk Order Details'!T199,#REF!,#REF!))</f>
        <v/>
      </c>
      <c r="AK189" s="156" t="str">
        <f>IF('Bulk Order Details'!U199="","","-"&amp;LOOKUP('Bulk Order Details'!U199,#REF!,#REF!))</f>
        <v/>
      </c>
      <c r="AL189" s="156" t="str">
        <f>IF('Bulk Order Details'!V199="","","-"&amp;LOOKUP('Bulk Order Details'!V199,#REF!,#REF!))</f>
        <v/>
      </c>
      <c r="AM189" s="156" t="str">
        <f t="shared" si="12"/>
        <v/>
      </c>
      <c r="AN189" s="156" t="str">
        <f>IF('Bulk Order Details'!N199="","","Na-"&amp;'Bulk Order Details'!N199)</f>
        <v/>
      </c>
      <c r="AO189" s="156" t="str">
        <f>IF('Bulk Order Details'!Q199="","","Fo-"&amp;'Bulk Order Details'!Q199)</f>
        <v/>
      </c>
      <c r="AP189" s="156" t="str">
        <f t="shared" si="13"/>
        <v/>
      </c>
      <c r="AQ189" s="37" t="str">
        <f t="shared" si="14"/>
        <v/>
      </c>
    </row>
    <row r="190" spans="2:43" ht="15" customHeight="1" x14ac:dyDescent="0.2">
      <c r="B190" s="34">
        <f>'Bulk Order Details'!B200</f>
        <v>187</v>
      </c>
      <c r="C190" s="34" t="str">
        <f>IF('Bulk Order Details'!C200="","",'Bulk Order Details'!C200&amp;" "&amp;'Bulk Order Details'!D200)</f>
        <v/>
      </c>
      <c r="D190" s="31" t="str">
        <f>IF('Bulk Order Details'!M200="","",VLOOKUP(1,Price[],3))</f>
        <v/>
      </c>
      <c r="E190" s="29" t="str">
        <f>IF('Bulk Order Details'!M200="","",Summary!$D$9)</f>
        <v/>
      </c>
      <c r="F190" s="16" t="str">
        <f>IF('Bulk Order Details'!I200="","",_xlfn.XLOOKUP('Bulk Order Details'!I200,Size[Display],Size[Price]))</f>
        <v/>
      </c>
      <c r="G190" s="16" t="str">
        <f>IF('Bulk Order Details'!J200="","",_xlfn.XLOOKUP('Bulk Order Details'!J200,Length[Display],Length[Price]))</f>
        <v/>
      </c>
      <c r="H190" s="16" t="str">
        <f>IF('Bulk Order Details'!K200="","",_xlfn.XLOOKUP('Bulk Order Details'!K200,Collection[Display],Collection[Price]))</f>
        <v/>
      </c>
      <c r="I190" s="16" t="str">
        <f>IF('Bulk Order Details'!L200="","",_xlfn.XLOOKUP('Bulk Order Details'!L200,Sleeve[Display],Sleeve[Price]))</f>
        <v/>
      </c>
      <c r="J190" s="16" t="str">
        <f>IF('Bulk Order Details'!M200="","",_xlfn.XLOOKUP('Bulk Order Details'!M200,Collar[Display],Collar[Price]))</f>
        <v/>
      </c>
      <c r="K190" s="16" t="str">
        <f>IF('Bulk Order Details'!N200="","",_xlfn.XLOOKUP("Name",Name[Name],Name[Price]))</f>
        <v/>
      </c>
      <c r="L190" s="18" t="str">
        <f>IFERROR(IF('Bulk Order Details'!R200="","",IF(_xlfn.XLOOKUP('Bulk Order Details'!R200,Logos[Display],Logos[Use])="Flat",_xlfn.XLOOKUP('Bulk Order Details'!R200,Logos[Display],Logos[Flat]),ROUND(_xlfn.XLOOKUP('Bulk Order Details'!R200,Logos[Display],Logos[Pct])*$E190,2))),"")</f>
        <v/>
      </c>
      <c r="M190" s="22" t="str">
        <f>IFERROR(IF('Bulk Order Details'!S200="","",IF(_xlfn.XLOOKUP('Bulk Order Details'!S200,Chest[Display],Chest[Use])="Flat",_xlfn.XLOOKUP('Bulk Order Details'!S200,Chest[Display],Chest[Flat]),ROUND(_xlfn.XLOOKUP('Bulk Order Details'!S200,Chest[Display],Chest[Pct])*$E190,2))),"")</f>
        <v/>
      </c>
      <c r="N190" s="22" t="str">
        <f>IFERROR(IF('Bulk Order Details'!T200="","",IF(_xlfn.XLOOKUP('Bulk Order Details'!T200,Chest[Display],Chest[Use])="Flat",_xlfn.XLOOKUP('Bulk Order Details'!T200,Chest[Display],Chest[Flat]),ROUND(_xlfn.XLOOKUP('Bulk Order Details'!T200,Chest[Display],Chest[Pct])*$E190,2))),"")</f>
        <v/>
      </c>
      <c r="O190" s="22" t="str">
        <f>IFERROR(IF('Bulk Order Details'!U200="","",IF(_xlfn.XLOOKUP('Bulk Order Details'!U200,LeftSleeve[Display],LeftSleeve[Use])="Flat",_xlfn.XLOOKUP('Bulk Order Details'!U200,LeftSleeve[Display],LeftSleeve[Flat]),ROUND(_xlfn.XLOOKUP('Bulk Order Details'!U200,LeftSleeve[Display],LeftSleeve[Pct])*$E190,2))),"")</f>
        <v/>
      </c>
      <c r="P190" s="22" t="str">
        <f>IFERROR(IF('Bulk Order Details'!V200="","",IF(_xlfn.XLOOKUP('Bulk Order Details'!V200,RightSleeve[Display],RightSleeve[Use])="Flat",_xlfn.XLOOKUP('Bulk Order Details'!V200,RightSleeve[Display],RightSleeve[Flat]),ROUND(_xlfn.XLOOKUP('Bulk Order Details'!V200,RightSleeve[Display],RightSleeve[Pct])*$E190,2))),"")</f>
        <v/>
      </c>
      <c r="Q190" s="27" t="str">
        <f>IF('Bulk Order Details'!M200="","",SUM(F190:P190))</f>
        <v/>
      </c>
      <c r="R190" s="24" t="str">
        <f t="shared" si="11"/>
        <v/>
      </c>
      <c r="S190" s="23" t="str">
        <f>IFERROR(MIN(IF(Summary!$D$11="Yes",-J190,0),IF(H190&gt;0,-J190,0)),"")</f>
        <v/>
      </c>
      <c r="T190" s="16" t="str">
        <f>IFERROR(IF(Summary!$D$10="Yes",-K190,""),"")</f>
        <v/>
      </c>
      <c r="U190" s="18" t="str">
        <f>IFERROR(IF(Summary!$D$12="Yes",-L190,""),"")</f>
        <v/>
      </c>
      <c r="V190" s="25" t="str">
        <f>IF('Bulk Order Details'!M200="","",SUM(R190:U190))</f>
        <v/>
      </c>
      <c r="W190" s="36" t="str">
        <f>IF('Bulk Order Details'!M200="","",D190+Q190)</f>
        <v/>
      </c>
      <c r="X190" s="37" t="str">
        <f>IF('Bulk Order Details'!M200="","",D190+Q190+V190)</f>
        <v/>
      </c>
      <c r="Y190" s="168" t="str">
        <f t="shared" si="10"/>
        <v/>
      </c>
      <c r="Z190" s="173" t="str">
        <f>IF('Bulk Order Details'!M200="","",MAX(1,'Bulk Order Details'!G200))</f>
        <v/>
      </c>
      <c r="AA190" s="196" t="str">
        <f>IF(Pricing_Details[[#This Row],[Quantity]]="","",Pricing_Details[[#This Row],[Retail Price]]*Pricing_Details[[#This Row],[Quantity]])</f>
        <v/>
      </c>
      <c r="AB190" s="196" t="str">
        <f>IF(Pricing_Details[[#This Row],[Quantity]]="","",Pricing_Details[[#This Row],[Total Discount]]*Pricing_Details[[#This Row],[Quantity]])</f>
        <v/>
      </c>
      <c r="AC190" s="176" t="str">
        <f>IFERROR(ROUND(Pricing_Details[[#This Row],[Actual Price]]*Pricing_Details[[#This Row],[Quantity]],2),"")</f>
        <v/>
      </c>
      <c r="AE190" s="156" t="str">
        <f>IF('Bulk Order Details'!M200="","",VLOOKUP('Bulk Order Details'!K200,Collection[],3)&amp;VLOOKUP('Bulk Order Details'!M200,Collar[],4)&amp;VLOOKUP('Bulk Order Details'!L200,Sleeve[],4))</f>
        <v/>
      </c>
      <c r="AF190" s="156" t="str">
        <f>IF('Bulk Order Details'!M200="","",LOOKUP('Bulk Order Details'!H200,Cut[Display],Cut[Code])&amp;LOOKUP('Bulk Order Details'!I200,#REF!,#REF!)&amp;IF('Bulk Order Details'!J200="","",LOOKUP('Bulk Order Details'!J200,Length[Display],Length[Code])))</f>
        <v/>
      </c>
      <c r="AG190" s="156" t="str">
        <f>IF('Bulk Order Details'!M200="","",IF('Bulk Order Details'!F200="","",'Bulk Order Details'!F200))</f>
        <v/>
      </c>
      <c r="AH190" s="156" t="str">
        <f>IF('Bulk Order Details'!R200="","","-"&amp;LOOKUP('Bulk Order Details'!R200,#REF!,#REF!))</f>
        <v/>
      </c>
      <c r="AI190" s="156" t="str">
        <f>IF('Bulk Order Details'!S200="","","-"&amp;LOOKUP('Bulk Order Details'!S200,#REF!,#REF!))</f>
        <v/>
      </c>
      <c r="AJ190" s="156" t="str">
        <f>IF('Bulk Order Details'!T200="","","-"&amp;LOOKUP('Bulk Order Details'!T200,#REF!,#REF!))</f>
        <v/>
      </c>
      <c r="AK190" s="156" t="str">
        <f>IF('Bulk Order Details'!U200="","","-"&amp;LOOKUP('Bulk Order Details'!U200,#REF!,#REF!))</f>
        <v/>
      </c>
      <c r="AL190" s="156" t="str">
        <f>IF('Bulk Order Details'!V200="","","-"&amp;LOOKUP('Bulk Order Details'!V200,#REF!,#REF!))</f>
        <v/>
      </c>
      <c r="AM190" s="156" t="str">
        <f t="shared" si="12"/>
        <v/>
      </c>
      <c r="AN190" s="156" t="str">
        <f>IF('Bulk Order Details'!N200="","","Na-"&amp;'Bulk Order Details'!N200)</f>
        <v/>
      </c>
      <c r="AO190" s="156" t="str">
        <f>IF('Bulk Order Details'!Q200="","","Fo-"&amp;'Bulk Order Details'!Q200)</f>
        <v/>
      </c>
      <c r="AP190" s="156" t="str">
        <f t="shared" si="13"/>
        <v/>
      </c>
      <c r="AQ190" s="37" t="str">
        <f t="shared" si="14"/>
        <v/>
      </c>
    </row>
    <row r="191" spans="2:43" ht="15" customHeight="1" x14ac:dyDescent="0.2">
      <c r="B191" s="34">
        <f>'Bulk Order Details'!B201</f>
        <v>188</v>
      </c>
      <c r="C191" s="34" t="str">
        <f>IF('Bulk Order Details'!C201="","",'Bulk Order Details'!C201&amp;" "&amp;'Bulk Order Details'!D201)</f>
        <v/>
      </c>
      <c r="D191" s="31" t="str">
        <f>IF('Bulk Order Details'!M201="","",VLOOKUP(1,Price[],3))</f>
        <v/>
      </c>
      <c r="E191" s="29" t="str">
        <f>IF('Bulk Order Details'!M201="","",Summary!$D$9)</f>
        <v/>
      </c>
      <c r="F191" s="16" t="str">
        <f>IF('Bulk Order Details'!I201="","",_xlfn.XLOOKUP('Bulk Order Details'!I201,Size[Display],Size[Price]))</f>
        <v/>
      </c>
      <c r="G191" s="16" t="str">
        <f>IF('Bulk Order Details'!J201="","",_xlfn.XLOOKUP('Bulk Order Details'!J201,Length[Display],Length[Price]))</f>
        <v/>
      </c>
      <c r="H191" s="16" t="str">
        <f>IF('Bulk Order Details'!K201="","",_xlfn.XLOOKUP('Bulk Order Details'!K201,Collection[Display],Collection[Price]))</f>
        <v/>
      </c>
      <c r="I191" s="16" t="str">
        <f>IF('Bulk Order Details'!L201="","",_xlfn.XLOOKUP('Bulk Order Details'!L201,Sleeve[Display],Sleeve[Price]))</f>
        <v/>
      </c>
      <c r="J191" s="16" t="str">
        <f>IF('Bulk Order Details'!M201="","",_xlfn.XLOOKUP('Bulk Order Details'!M201,Collar[Display],Collar[Price]))</f>
        <v/>
      </c>
      <c r="K191" s="16" t="str">
        <f>IF('Bulk Order Details'!N201="","",_xlfn.XLOOKUP("Name",Name[Name],Name[Price]))</f>
        <v/>
      </c>
      <c r="L191" s="18" t="str">
        <f>IFERROR(IF('Bulk Order Details'!R201="","",IF(_xlfn.XLOOKUP('Bulk Order Details'!R201,Logos[Display],Logos[Use])="Flat",_xlfn.XLOOKUP('Bulk Order Details'!R201,Logos[Display],Logos[Flat]),ROUND(_xlfn.XLOOKUP('Bulk Order Details'!R201,Logos[Display],Logos[Pct])*$E191,2))),"")</f>
        <v/>
      </c>
      <c r="M191" s="22" t="str">
        <f>IFERROR(IF('Bulk Order Details'!S201="","",IF(_xlfn.XLOOKUP('Bulk Order Details'!S201,Chest[Display],Chest[Use])="Flat",_xlfn.XLOOKUP('Bulk Order Details'!S201,Chest[Display],Chest[Flat]),ROUND(_xlfn.XLOOKUP('Bulk Order Details'!S201,Chest[Display],Chest[Pct])*$E191,2))),"")</f>
        <v/>
      </c>
      <c r="N191" s="22" t="str">
        <f>IFERROR(IF('Bulk Order Details'!T201="","",IF(_xlfn.XLOOKUP('Bulk Order Details'!T201,Chest[Display],Chest[Use])="Flat",_xlfn.XLOOKUP('Bulk Order Details'!T201,Chest[Display],Chest[Flat]),ROUND(_xlfn.XLOOKUP('Bulk Order Details'!T201,Chest[Display],Chest[Pct])*$E191,2))),"")</f>
        <v/>
      </c>
      <c r="O191" s="22" t="str">
        <f>IFERROR(IF('Bulk Order Details'!U201="","",IF(_xlfn.XLOOKUP('Bulk Order Details'!U201,LeftSleeve[Display],LeftSleeve[Use])="Flat",_xlfn.XLOOKUP('Bulk Order Details'!U201,LeftSleeve[Display],LeftSleeve[Flat]),ROUND(_xlfn.XLOOKUP('Bulk Order Details'!U201,LeftSleeve[Display],LeftSleeve[Pct])*$E191,2))),"")</f>
        <v/>
      </c>
      <c r="P191" s="22" t="str">
        <f>IFERROR(IF('Bulk Order Details'!V201="","",IF(_xlfn.XLOOKUP('Bulk Order Details'!V201,RightSleeve[Display],RightSleeve[Use])="Flat",_xlfn.XLOOKUP('Bulk Order Details'!V201,RightSleeve[Display],RightSleeve[Flat]),ROUND(_xlfn.XLOOKUP('Bulk Order Details'!V201,RightSleeve[Display],RightSleeve[Pct])*$E191,2))),"")</f>
        <v/>
      </c>
      <c r="Q191" s="27" t="str">
        <f>IF('Bulk Order Details'!M201="","",SUM(F191:P191))</f>
        <v/>
      </c>
      <c r="R191" s="24" t="str">
        <f t="shared" si="11"/>
        <v/>
      </c>
      <c r="S191" s="23" t="str">
        <f>IFERROR(MIN(IF(Summary!$D$11="Yes",-J191,0),IF(H191&gt;0,-J191,0)),"")</f>
        <v/>
      </c>
      <c r="T191" s="16" t="str">
        <f>IFERROR(IF(Summary!$D$10="Yes",-K191,""),"")</f>
        <v/>
      </c>
      <c r="U191" s="18" t="str">
        <f>IFERROR(IF(Summary!$D$12="Yes",-L191,""),"")</f>
        <v/>
      </c>
      <c r="V191" s="25" t="str">
        <f>IF('Bulk Order Details'!M201="","",SUM(R191:U191))</f>
        <v/>
      </c>
      <c r="W191" s="36" t="str">
        <f>IF('Bulk Order Details'!M201="","",D191+Q191)</f>
        <v/>
      </c>
      <c r="X191" s="37" t="str">
        <f>IF('Bulk Order Details'!M201="","",D191+Q191+V191)</f>
        <v/>
      </c>
      <c r="Y191" s="168" t="str">
        <f t="shared" si="10"/>
        <v/>
      </c>
      <c r="Z191" s="173" t="str">
        <f>IF('Bulk Order Details'!M201="","",MAX(1,'Bulk Order Details'!G201))</f>
        <v/>
      </c>
      <c r="AA191" s="196" t="str">
        <f>IF(Pricing_Details[[#This Row],[Quantity]]="","",Pricing_Details[[#This Row],[Retail Price]]*Pricing_Details[[#This Row],[Quantity]])</f>
        <v/>
      </c>
      <c r="AB191" s="196" t="str">
        <f>IF(Pricing_Details[[#This Row],[Quantity]]="","",Pricing_Details[[#This Row],[Total Discount]]*Pricing_Details[[#This Row],[Quantity]])</f>
        <v/>
      </c>
      <c r="AC191" s="176" t="str">
        <f>IFERROR(ROUND(Pricing_Details[[#This Row],[Actual Price]]*Pricing_Details[[#This Row],[Quantity]],2),"")</f>
        <v/>
      </c>
      <c r="AE191" s="156" t="str">
        <f>IF('Bulk Order Details'!M201="","",VLOOKUP('Bulk Order Details'!K201,Collection[],3)&amp;VLOOKUP('Bulk Order Details'!M201,Collar[],4)&amp;VLOOKUP('Bulk Order Details'!L201,Sleeve[],4))</f>
        <v/>
      </c>
      <c r="AF191" s="156" t="str">
        <f>IF('Bulk Order Details'!M201="","",LOOKUP('Bulk Order Details'!H201,Cut[Display],Cut[Code])&amp;LOOKUP('Bulk Order Details'!I201,#REF!,#REF!)&amp;IF('Bulk Order Details'!J201="","",LOOKUP('Bulk Order Details'!J201,Length[Display],Length[Code])))</f>
        <v/>
      </c>
      <c r="AG191" s="156" t="str">
        <f>IF('Bulk Order Details'!M201="","",IF('Bulk Order Details'!F201="","",'Bulk Order Details'!F201))</f>
        <v/>
      </c>
      <c r="AH191" s="156" t="str">
        <f>IF('Bulk Order Details'!R201="","","-"&amp;LOOKUP('Bulk Order Details'!R201,#REF!,#REF!))</f>
        <v/>
      </c>
      <c r="AI191" s="156" t="str">
        <f>IF('Bulk Order Details'!S201="","","-"&amp;LOOKUP('Bulk Order Details'!S201,#REF!,#REF!))</f>
        <v/>
      </c>
      <c r="AJ191" s="156" t="str">
        <f>IF('Bulk Order Details'!T201="","","-"&amp;LOOKUP('Bulk Order Details'!T201,#REF!,#REF!))</f>
        <v/>
      </c>
      <c r="AK191" s="156" t="str">
        <f>IF('Bulk Order Details'!U201="","","-"&amp;LOOKUP('Bulk Order Details'!U201,#REF!,#REF!))</f>
        <v/>
      </c>
      <c r="AL191" s="156" t="str">
        <f>IF('Bulk Order Details'!V201="","","-"&amp;LOOKUP('Bulk Order Details'!V201,#REF!,#REF!))</f>
        <v/>
      </c>
      <c r="AM191" s="156" t="str">
        <f t="shared" si="12"/>
        <v/>
      </c>
      <c r="AN191" s="156" t="str">
        <f>IF('Bulk Order Details'!N201="","","Na-"&amp;'Bulk Order Details'!N201)</f>
        <v/>
      </c>
      <c r="AO191" s="156" t="str">
        <f>IF('Bulk Order Details'!Q201="","","Fo-"&amp;'Bulk Order Details'!Q201)</f>
        <v/>
      </c>
      <c r="AP191" s="156" t="str">
        <f t="shared" si="13"/>
        <v/>
      </c>
      <c r="AQ191" s="37" t="str">
        <f t="shared" si="14"/>
        <v/>
      </c>
    </row>
    <row r="192" spans="2:43" ht="15" customHeight="1" x14ac:dyDescent="0.2">
      <c r="B192" s="34">
        <f>'Bulk Order Details'!B202</f>
        <v>189</v>
      </c>
      <c r="C192" s="34" t="str">
        <f>IF('Bulk Order Details'!C202="","",'Bulk Order Details'!C202&amp;" "&amp;'Bulk Order Details'!D202)</f>
        <v/>
      </c>
      <c r="D192" s="31" t="str">
        <f>IF('Bulk Order Details'!M202="","",VLOOKUP(1,Price[],3))</f>
        <v/>
      </c>
      <c r="E192" s="29" t="str">
        <f>IF('Bulk Order Details'!M202="","",Summary!$D$9)</f>
        <v/>
      </c>
      <c r="F192" s="16" t="str">
        <f>IF('Bulk Order Details'!I202="","",_xlfn.XLOOKUP('Bulk Order Details'!I202,Size[Display],Size[Price]))</f>
        <v/>
      </c>
      <c r="G192" s="16" t="str">
        <f>IF('Bulk Order Details'!J202="","",_xlfn.XLOOKUP('Bulk Order Details'!J202,Length[Display],Length[Price]))</f>
        <v/>
      </c>
      <c r="H192" s="16" t="str">
        <f>IF('Bulk Order Details'!K202="","",_xlfn.XLOOKUP('Bulk Order Details'!K202,Collection[Display],Collection[Price]))</f>
        <v/>
      </c>
      <c r="I192" s="16" t="str">
        <f>IF('Bulk Order Details'!L202="","",_xlfn.XLOOKUP('Bulk Order Details'!L202,Sleeve[Display],Sleeve[Price]))</f>
        <v/>
      </c>
      <c r="J192" s="16" t="str">
        <f>IF('Bulk Order Details'!M202="","",_xlfn.XLOOKUP('Bulk Order Details'!M202,Collar[Display],Collar[Price]))</f>
        <v/>
      </c>
      <c r="K192" s="16" t="str">
        <f>IF('Bulk Order Details'!N202="","",_xlfn.XLOOKUP("Name",Name[Name],Name[Price]))</f>
        <v/>
      </c>
      <c r="L192" s="18" t="str">
        <f>IFERROR(IF('Bulk Order Details'!R202="","",IF(_xlfn.XLOOKUP('Bulk Order Details'!R202,Logos[Display],Logos[Use])="Flat",_xlfn.XLOOKUP('Bulk Order Details'!R202,Logos[Display],Logos[Flat]),ROUND(_xlfn.XLOOKUP('Bulk Order Details'!R202,Logos[Display],Logos[Pct])*$E192,2))),"")</f>
        <v/>
      </c>
      <c r="M192" s="22" t="str">
        <f>IFERROR(IF('Bulk Order Details'!S202="","",IF(_xlfn.XLOOKUP('Bulk Order Details'!S202,Chest[Display],Chest[Use])="Flat",_xlfn.XLOOKUP('Bulk Order Details'!S202,Chest[Display],Chest[Flat]),ROUND(_xlfn.XLOOKUP('Bulk Order Details'!S202,Chest[Display],Chest[Pct])*$E192,2))),"")</f>
        <v/>
      </c>
      <c r="N192" s="22" t="str">
        <f>IFERROR(IF('Bulk Order Details'!T202="","",IF(_xlfn.XLOOKUP('Bulk Order Details'!T202,Chest[Display],Chest[Use])="Flat",_xlfn.XLOOKUP('Bulk Order Details'!T202,Chest[Display],Chest[Flat]),ROUND(_xlfn.XLOOKUP('Bulk Order Details'!T202,Chest[Display],Chest[Pct])*$E192,2))),"")</f>
        <v/>
      </c>
      <c r="O192" s="22" t="str">
        <f>IFERROR(IF('Bulk Order Details'!U202="","",IF(_xlfn.XLOOKUP('Bulk Order Details'!U202,LeftSleeve[Display],LeftSleeve[Use])="Flat",_xlfn.XLOOKUP('Bulk Order Details'!U202,LeftSleeve[Display],LeftSleeve[Flat]),ROUND(_xlfn.XLOOKUP('Bulk Order Details'!U202,LeftSleeve[Display],LeftSleeve[Pct])*$E192,2))),"")</f>
        <v/>
      </c>
      <c r="P192" s="22" t="str">
        <f>IFERROR(IF('Bulk Order Details'!V202="","",IF(_xlfn.XLOOKUP('Bulk Order Details'!V202,RightSleeve[Display],RightSleeve[Use])="Flat",_xlfn.XLOOKUP('Bulk Order Details'!V202,RightSleeve[Display],RightSleeve[Flat]),ROUND(_xlfn.XLOOKUP('Bulk Order Details'!V202,RightSleeve[Display],RightSleeve[Pct])*$E192,2))),"")</f>
        <v/>
      </c>
      <c r="Q192" s="27" t="str">
        <f>IF('Bulk Order Details'!M202="","",SUM(F192:P192))</f>
        <v/>
      </c>
      <c r="R192" s="24" t="str">
        <f t="shared" si="11"/>
        <v/>
      </c>
      <c r="S192" s="23" t="str">
        <f>IFERROR(MIN(IF(Summary!$D$11="Yes",-J192,0),IF(H192&gt;0,-J192,0)),"")</f>
        <v/>
      </c>
      <c r="T192" s="16" t="str">
        <f>IFERROR(IF(Summary!$D$10="Yes",-K192,""),"")</f>
        <v/>
      </c>
      <c r="U192" s="18" t="str">
        <f>IFERROR(IF(Summary!$D$12="Yes",-L192,""),"")</f>
        <v/>
      </c>
      <c r="V192" s="25" t="str">
        <f>IF('Bulk Order Details'!M202="","",SUM(R192:U192))</f>
        <v/>
      </c>
      <c r="W192" s="36" t="str">
        <f>IF('Bulk Order Details'!M202="","",D192+Q192)</f>
        <v/>
      </c>
      <c r="X192" s="37" t="str">
        <f>IF('Bulk Order Details'!M202="","",D192+Q192+V192)</f>
        <v/>
      </c>
      <c r="Y192" s="168" t="str">
        <f t="shared" si="10"/>
        <v/>
      </c>
      <c r="Z192" s="173" t="str">
        <f>IF('Bulk Order Details'!M202="","",MAX(1,'Bulk Order Details'!G202))</f>
        <v/>
      </c>
      <c r="AA192" s="196" t="str">
        <f>IF(Pricing_Details[[#This Row],[Quantity]]="","",Pricing_Details[[#This Row],[Retail Price]]*Pricing_Details[[#This Row],[Quantity]])</f>
        <v/>
      </c>
      <c r="AB192" s="196" t="str">
        <f>IF(Pricing_Details[[#This Row],[Quantity]]="","",Pricing_Details[[#This Row],[Total Discount]]*Pricing_Details[[#This Row],[Quantity]])</f>
        <v/>
      </c>
      <c r="AC192" s="176" t="str">
        <f>IFERROR(ROUND(Pricing_Details[[#This Row],[Actual Price]]*Pricing_Details[[#This Row],[Quantity]],2),"")</f>
        <v/>
      </c>
      <c r="AE192" s="156" t="str">
        <f>IF('Bulk Order Details'!M202="","",VLOOKUP('Bulk Order Details'!K202,Collection[],3)&amp;VLOOKUP('Bulk Order Details'!M202,Collar[],4)&amp;VLOOKUP('Bulk Order Details'!L202,Sleeve[],4))</f>
        <v/>
      </c>
      <c r="AF192" s="156" t="str">
        <f>IF('Bulk Order Details'!M202="","",LOOKUP('Bulk Order Details'!H202,Cut[Display],Cut[Code])&amp;LOOKUP('Bulk Order Details'!I202,#REF!,#REF!)&amp;IF('Bulk Order Details'!J202="","",LOOKUP('Bulk Order Details'!J202,Length[Display],Length[Code])))</f>
        <v/>
      </c>
      <c r="AG192" s="156" t="str">
        <f>IF('Bulk Order Details'!M202="","",IF('Bulk Order Details'!F202="","",'Bulk Order Details'!F202))</f>
        <v/>
      </c>
      <c r="AH192" s="156" t="str">
        <f>IF('Bulk Order Details'!R202="","","-"&amp;LOOKUP('Bulk Order Details'!R202,#REF!,#REF!))</f>
        <v/>
      </c>
      <c r="AI192" s="156" t="str">
        <f>IF('Bulk Order Details'!S202="","","-"&amp;LOOKUP('Bulk Order Details'!S202,#REF!,#REF!))</f>
        <v/>
      </c>
      <c r="AJ192" s="156" t="str">
        <f>IF('Bulk Order Details'!T202="","","-"&amp;LOOKUP('Bulk Order Details'!T202,#REF!,#REF!))</f>
        <v/>
      </c>
      <c r="AK192" s="156" t="str">
        <f>IF('Bulk Order Details'!U202="","","-"&amp;LOOKUP('Bulk Order Details'!U202,#REF!,#REF!))</f>
        <v/>
      </c>
      <c r="AL192" s="156" t="str">
        <f>IF('Bulk Order Details'!V202="","","-"&amp;LOOKUP('Bulk Order Details'!V202,#REF!,#REF!))</f>
        <v/>
      </c>
      <c r="AM192" s="156" t="str">
        <f t="shared" si="12"/>
        <v/>
      </c>
      <c r="AN192" s="156" t="str">
        <f>IF('Bulk Order Details'!N202="","","Na-"&amp;'Bulk Order Details'!N202)</f>
        <v/>
      </c>
      <c r="AO192" s="156" t="str">
        <f>IF('Bulk Order Details'!Q202="","","Fo-"&amp;'Bulk Order Details'!Q202)</f>
        <v/>
      </c>
      <c r="AP192" s="156" t="str">
        <f t="shared" si="13"/>
        <v/>
      </c>
      <c r="AQ192" s="37" t="str">
        <f t="shared" si="14"/>
        <v/>
      </c>
    </row>
    <row r="193" spans="2:43" ht="15" customHeight="1" x14ac:dyDescent="0.2">
      <c r="B193" s="34">
        <f>'Bulk Order Details'!B203</f>
        <v>190</v>
      </c>
      <c r="C193" s="34" t="str">
        <f>IF('Bulk Order Details'!C203="","",'Bulk Order Details'!C203&amp;" "&amp;'Bulk Order Details'!D203)</f>
        <v/>
      </c>
      <c r="D193" s="31" t="str">
        <f>IF('Bulk Order Details'!M203="","",VLOOKUP(1,Price[],3))</f>
        <v/>
      </c>
      <c r="E193" s="29" t="str">
        <f>IF('Bulk Order Details'!M203="","",Summary!$D$9)</f>
        <v/>
      </c>
      <c r="F193" s="16" t="str">
        <f>IF('Bulk Order Details'!I203="","",_xlfn.XLOOKUP('Bulk Order Details'!I203,Size[Display],Size[Price]))</f>
        <v/>
      </c>
      <c r="G193" s="16" t="str">
        <f>IF('Bulk Order Details'!J203="","",_xlfn.XLOOKUP('Bulk Order Details'!J203,Length[Display],Length[Price]))</f>
        <v/>
      </c>
      <c r="H193" s="16" t="str">
        <f>IF('Bulk Order Details'!K203="","",_xlfn.XLOOKUP('Bulk Order Details'!K203,Collection[Display],Collection[Price]))</f>
        <v/>
      </c>
      <c r="I193" s="16" t="str">
        <f>IF('Bulk Order Details'!L203="","",_xlfn.XLOOKUP('Bulk Order Details'!L203,Sleeve[Display],Sleeve[Price]))</f>
        <v/>
      </c>
      <c r="J193" s="16" t="str">
        <f>IF('Bulk Order Details'!M203="","",_xlfn.XLOOKUP('Bulk Order Details'!M203,Collar[Display],Collar[Price]))</f>
        <v/>
      </c>
      <c r="K193" s="16" t="str">
        <f>IF('Bulk Order Details'!N203="","",_xlfn.XLOOKUP("Name",Name[Name],Name[Price]))</f>
        <v/>
      </c>
      <c r="L193" s="18" t="str">
        <f>IFERROR(IF('Bulk Order Details'!R203="","",IF(_xlfn.XLOOKUP('Bulk Order Details'!R203,Logos[Display],Logos[Use])="Flat",_xlfn.XLOOKUP('Bulk Order Details'!R203,Logos[Display],Logos[Flat]),ROUND(_xlfn.XLOOKUP('Bulk Order Details'!R203,Logos[Display],Logos[Pct])*$E193,2))),"")</f>
        <v/>
      </c>
      <c r="M193" s="22" t="str">
        <f>IFERROR(IF('Bulk Order Details'!S203="","",IF(_xlfn.XLOOKUP('Bulk Order Details'!S203,Chest[Display],Chest[Use])="Flat",_xlfn.XLOOKUP('Bulk Order Details'!S203,Chest[Display],Chest[Flat]),ROUND(_xlfn.XLOOKUP('Bulk Order Details'!S203,Chest[Display],Chest[Pct])*$E193,2))),"")</f>
        <v/>
      </c>
      <c r="N193" s="22" t="str">
        <f>IFERROR(IF('Bulk Order Details'!T203="","",IF(_xlfn.XLOOKUP('Bulk Order Details'!T203,Chest[Display],Chest[Use])="Flat",_xlfn.XLOOKUP('Bulk Order Details'!T203,Chest[Display],Chest[Flat]),ROUND(_xlfn.XLOOKUP('Bulk Order Details'!T203,Chest[Display],Chest[Pct])*$E193,2))),"")</f>
        <v/>
      </c>
      <c r="O193" s="22" t="str">
        <f>IFERROR(IF('Bulk Order Details'!U203="","",IF(_xlfn.XLOOKUP('Bulk Order Details'!U203,LeftSleeve[Display],LeftSleeve[Use])="Flat",_xlfn.XLOOKUP('Bulk Order Details'!U203,LeftSleeve[Display],LeftSleeve[Flat]),ROUND(_xlfn.XLOOKUP('Bulk Order Details'!U203,LeftSleeve[Display],LeftSleeve[Pct])*$E193,2))),"")</f>
        <v/>
      </c>
      <c r="P193" s="22" t="str">
        <f>IFERROR(IF('Bulk Order Details'!V203="","",IF(_xlfn.XLOOKUP('Bulk Order Details'!V203,RightSleeve[Display],RightSleeve[Use])="Flat",_xlfn.XLOOKUP('Bulk Order Details'!V203,RightSleeve[Display],RightSleeve[Flat]),ROUND(_xlfn.XLOOKUP('Bulk Order Details'!V203,RightSleeve[Display],RightSleeve[Pct])*$E193,2))),"")</f>
        <v/>
      </c>
      <c r="Q193" s="27" t="str">
        <f>IF('Bulk Order Details'!M203="","",SUM(F193:P193))</f>
        <v/>
      </c>
      <c r="R193" s="24" t="str">
        <f t="shared" si="11"/>
        <v/>
      </c>
      <c r="S193" s="23" t="str">
        <f>IFERROR(MIN(IF(Summary!$D$11="Yes",-J193,0),IF(H193&gt;0,-J193,0)),"")</f>
        <v/>
      </c>
      <c r="T193" s="16" t="str">
        <f>IFERROR(IF(Summary!$D$10="Yes",-K193,""),"")</f>
        <v/>
      </c>
      <c r="U193" s="18" t="str">
        <f>IFERROR(IF(Summary!$D$12="Yes",-L193,""),"")</f>
        <v/>
      </c>
      <c r="V193" s="25" t="str">
        <f>IF('Bulk Order Details'!M203="","",SUM(R193:U193))</f>
        <v/>
      </c>
      <c r="W193" s="36" t="str">
        <f>IF('Bulk Order Details'!M203="","",D193+Q193)</f>
        <v/>
      </c>
      <c r="X193" s="37" t="str">
        <f>IF('Bulk Order Details'!M203="","",D193+Q193+V193)</f>
        <v/>
      </c>
      <c r="Y193" s="168" t="str">
        <f t="shared" si="10"/>
        <v/>
      </c>
      <c r="Z193" s="173" t="str">
        <f>IF('Bulk Order Details'!M203="","",MAX(1,'Bulk Order Details'!G203))</f>
        <v/>
      </c>
      <c r="AA193" s="196" t="str">
        <f>IF(Pricing_Details[[#This Row],[Quantity]]="","",Pricing_Details[[#This Row],[Retail Price]]*Pricing_Details[[#This Row],[Quantity]])</f>
        <v/>
      </c>
      <c r="AB193" s="196" t="str">
        <f>IF(Pricing_Details[[#This Row],[Quantity]]="","",Pricing_Details[[#This Row],[Total Discount]]*Pricing_Details[[#This Row],[Quantity]])</f>
        <v/>
      </c>
      <c r="AC193" s="176" t="str">
        <f>IFERROR(ROUND(Pricing_Details[[#This Row],[Actual Price]]*Pricing_Details[[#This Row],[Quantity]],2),"")</f>
        <v/>
      </c>
      <c r="AE193" s="156" t="str">
        <f>IF('Bulk Order Details'!M203="","",VLOOKUP('Bulk Order Details'!K203,Collection[],3)&amp;VLOOKUP('Bulk Order Details'!M203,Collar[],4)&amp;VLOOKUP('Bulk Order Details'!L203,Sleeve[],4))</f>
        <v/>
      </c>
      <c r="AF193" s="156" t="str">
        <f>IF('Bulk Order Details'!M203="","",LOOKUP('Bulk Order Details'!H203,Cut[Display],Cut[Code])&amp;LOOKUP('Bulk Order Details'!I203,#REF!,#REF!)&amp;IF('Bulk Order Details'!J203="","",LOOKUP('Bulk Order Details'!J203,Length[Display],Length[Code])))</f>
        <v/>
      </c>
      <c r="AG193" s="156" t="str">
        <f>IF('Bulk Order Details'!M203="","",IF('Bulk Order Details'!F203="","",'Bulk Order Details'!F203))</f>
        <v/>
      </c>
      <c r="AH193" s="156" t="str">
        <f>IF('Bulk Order Details'!R203="","","-"&amp;LOOKUP('Bulk Order Details'!R203,#REF!,#REF!))</f>
        <v/>
      </c>
      <c r="AI193" s="156" t="str">
        <f>IF('Bulk Order Details'!S203="","","-"&amp;LOOKUP('Bulk Order Details'!S203,#REF!,#REF!))</f>
        <v/>
      </c>
      <c r="AJ193" s="156" t="str">
        <f>IF('Bulk Order Details'!T203="","","-"&amp;LOOKUP('Bulk Order Details'!T203,#REF!,#REF!))</f>
        <v/>
      </c>
      <c r="AK193" s="156" t="str">
        <f>IF('Bulk Order Details'!U203="","","-"&amp;LOOKUP('Bulk Order Details'!U203,#REF!,#REF!))</f>
        <v/>
      </c>
      <c r="AL193" s="156" t="str">
        <f>IF('Bulk Order Details'!V203="","","-"&amp;LOOKUP('Bulk Order Details'!V203,#REF!,#REF!))</f>
        <v/>
      </c>
      <c r="AM193" s="156" t="str">
        <f t="shared" si="12"/>
        <v/>
      </c>
      <c r="AN193" s="156" t="str">
        <f>IF('Bulk Order Details'!N203="","","Na-"&amp;'Bulk Order Details'!N203)</f>
        <v/>
      </c>
      <c r="AO193" s="156" t="str">
        <f>IF('Bulk Order Details'!Q203="","","Fo-"&amp;'Bulk Order Details'!Q203)</f>
        <v/>
      </c>
      <c r="AP193" s="156" t="str">
        <f t="shared" si="13"/>
        <v/>
      </c>
      <c r="AQ193" s="37" t="str">
        <f t="shared" si="14"/>
        <v/>
      </c>
    </row>
    <row r="194" spans="2:43" ht="15" customHeight="1" x14ac:dyDescent="0.2">
      <c r="B194" s="34">
        <f>'Bulk Order Details'!B204</f>
        <v>191</v>
      </c>
      <c r="C194" s="34" t="str">
        <f>IF('Bulk Order Details'!C204="","",'Bulk Order Details'!C204&amp;" "&amp;'Bulk Order Details'!D204)</f>
        <v/>
      </c>
      <c r="D194" s="31" t="str">
        <f>IF('Bulk Order Details'!M204="","",VLOOKUP(1,Price[],3))</f>
        <v/>
      </c>
      <c r="E194" s="29" t="str">
        <f>IF('Bulk Order Details'!M204="","",Summary!$D$9)</f>
        <v/>
      </c>
      <c r="F194" s="16" t="str">
        <f>IF('Bulk Order Details'!I204="","",_xlfn.XLOOKUP('Bulk Order Details'!I204,Size[Display],Size[Price]))</f>
        <v/>
      </c>
      <c r="G194" s="16" t="str">
        <f>IF('Bulk Order Details'!J204="","",_xlfn.XLOOKUP('Bulk Order Details'!J204,Length[Display],Length[Price]))</f>
        <v/>
      </c>
      <c r="H194" s="16" t="str">
        <f>IF('Bulk Order Details'!K204="","",_xlfn.XLOOKUP('Bulk Order Details'!K204,Collection[Display],Collection[Price]))</f>
        <v/>
      </c>
      <c r="I194" s="16" t="str">
        <f>IF('Bulk Order Details'!L204="","",_xlfn.XLOOKUP('Bulk Order Details'!L204,Sleeve[Display],Sleeve[Price]))</f>
        <v/>
      </c>
      <c r="J194" s="16" t="str">
        <f>IF('Bulk Order Details'!M204="","",_xlfn.XLOOKUP('Bulk Order Details'!M204,Collar[Display],Collar[Price]))</f>
        <v/>
      </c>
      <c r="K194" s="16" t="str">
        <f>IF('Bulk Order Details'!N204="","",_xlfn.XLOOKUP("Name",Name[Name],Name[Price]))</f>
        <v/>
      </c>
      <c r="L194" s="18" t="str">
        <f>IFERROR(IF('Bulk Order Details'!R204="","",IF(_xlfn.XLOOKUP('Bulk Order Details'!R204,Logos[Display],Logos[Use])="Flat",_xlfn.XLOOKUP('Bulk Order Details'!R204,Logos[Display],Logos[Flat]),ROUND(_xlfn.XLOOKUP('Bulk Order Details'!R204,Logos[Display],Logos[Pct])*$E194,2))),"")</f>
        <v/>
      </c>
      <c r="M194" s="22" t="str">
        <f>IFERROR(IF('Bulk Order Details'!S204="","",IF(_xlfn.XLOOKUP('Bulk Order Details'!S204,Chest[Display],Chest[Use])="Flat",_xlfn.XLOOKUP('Bulk Order Details'!S204,Chest[Display],Chest[Flat]),ROUND(_xlfn.XLOOKUP('Bulk Order Details'!S204,Chest[Display],Chest[Pct])*$E194,2))),"")</f>
        <v/>
      </c>
      <c r="N194" s="22" t="str">
        <f>IFERROR(IF('Bulk Order Details'!T204="","",IF(_xlfn.XLOOKUP('Bulk Order Details'!T204,Chest[Display],Chest[Use])="Flat",_xlfn.XLOOKUP('Bulk Order Details'!T204,Chest[Display],Chest[Flat]),ROUND(_xlfn.XLOOKUP('Bulk Order Details'!T204,Chest[Display],Chest[Pct])*$E194,2))),"")</f>
        <v/>
      </c>
      <c r="O194" s="22" t="str">
        <f>IFERROR(IF('Bulk Order Details'!U204="","",IF(_xlfn.XLOOKUP('Bulk Order Details'!U204,LeftSleeve[Display],LeftSleeve[Use])="Flat",_xlfn.XLOOKUP('Bulk Order Details'!U204,LeftSleeve[Display],LeftSleeve[Flat]),ROUND(_xlfn.XLOOKUP('Bulk Order Details'!U204,LeftSleeve[Display],LeftSleeve[Pct])*$E194,2))),"")</f>
        <v/>
      </c>
      <c r="P194" s="22" t="str">
        <f>IFERROR(IF('Bulk Order Details'!V204="","",IF(_xlfn.XLOOKUP('Bulk Order Details'!V204,RightSleeve[Display],RightSleeve[Use])="Flat",_xlfn.XLOOKUP('Bulk Order Details'!V204,RightSleeve[Display],RightSleeve[Flat]),ROUND(_xlfn.XLOOKUP('Bulk Order Details'!V204,RightSleeve[Display],RightSleeve[Pct])*$E194,2))),"")</f>
        <v/>
      </c>
      <c r="Q194" s="27" t="str">
        <f>IF('Bulk Order Details'!M204="","",SUM(F194:P194))</f>
        <v/>
      </c>
      <c r="R194" s="24" t="str">
        <f t="shared" si="11"/>
        <v/>
      </c>
      <c r="S194" s="23" t="str">
        <f>IFERROR(MIN(IF(Summary!$D$11="Yes",-J194,0),IF(H194&gt;0,-J194,0)),"")</f>
        <v/>
      </c>
      <c r="T194" s="16" t="str">
        <f>IFERROR(IF(Summary!$D$10="Yes",-K194,""),"")</f>
        <v/>
      </c>
      <c r="U194" s="18" t="str">
        <f>IFERROR(IF(Summary!$D$12="Yes",-L194,""),"")</f>
        <v/>
      </c>
      <c r="V194" s="25" t="str">
        <f>IF('Bulk Order Details'!M204="","",SUM(R194:U194))</f>
        <v/>
      </c>
      <c r="W194" s="36" t="str">
        <f>IF('Bulk Order Details'!M204="","",D194+Q194)</f>
        <v/>
      </c>
      <c r="X194" s="37" t="str">
        <f>IF('Bulk Order Details'!M204="","",D194+Q194+V194)</f>
        <v/>
      </c>
      <c r="Y194" s="168" t="str">
        <f t="shared" si="10"/>
        <v/>
      </c>
      <c r="Z194" s="173" t="str">
        <f>IF('Bulk Order Details'!M204="","",MAX(1,'Bulk Order Details'!G204))</f>
        <v/>
      </c>
      <c r="AA194" s="196" t="str">
        <f>IF(Pricing_Details[[#This Row],[Quantity]]="","",Pricing_Details[[#This Row],[Retail Price]]*Pricing_Details[[#This Row],[Quantity]])</f>
        <v/>
      </c>
      <c r="AB194" s="196" t="str">
        <f>IF(Pricing_Details[[#This Row],[Quantity]]="","",Pricing_Details[[#This Row],[Total Discount]]*Pricing_Details[[#This Row],[Quantity]])</f>
        <v/>
      </c>
      <c r="AC194" s="176" t="str">
        <f>IFERROR(ROUND(Pricing_Details[[#This Row],[Actual Price]]*Pricing_Details[[#This Row],[Quantity]],2),"")</f>
        <v/>
      </c>
      <c r="AE194" s="156" t="str">
        <f>IF('Bulk Order Details'!M204="","",VLOOKUP('Bulk Order Details'!K204,Collection[],3)&amp;VLOOKUP('Bulk Order Details'!M204,Collar[],4)&amp;VLOOKUP('Bulk Order Details'!L204,Sleeve[],4))</f>
        <v/>
      </c>
      <c r="AF194" s="156" t="str">
        <f>IF('Bulk Order Details'!M204="","",LOOKUP('Bulk Order Details'!H204,Cut[Display],Cut[Code])&amp;LOOKUP('Bulk Order Details'!I204,#REF!,#REF!)&amp;IF('Bulk Order Details'!J204="","",LOOKUP('Bulk Order Details'!J204,Length[Display],Length[Code])))</f>
        <v/>
      </c>
      <c r="AG194" s="156" t="str">
        <f>IF('Bulk Order Details'!M204="","",IF('Bulk Order Details'!F204="","",'Bulk Order Details'!F204))</f>
        <v/>
      </c>
      <c r="AH194" s="156" t="str">
        <f>IF('Bulk Order Details'!R204="","","-"&amp;LOOKUP('Bulk Order Details'!R204,#REF!,#REF!))</f>
        <v/>
      </c>
      <c r="AI194" s="156" t="str">
        <f>IF('Bulk Order Details'!S204="","","-"&amp;LOOKUP('Bulk Order Details'!S204,#REF!,#REF!))</f>
        <v/>
      </c>
      <c r="AJ194" s="156" t="str">
        <f>IF('Bulk Order Details'!T204="","","-"&amp;LOOKUP('Bulk Order Details'!T204,#REF!,#REF!))</f>
        <v/>
      </c>
      <c r="AK194" s="156" t="str">
        <f>IF('Bulk Order Details'!U204="","","-"&amp;LOOKUP('Bulk Order Details'!U204,#REF!,#REF!))</f>
        <v/>
      </c>
      <c r="AL194" s="156" t="str">
        <f>IF('Bulk Order Details'!V204="","","-"&amp;LOOKUP('Bulk Order Details'!V204,#REF!,#REF!))</f>
        <v/>
      </c>
      <c r="AM194" s="156" t="str">
        <f t="shared" si="12"/>
        <v/>
      </c>
      <c r="AN194" s="156" t="str">
        <f>IF('Bulk Order Details'!N204="","","Na-"&amp;'Bulk Order Details'!N204)</f>
        <v/>
      </c>
      <c r="AO194" s="156" t="str">
        <f>IF('Bulk Order Details'!Q204="","","Fo-"&amp;'Bulk Order Details'!Q204)</f>
        <v/>
      </c>
      <c r="AP194" s="156" t="str">
        <f t="shared" si="13"/>
        <v/>
      </c>
      <c r="AQ194" s="37" t="str">
        <f t="shared" si="14"/>
        <v/>
      </c>
    </row>
    <row r="195" spans="2:43" ht="15" customHeight="1" x14ac:dyDescent="0.2">
      <c r="B195" s="34">
        <f>'Bulk Order Details'!B205</f>
        <v>192</v>
      </c>
      <c r="C195" s="34" t="str">
        <f>IF('Bulk Order Details'!C205="","",'Bulk Order Details'!C205&amp;" "&amp;'Bulk Order Details'!D205)</f>
        <v/>
      </c>
      <c r="D195" s="31" t="str">
        <f>IF('Bulk Order Details'!M205="","",VLOOKUP(1,Price[],3))</f>
        <v/>
      </c>
      <c r="E195" s="29" t="str">
        <f>IF('Bulk Order Details'!M205="","",Summary!$D$9)</f>
        <v/>
      </c>
      <c r="F195" s="16" t="str">
        <f>IF('Bulk Order Details'!I205="","",_xlfn.XLOOKUP('Bulk Order Details'!I205,Size[Display],Size[Price]))</f>
        <v/>
      </c>
      <c r="G195" s="16" t="str">
        <f>IF('Bulk Order Details'!J205="","",_xlfn.XLOOKUP('Bulk Order Details'!J205,Length[Display],Length[Price]))</f>
        <v/>
      </c>
      <c r="H195" s="16" t="str">
        <f>IF('Bulk Order Details'!K205="","",_xlfn.XLOOKUP('Bulk Order Details'!K205,Collection[Display],Collection[Price]))</f>
        <v/>
      </c>
      <c r="I195" s="16" t="str">
        <f>IF('Bulk Order Details'!L205="","",_xlfn.XLOOKUP('Bulk Order Details'!L205,Sleeve[Display],Sleeve[Price]))</f>
        <v/>
      </c>
      <c r="J195" s="16" t="str">
        <f>IF('Bulk Order Details'!M205="","",_xlfn.XLOOKUP('Bulk Order Details'!M205,Collar[Display],Collar[Price]))</f>
        <v/>
      </c>
      <c r="K195" s="16" t="str">
        <f>IF('Bulk Order Details'!N205="","",_xlfn.XLOOKUP("Name",Name[Name],Name[Price]))</f>
        <v/>
      </c>
      <c r="L195" s="18" t="str">
        <f>IFERROR(IF('Bulk Order Details'!R205="","",IF(_xlfn.XLOOKUP('Bulk Order Details'!R205,Logos[Display],Logos[Use])="Flat",_xlfn.XLOOKUP('Bulk Order Details'!R205,Logos[Display],Logos[Flat]),ROUND(_xlfn.XLOOKUP('Bulk Order Details'!R205,Logos[Display],Logos[Pct])*$E195,2))),"")</f>
        <v/>
      </c>
      <c r="M195" s="22" t="str">
        <f>IFERROR(IF('Bulk Order Details'!S205="","",IF(_xlfn.XLOOKUP('Bulk Order Details'!S205,Chest[Display],Chest[Use])="Flat",_xlfn.XLOOKUP('Bulk Order Details'!S205,Chest[Display],Chest[Flat]),ROUND(_xlfn.XLOOKUP('Bulk Order Details'!S205,Chest[Display],Chest[Pct])*$E195,2))),"")</f>
        <v/>
      </c>
      <c r="N195" s="22" t="str">
        <f>IFERROR(IF('Bulk Order Details'!T205="","",IF(_xlfn.XLOOKUP('Bulk Order Details'!T205,Chest[Display],Chest[Use])="Flat",_xlfn.XLOOKUP('Bulk Order Details'!T205,Chest[Display],Chest[Flat]),ROUND(_xlfn.XLOOKUP('Bulk Order Details'!T205,Chest[Display],Chest[Pct])*$E195,2))),"")</f>
        <v/>
      </c>
      <c r="O195" s="22" t="str">
        <f>IFERROR(IF('Bulk Order Details'!U205="","",IF(_xlfn.XLOOKUP('Bulk Order Details'!U205,LeftSleeve[Display],LeftSleeve[Use])="Flat",_xlfn.XLOOKUP('Bulk Order Details'!U205,LeftSleeve[Display],LeftSleeve[Flat]),ROUND(_xlfn.XLOOKUP('Bulk Order Details'!U205,LeftSleeve[Display],LeftSleeve[Pct])*$E195,2))),"")</f>
        <v/>
      </c>
      <c r="P195" s="22" t="str">
        <f>IFERROR(IF('Bulk Order Details'!V205="","",IF(_xlfn.XLOOKUP('Bulk Order Details'!V205,RightSleeve[Display],RightSleeve[Use])="Flat",_xlfn.XLOOKUP('Bulk Order Details'!V205,RightSleeve[Display],RightSleeve[Flat]),ROUND(_xlfn.XLOOKUP('Bulk Order Details'!V205,RightSleeve[Display],RightSleeve[Pct])*$E195,2))),"")</f>
        <v/>
      </c>
      <c r="Q195" s="27" t="str">
        <f>IF('Bulk Order Details'!M205="","",SUM(F195:P195))</f>
        <v/>
      </c>
      <c r="R195" s="24" t="str">
        <f t="shared" si="11"/>
        <v/>
      </c>
      <c r="S195" s="23" t="str">
        <f>IFERROR(MIN(IF(Summary!$D$11="Yes",-J195,0),IF(H195&gt;0,-J195,0)),"")</f>
        <v/>
      </c>
      <c r="T195" s="16" t="str">
        <f>IFERROR(IF(Summary!$D$10="Yes",-K195,""),"")</f>
        <v/>
      </c>
      <c r="U195" s="18" t="str">
        <f>IFERROR(IF(Summary!$D$12="Yes",-L195,""),"")</f>
        <v/>
      </c>
      <c r="V195" s="25" t="str">
        <f>IF('Bulk Order Details'!M205="","",SUM(R195:U195))</f>
        <v/>
      </c>
      <c r="W195" s="36" t="str">
        <f>IF('Bulk Order Details'!M205="","",D195+Q195)</f>
        <v/>
      </c>
      <c r="X195" s="37" t="str">
        <f>IF('Bulk Order Details'!M205="","",D195+Q195+V195)</f>
        <v/>
      </c>
      <c r="Y195" s="168" t="str">
        <f t="shared" si="10"/>
        <v/>
      </c>
      <c r="Z195" s="173" t="str">
        <f>IF('Bulk Order Details'!M205="","",MAX(1,'Bulk Order Details'!G205))</f>
        <v/>
      </c>
      <c r="AA195" s="196" t="str">
        <f>IF(Pricing_Details[[#This Row],[Quantity]]="","",Pricing_Details[[#This Row],[Retail Price]]*Pricing_Details[[#This Row],[Quantity]])</f>
        <v/>
      </c>
      <c r="AB195" s="196" t="str">
        <f>IF(Pricing_Details[[#This Row],[Quantity]]="","",Pricing_Details[[#This Row],[Total Discount]]*Pricing_Details[[#This Row],[Quantity]])</f>
        <v/>
      </c>
      <c r="AC195" s="176" t="str">
        <f>IFERROR(ROUND(Pricing_Details[[#This Row],[Actual Price]]*Pricing_Details[[#This Row],[Quantity]],2),"")</f>
        <v/>
      </c>
      <c r="AE195" s="156" t="str">
        <f>IF('Bulk Order Details'!M205="","",VLOOKUP('Bulk Order Details'!K205,Collection[],3)&amp;VLOOKUP('Bulk Order Details'!M205,Collar[],4)&amp;VLOOKUP('Bulk Order Details'!L205,Sleeve[],4))</f>
        <v/>
      </c>
      <c r="AF195" s="156" t="str">
        <f>IF('Bulk Order Details'!M205="","",LOOKUP('Bulk Order Details'!H205,Cut[Display],Cut[Code])&amp;LOOKUP('Bulk Order Details'!I205,#REF!,#REF!)&amp;IF('Bulk Order Details'!J205="","",LOOKUP('Bulk Order Details'!J205,Length[Display],Length[Code])))</f>
        <v/>
      </c>
      <c r="AG195" s="156" t="str">
        <f>IF('Bulk Order Details'!M205="","",IF('Bulk Order Details'!F205="","",'Bulk Order Details'!F205))</f>
        <v/>
      </c>
      <c r="AH195" s="156" t="str">
        <f>IF('Bulk Order Details'!R205="","","-"&amp;LOOKUP('Bulk Order Details'!R205,#REF!,#REF!))</f>
        <v/>
      </c>
      <c r="AI195" s="156" t="str">
        <f>IF('Bulk Order Details'!S205="","","-"&amp;LOOKUP('Bulk Order Details'!S205,#REF!,#REF!))</f>
        <v/>
      </c>
      <c r="AJ195" s="156" t="str">
        <f>IF('Bulk Order Details'!T205="","","-"&amp;LOOKUP('Bulk Order Details'!T205,#REF!,#REF!))</f>
        <v/>
      </c>
      <c r="AK195" s="156" t="str">
        <f>IF('Bulk Order Details'!U205="","","-"&amp;LOOKUP('Bulk Order Details'!U205,#REF!,#REF!))</f>
        <v/>
      </c>
      <c r="AL195" s="156" t="str">
        <f>IF('Bulk Order Details'!V205="","","-"&amp;LOOKUP('Bulk Order Details'!V205,#REF!,#REF!))</f>
        <v/>
      </c>
      <c r="AM195" s="156" t="str">
        <f t="shared" si="12"/>
        <v/>
      </c>
      <c r="AN195" s="156" t="str">
        <f>IF('Bulk Order Details'!N205="","","Na-"&amp;'Bulk Order Details'!N205)</f>
        <v/>
      </c>
      <c r="AO195" s="156" t="str">
        <f>IF('Bulk Order Details'!Q205="","","Fo-"&amp;'Bulk Order Details'!Q205)</f>
        <v/>
      </c>
      <c r="AP195" s="156" t="str">
        <f t="shared" si="13"/>
        <v/>
      </c>
      <c r="AQ195" s="37" t="str">
        <f t="shared" si="14"/>
        <v/>
      </c>
    </row>
    <row r="196" spans="2:43" ht="15" customHeight="1" x14ac:dyDescent="0.2">
      <c r="B196" s="34">
        <f>'Bulk Order Details'!B206</f>
        <v>193</v>
      </c>
      <c r="C196" s="34" t="str">
        <f>IF('Bulk Order Details'!C206="","",'Bulk Order Details'!C206&amp;" "&amp;'Bulk Order Details'!D206)</f>
        <v/>
      </c>
      <c r="D196" s="31" t="str">
        <f>IF('Bulk Order Details'!M206="","",VLOOKUP(1,Price[],3))</f>
        <v/>
      </c>
      <c r="E196" s="29" t="str">
        <f>IF('Bulk Order Details'!M206="","",Summary!$D$9)</f>
        <v/>
      </c>
      <c r="F196" s="16" t="str">
        <f>IF('Bulk Order Details'!I206="","",_xlfn.XLOOKUP('Bulk Order Details'!I206,Size[Display],Size[Price]))</f>
        <v/>
      </c>
      <c r="G196" s="16" t="str">
        <f>IF('Bulk Order Details'!J206="","",_xlfn.XLOOKUP('Bulk Order Details'!J206,Length[Display],Length[Price]))</f>
        <v/>
      </c>
      <c r="H196" s="16" t="str">
        <f>IF('Bulk Order Details'!K206="","",_xlfn.XLOOKUP('Bulk Order Details'!K206,Collection[Display],Collection[Price]))</f>
        <v/>
      </c>
      <c r="I196" s="16" t="str">
        <f>IF('Bulk Order Details'!L206="","",_xlfn.XLOOKUP('Bulk Order Details'!L206,Sleeve[Display],Sleeve[Price]))</f>
        <v/>
      </c>
      <c r="J196" s="16" t="str">
        <f>IF('Bulk Order Details'!M206="","",_xlfn.XLOOKUP('Bulk Order Details'!M206,Collar[Display],Collar[Price]))</f>
        <v/>
      </c>
      <c r="K196" s="16" t="str">
        <f>IF('Bulk Order Details'!N206="","",_xlfn.XLOOKUP("Name",Name[Name],Name[Price]))</f>
        <v/>
      </c>
      <c r="L196" s="18" t="str">
        <f>IFERROR(IF('Bulk Order Details'!R206="","",IF(_xlfn.XLOOKUP('Bulk Order Details'!R206,Logos[Display],Logos[Use])="Flat",_xlfn.XLOOKUP('Bulk Order Details'!R206,Logos[Display],Logos[Flat]),ROUND(_xlfn.XLOOKUP('Bulk Order Details'!R206,Logos[Display],Logos[Pct])*$E196,2))),"")</f>
        <v/>
      </c>
      <c r="M196" s="22" t="str">
        <f>IFERROR(IF('Bulk Order Details'!S206="","",IF(_xlfn.XLOOKUP('Bulk Order Details'!S206,Chest[Display],Chest[Use])="Flat",_xlfn.XLOOKUP('Bulk Order Details'!S206,Chest[Display],Chest[Flat]),ROUND(_xlfn.XLOOKUP('Bulk Order Details'!S206,Chest[Display],Chest[Pct])*$E196,2))),"")</f>
        <v/>
      </c>
      <c r="N196" s="22" t="str">
        <f>IFERROR(IF('Bulk Order Details'!T206="","",IF(_xlfn.XLOOKUP('Bulk Order Details'!T206,Chest[Display],Chest[Use])="Flat",_xlfn.XLOOKUP('Bulk Order Details'!T206,Chest[Display],Chest[Flat]),ROUND(_xlfn.XLOOKUP('Bulk Order Details'!T206,Chest[Display],Chest[Pct])*$E196,2))),"")</f>
        <v/>
      </c>
      <c r="O196" s="22" t="str">
        <f>IFERROR(IF('Bulk Order Details'!U206="","",IF(_xlfn.XLOOKUP('Bulk Order Details'!U206,LeftSleeve[Display],LeftSleeve[Use])="Flat",_xlfn.XLOOKUP('Bulk Order Details'!U206,LeftSleeve[Display],LeftSleeve[Flat]),ROUND(_xlfn.XLOOKUP('Bulk Order Details'!U206,LeftSleeve[Display],LeftSleeve[Pct])*$E196,2))),"")</f>
        <v/>
      </c>
      <c r="P196" s="22" t="str">
        <f>IFERROR(IF('Bulk Order Details'!V206="","",IF(_xlfn.XLOOKUP('Bulk Order Details'!V206,RightSleeve[Display],RightSleeve[Use])="Flat",_xlfn.XLOOKUP('Bulk Order Details'!V206,RightSleeve[Display],RightSleeve[Flat]),ROUND(_xlfn.XLOOKUP('Bulk Order Details'!V206,RightSleeve[Display],RightSleeve[Pct])*$E196,2))),"")</f>
        <v/>
      </c>
      <c r="Q196" s="27" t="str">
        <f>IF('Bulk Order Details'!M206="","",SUM(F196:P196))</f>
        <v/>
      </c>
      <c r="R196" s="24" t="str">
        <f t="shared" si="11"/>
        <v/>
      </c>
      <c r="S196" s="23" t="str">
        <f>IFERROR(MIN(IF(Summary!$D$11="Yes",-J196,0),IF(H196&gt;0,-J196,0)),"")</f>
        <v/>
      </c>
      <c r="T196" s="16" t="str">
        <f>IFERROR(IF(Summary!$D$10="Yes",-K196,""),"")</f>
        <v/>
      </c>
      <c r="U196" s="18" t="str">
        <f>IFERROR(IF(Summary!$D$12="Yes",-L196,""),"")</f>
        <v/>
      </c>
      <c r="V196" s="25" t="str">
        <f>IF('Bulk Order Details'!M206="","",SUM(R196:U196))</f>
        <v/>
      </c>
      <c r="W196" s="36" t="str">
        <f>IF('Bulk Order Details'!M206="","",D196+Q196)</f>
        <v/>
      </c>
      <c r="X196" s="37" t="str">
        <f>IF('Bulk Order Details'!M206="","",D196+Q196+V196)</f>
        <v/>
      </c>
      <c r="Y196" s="168" t="str">
        <f t="shared" ref="Y196:Y259" si="15">IFERROR((W196-X196)/W196,"")</f>
        <v/>
      </c>
      <c r="Z196" s="173" t="str">
        <f>IF('Bulk Order Details'!M206="","",MAX(1,'Bulk Order Details'!G206))</f>
        <v/>
      </c>
      <c r="AA196" s="196" t="str">
        <f>IF(Pricing_Details[[#This Row],[Quantity]]="","",Pricing_Details[[#This Row],[Retail Price]]*Pricing_Details[[#This Row],[Quantity]])</f>
        <v/>
      </c>
      <c r="AB196" s="196" t="str">
        <f>IF(Pricing_Details[[#This Row],[Quantity]]="","",Pricing_Details[[#This Row],[Total Discount]]*Pricing_Details[[#This Row],[Quantity]])</f>
        <v/>
      </c>
      <c r="AC196" s="176" t="str">
        <f>IFERROR(ROUND(Pricing_Details[[#This Row],[Actual Price]]*Pricing_Details[[#This Row],[Quantity]],2),"")</f>
        <v/>
      </c>
      <c r="AE196" s="156" t="str">
        <f>IF('Bulk Order Details'!M206="","",VLOOKUP('Bulk Order Details'!K206,Collection[],3)&amp;VLOOKUP('Bulk Order Details'!M206,Collar[],4)&amp;VLOOKUP('Bulk Order Details'!L206,Sleeve[],4))</f>
        <v/>
      </c>
      <c r="AF196" s="156" t="str">
        <f>IF('Bulk Order Details'!M206="","",LOOKUP('Bulk Order Details'!H206,Cut[Display],Cut[Code])&amp;LOOKUP('Bulk Order Details'!I206,#REF!,#REF!)&amp;IF('Bulk Order Details'!J206="","",LOOKUP('Bulk Order Details'!J206,Length[Display],Length[Code])))</f>
        <v/>
      </c>
      <c r="AG196" s="156" t="str">
        <f>IF('Bulk Order Details'!M206="","",IF('Bulk Order Details'!F206="","",'Bulk Order Details'!F206))</f>
        <v/>
      </c>
      <c r="AH196" s="156" t="str">
        <f>IF('Bulk Order Details'!R206="","","-"&amp;LOOKUP('Bulk Order Details'!R206,#REF!,#REF!))</f>
        <v/>
      </c>
      <c r="AI196" s="156" t="str">
        <f>IF('Bulk Order Details'!S206="","","-"&amp;LOOKUP('Bulk Order Details'!S206,#REF!,#REF!))</f>
        <v/>
      </c>
      <c r="AJ196" s="156" t="str">
        <f>IF('Bulk Order Details'!T206="","","-"&amp;LOOKUP('Bulk Order Details'!T206,#REF!,#REF!))</f>
        <v/>
      </c>
      <c r="AK196" s="156" t="str">
        <f>IF('Bulk Order Details'!U206="","","-"&amp;LOOKUP('Bulk Order Details'!U206,#REF!,#REF!))</f>
        <v/>
      </c>
      <c r="AL196" s="156" t="str">
        <f>IF('Bulk Order Details'!V206="","","-"&amp;LOOKUP('Bulk Order Details'!V206,#REF!,#REF!))</f>
        <v/>
      </c>
      <c r="AM196" s="156" t="str">
        <f t="shared" si="12"/>
        <v/>
      </c>
      <c r="AN196" s="156" t="str">
        <f>IF('Bulk Order Details'!N206="","","Na-"&amp;'Bulk Order Details'!N206)</f>
        <v/>
      </c>
      <c r="AO196" s="156" t="str">
        <f>IF('Bulk Order Details'!Q206="","","Fo-"&amp;'Bulk Order Details'!Q206)</f>
        <v/>
      </c>
      <c r="AP196" s="156" t="str">
        <f t="shared" si="13"/>
        <v/>
      </c>
      <c r="AQ196" s="37" t="str">
        <f t="shared" si="14"/>
        <v/>
      </c>
    </row>
    <row r="197" spans="2:43" ht="15" customHeight="1" x14ac:dyDescent="0.2">
      <c r="B197" s="34">
        <f>'Bulk Order Details'!B207</f>
        <v>194</v>
      </c>
      <c r="C197" s="34" t="str">
        <f>IF('Bulk Order Details'!C207="","",'Bulk Order Details'!C207&amp;" "&amp;'Bulk Order Details'!D207)</f>
        <v/>
      </c>
      <c r="D197" s="31" t="str">
        <f>IF('Bulk Order Details'!M207="","",VLOOKUP(1,Price[],3))</f>
        <v/>
      </c>
      <c r="E197" s="29" t="str">
        <f>IF('Bulk Order Details'!M207="","",Summary!$D$9)</f>
        <v/>
      </c>
      <c r="F197" s="16" t="str">
        <f>IF('Bulk Order Details'!I207="","",_xlfn.XLOOKUP('Bulk Order Details'!I207,Size[Display],Size[Price]))</f>
        <v/>
      </c>
      <c r="G197" s="16" t="str">
        <f>IF('Bulk Order Details'!J207="","",_xlfn.XLOOKUP('Bulk Order Details'!J207,Length[Display],Length[Price]))</f>
        <v/>
      </c>
      <c r="H197" s="16" t="str">
        <f>IF('Bulk Order Details'!K207="","",_xlfn.XLOOKUP('Bulk Order Details'!K207,Collection[Display],Collection[Price]))</f>
        <v/>
      </c>
      <c r="I197" s="16" t="str">
        <f>IF('Bulk Order Details'!L207="","",_xlfn.XLOOKUP('Bulk Order Details'!L207,Sleeve[Display],Sleeve[Price]))</f>
        <v/>
      </c>
      <c r="J197" s="16" t="str">
        <f>IF('Bulk Order Details'!M207="","",_xlfn.XLOOKUP('Bulk Order Details'!M207,Collar[Display],Collar[Price]))</f>
        <v/>
      </c>
      <c r="K197" s="16" t="str">
        <f>IF('Bulk Order Details'!N207="","",_xlfn.XLOOKUP("Name",Name[Name],Name[Price]))</f>
        <v/>
      </c>
      <c r="L197" s="18" t="str">
        <f>IFERROR(IF('Bulk Order Details'!R207="","",IF(_xlfn.XLOOKUP('Bulk Order Details'!R207,Logos[Display],Logos[Use])="Flat",_xlfn.XLOOKUP('Bulk Order Details'!R207,Logos[Display],Logos[Flat]),ROUND(_xlfn.XLOOKUP('Bulk Order Details'!R207,Logos[Display],Logos[Pct])*$E197,2))),"")</f>
        <v/>
      </c>
      <c r="M197" s="22" t="str">
        <f>IFERROR(IF('Bulk Order Details'!S207="","",IF(_xlfn.XLOOKUP('Bulk Order Details'!S207,Chest[Display],Chest[Use])="Flat",_xlfn.XLOOKUP('Bulk Order Details'!S207,Chest[Display],Chest[Flat]),ROUND(_xlfn.XLOOKUP('Bulk Order Details'!S207,Chest[Display],Chest[Pct])*$E197,2))),"")</f>
        <v/>
      </c>
      <c r="N197" s="22" t="str">
        <f>IFERROR(IF('Bulk Order Details'!T207="","",IF(_xlfn.XLOOKUP('Bulk Order Details'!T207,Chest[Display],Chest[Use])="Flat",_xlfn.XLOOKUP('Bulk Order Details'!T207,Chest[Display],Chest[Flat]),ROUND(_xlfn.XLOOKUP('Bulk Order Details'!T207,Chest[Display],Chest[Pct])*$E197,2))),"")</f>
        <v/>
      </c>
      <c r="O197" s="22" t="str">
        <f>IFERROR(IF('Bulk Order Details'!U207="","",IF(_xlfn.XLOOKUP('Bulk Order Details'!U207,LeftSleeve[Display],LeftSleeve[Use])="Flat",_xlfn.XLOOKUP('Bulk Order Details'!U207,LeftSleeve[Display],LeftSleeve[Flat]),ROUND(_xlfn.XLOOKUP('Bulk Order Details'!U207,LeftSleeve[Display],LeftSleeve[Pct])*$E197,2))),"")</f>
        <v/>
      </c>
      <c r="P197" s="22" t="str">
        <f>IFERROR(IF('Bulk Order Details'!V207="","",IF(_xlfn.XLOOKUP('Bulk Order Details'!V207,RightSleeve[Display],RightSleeve[Use])="Flat",_xlfn.XLOOKUP('Bulk Order Details'!V207,RightSleeve[Display],RightSleeve[Flat]),ROUND(_xlfn.XLOOKUP('Bulk Order Details'!V207,RightSleeve[Display],RightSleeve[Pct])*$E197,2))),"")</f>
        <v/>
      </c>
      <c r="Q197" s="27" t="str">
        <f>IF('Bulk Order Details'!M207="","",SUM(F197:P197))</f>
        <v/>
      </c>
      <c r="R197" s="24" t="str">
        <f t="shared" ref="R197:R260" si="16">IFERROR(E197-D197,"")</f>
        <v/>
      </c>
      <c r="S197" s="23" t="str">
        <f>IFERROR(MIN(IF(Summary!$D$11="Yes",-J197,0),IF(H197&gt;0,-J197,0)),"")</f>
        <v/>
      </c>
      <c r="T197" s="16" t="str">
        <f>IFERROR(IF(Summary!$D$10="Yes",-K197,""),"")</f>
        <v/>
      </c>
      <c r="U197" s="18" t="str">
        <f>IFERROR(IF(Summary!$D$12="Yes",-L197,""),"")</f>
        <v/>
      </c>
      <c r="V197" s="25" t="str">
        <f>IF('Bulk Order Details'!M207="","",SUM(R197:U197))</f>
        <v/>
      </c>
      <c r="W197" s="36" t="str">
        <f>IF('Bulk Order Details'!M207="","",D197+Q197)</f>
        <v/>
      </c>
      <c r="X197" s="37" t="str">
        <f>IF('Bulk Order Details'!M207="","",D197+Q197+V197)</f>
        <v/>
      </c>
      <c r="Y197" s="168" t="str">
        <f t="shared" si="15"/>
        <v/>
      </c>
      <c r="Z197" s="173" t="str">
        <f>IF('Bulk Order Details'!M207="","",MAX(1,'Bulk Order Details'!G207))</f>
        <v/>
      </c>
      <c r="AA197" s="196" t="str">
        <f>IF(Pricing_Details[[#This Row],[Quantity]]="","",Pricing_Details[[#This Row],[Retail Price]]*Pricing_Details[[#This Row],[Quantity]])</f>
        <v/>
      </c>
      <c r="AB197" s="196" t="str">
        <f>IF(Pricing_Details[[#This Row],[Quantity]]="","",Pricing_Details[[#This Row],[Total Discount]]*Pricing_Details[[#This Row],[Quantity]])</f>
        <v/>
      </c>
      <c r="AC197" s="176" t="str">
        <f>IFERROR(ROUND(Pricing_Details[[#This Row],[Actual Price]]*Pricing_Details[[#This Row],[Quantity]],2),"")</f>
        <v/>
      </c>
      <c r="AE197" s="156" t="str">
        <f>IF('Bulk Order Details'!M207="","",VLOOKUP('Bulk Order Details'!K207,Collection[],3)&amp;VLOOKUP('Bulk Order Details'!M207,Collar[],4)&amp;VLOOKUP('Bulk Order Details'!L207,Sleeve[],4))</f>
        <v/>
      </c>
      <c r="AF197" s="156" t="str">
        <f>IF('Bulk Order Details'!M207="","",LOOKUP('Bulk Order Details'!H207,Cut[Display],Cut[Code])&amp;LOOKUP('Bulk Order Details'!I207,#REF!,#REF!)&amp;IF('Bulk Order Details'!J207="","",LOOKUP('Bulk Order Details'!J207,Length[Display],Length[Code])))</f>
        <v/>
      </c>
      <c r="AG197" s="156" t="str">
        <f>IF('Bulk Order Details'!M207="","",IF('Bulk Order Details'!F207="","",'Bulk Order Details'!F207))</f>
        <v/>
      </c>
      <c r="AH197" s="156" t="str">
        <f>IF('Bulk Order Details'!R207="","","-"&amp;LOOKUP('Bulk Order Details'!R207,#REF!,#REF!))</f>
        <v/>
      </c>
      <c r="AI197" s="156" t="str">
        <f>IF('Bulk Order Details'!S207="","","-"&amp;LOOKUP('Bulk Order Details'!S207,#REF!,#REF!))</f>
        <v/>
      </c>
      <c r="AJ197" s="156" t="str">
        <f>IF('Bulk Order Details'!T207="","","-"&amp;LOOKUP('Bulk Order Details'!T207,#REF!,#REF!))</f>
        <v/>
      </c>
      <c r="AK197" s="156" t="str">
        <f>IF('Bulk Order Details'!U207="","","-"&amp;LOOKUP('Bulk Order Details'!U207,#REF!,#REF!))</f>
        <v/>
      </c>
      <c r="AL197" s="156" t="str">
        <f>IF('Bulk Order Details'!V207="","","-"&amp;LOOKUP('Bulk Order Details'!V207,#REF!,#REF!))</f>
        <v/>
      </c>
      <c r="AM197" s="156" t="str">
        <f t="shared" ref="AM197:AM260" si="17">IF(_xlfn.CONCAT(AH197:AL197)="","","Lo"&amp;_xlfn.CONCAT(AH197:AL197))</f>
        <v/>
      </c>
      <c r="AN197" s="156" t="str">
        <f>IF('Bulk Order Details'!N207="","","Na-"&amp;'Bulk Order Details'!N207)</f>
        <v/>
      </c>
      <c r="AO197" s="156" t="str">
        <f>IF('Bulk Order Details'!Q207="","","Fo-"&amp;'Bulk Order Details'!Q207)</f>
        <v/>
      </c>
      <c r="AP197" s="156" t="str">
        <f t="shared" ref="AP197:AP260" si="18">IF(AE197="","",AE197&amp;"_"&amp;AF197&amp;"_"&amp;AG197&amp;IF(AM197="","","_"&amp;AM197)&amp;IF(AN197="","","_"&amp;AN197)&amp;IF(AO197="","","_"&amp;AO197))</f>
        <v/>
      </c>
      <c r="AQ197" s="37" t="str">
        <f t="shared" ref="AQ197:AQ260" si="19">IF(X197="","",X197)</f>
        <v/>
      </c>
    </row>
    <row r="198" spans="2:43" ht="15" customHeight="1" x14ac:dyDescent="0.2">
      <c r="B198" s="34">
        <f>'Bulk Order Details'!B208</f>
        <v>195</v>
      </c>
      <c r="C198" s="34" t="str">
        <f>IF('Bulk Order Details'!C208="","",'Bulk Order Details'!C208&amp;" "&amp;'Bulk Order Details'!D208)</f>
        <v/>
      </c>
      <c r="D198" s="31" t="str">
        <f>IF('Bulk Order Details'!M208="","",VLOOKUP(1,Price[],3))</f>
        <v/>
      </c>
      <c r="E198" s="29" t="str">
        <f>IF('Bulk Order Details'!M208="","",Summary!$D$9)</f>
        <v/>
      </c>
      <c r="F198" s="16" t="str">
        <f>IF('Bulk Order Details'!I208="","",_xlfn.XLOOKUP('Bulk Order Details'!I208,Size[Display],Size[Price]))</f>
        <v/>
      </c>
      <c r="G198" s="16" t="str">
        <f>IF('Bulk Order Details'!J208="","",_xlfn.XLOOKUP('Bulk Order Details'!J208,Length[Display],Length[Price]))</f>
        <v/>
      </c>
      <c r="H198" s="16" t="str">
        <f>IF('Bulk Order Details'!K208="","",_xlfn.XLOOKUP('Bulk Order Details'!K208,Collection[Display],Collection[Price]))</f>
        <v/>
      </c>
      <c r="I198" s="16" t="str">
        <f>IF('Bulk Order Details'!L208="","",_xlfn.XLOOKUP('Bulk Order Details'!L208,Sleeve[Display],Sleeve[Price]))</f>
        <v/>
      </c>
      <c r="J198" s="16" t="str">
        <f>IF('Bulk Order Details'!M208="","",_xlfn.XLOOKUP('Bulk Order Details'!M208,Collar[Display],Collar[Price]))</f>
        <v/>
      </c>
      <c r="K198" s="16" t="str">
        <f>IF('Bulk Order Details'!N208="","",_xlfn.XLOOKUP("Name",Name[Name],Name[Price]))</f>
        <v/>
      </c>
      <c r="L198" s="18" t="str">
        <f>IFERROR(IF('Bulk Order Details'!R208="","",IF(_xlfn.XLOOKUP('Bulk Order Details'!R208,Logos[Display],Logos[Use])="Flat",_xlfn.XLOOKUP('Bulk Order Details'!R208,Logos[Display],Logos[Flat]),ROUND(_xlfn.XLOOKUP('Bulk Order Details'!R208,Logos[Display],Logos[Pct])*$E198,2))),"")</f>
        <v/>
      </c>
      <c r="M198" s="22" t="str">
        <f>IFERROR(IF('Bulk Order Details'!S208="","",IF(_xlfn.XLOOKUP('Bulk Order Details'!S208,Chest[Display],Chest[Use])="Flat",_xlfn.XLOOKUP('Bulk Order Details'!S208,Chest[Display],Chest[Flat]),ROUND(_xlfn.XLOOKUP('Bulk Order Details'!S208,Chest[Display],Chest[Pct])*$E198,2))),"")</f>
        <v/>
      </c>
      <c r="N198" s="22" t="str">
        <f>IFERROR(IF('Bulk Order Details'!T208="","",IF(_xlfn.XLOOKUP('Bulk Order Details'!T208,Chest[Display],Chest[Use])="Flat",_xlfn.XLOOKUP('Bulk Order Details'!T208,Chest[Display],Chest[Flat]),ROUND(_xlfn.XLOOKUP('Bulk Order Details'!T208,Chest[Display],Chest[Pct])*$E198,2))),"")</f>
        <v/>
      </c>
      <c r="O198" s="22" t="str">
        <f>IFERROR(IF('Bulk Order Details'!U208="","",IF(_xlfn.XLOOKUP('Bulk Order Details'!U208,LeftSleeve[Display],LeftSleeve[Use])="Flat",_xlfn.XLOOKUP('Bulk Order Details'!U208,LeftSleeve[Display],LeftSleeve[Flat]),ROUND(_xlfn.XLOOKUP('Bulk Order Details'!U208,LeftSleeve[Display],LeftSleeve[Pct])*$E198,2))),"")</f>
        <v/>
      </c>
      <c r="P198" s="22" t="str">
        <f>IFERROR(IF('Bulk Order Details'!V208="","",IF(_xlfn.XLOOKUP('Bulk Order Details'!V208,RightSleeve[Display],RightSleeve[Use])="Flat",_xlfn.XLOOKUP('Bulk Order Details'!V208,RightSleeve[Display],RightSleeve[Flat]),ROUND(_xlfn.XLOOKUP('Bulk Order Details'!V208,RightSleeve[Display],RightSleeve[Pct])*$E198,2))),"")</f>
        <v/>
      </c>
      <c r="Q198" s="27" t="str">
        <f>IF('Bulk Order Details'!M208="","",SUM(F198:P198))</f>
        <v/>
      </c>
      <c r="R198" s="24" t="str">
        <f t="shared" si="16"/>
        <v/>
      </c>
      <c r="S198" s="23" t="str">
        <f>IFERROR(MIN(IF(Summary!$D$11="Yes",-J198,0),IF(H198&gt;0,-J198,0)),"")</f>
        <v/>
      </c>
      <c r="T198" s="16" t="str">
        <f>IFERROR(IF(Summary!$D$10="Yes",-K198,""),"")</f>
        <v/>
      </c>
      <c r="U198" s="18" t="str">
        <f>IFERROR(IF(Summary!$D$12="Yes",-L198,""),"")</f>
        <v/>
      </c>
      <c r="V198" s="25" t="str">
        <f>IF('Bulk Order Details'!M208="","",SUM(R198:U198))</f>
        <v/>
      </c>
      <c r="W198" s="36" t="str">
        <f>IF('Bulk Order Details'!M208="","",D198+Q198)</f>
        <v/>
      </c>
      <c r="X198" s="37" t="str">
        <f>IF('Bulk Order Details'!M208="","",D198+Q198+V198)</f>
        <v/>
      </c>
      <c r="Y198" s="168" t="str">
        <f t="shared" si="15"/>
        <v/>
      </c>
      <c r="Z198" s="173" t="str">
        <f>IF('Bulk Order Details'!M208="","",MAX(1,'Bulk Order Details'!G208))</f>
        <v/>
      </c>
      <c r="AA198" s="196" t="str">
        <f>IF(Pricing_Details[[#This Row],[Quantity]]="","",Pricing_Details[[#This Row],[Retail Price]]*Pricing_Details[[#This Row],[Quantity]])</f>
        <v/>
      </c>
      <c r="AB198" s="196" t="str">
        <f>IF(Pricing_Details[[#This Row],[Quantity]]="","",Pricing_Details[[#This Row],[Total Discount]]*Pricing_Details[[#This Row],[Quantity]])</f>
        <v/>
      </c>
      <c r="AC198" s="176" t="str">
        <f>IFERROR(ROUND(Pricing_Details[[#This Row],[Actual Price]]*Pricing_Details[[#This Row],[Quantity]],2),"")</f>
        <v/>
      </c>
      <c r="AE198" s="156" t="str">
        <f>IF('Bulk Order Details'!M208="","",VLOOKUP('Bulk Order Details'!K208,Collection[],3)&amp;VLOOKUP('Bulk Order Details'!M208,Collar[],4)&amp;VLOOKUP('Bulk Order Details'!L208,Sleeve[],4))</f>
        <v/>
      </c>
      <c r="AF198" s="156" t="str">
        <f>IF('Bulk Order Details'!M208="","",LOOKUP('Bulk Order Details'!H208,Cut[Display],Cut[Code])&amp;LOOKUP('Bulk Order Details'!I208,#REF!,#REF!)&amp;IF('Bulk Order Details'!J208="","",LOOKUP('Bulk Order Details'!J208,Length[Display],Length[Code])))</f>
        <v/>
      </c>
      <c r="AG198" s="156" t="str">
        <f>IF('Bulk Order Details'!M208="","",IF('Bulk Order Details'!F208="","",'Bulk Order Details'!F208))</f>
        <v/>
      </c>
      <c r="AH198" s="156" t="str">
        <f>IF('Bulk Order Details'!R208="","","-"&amp;LOOKUP('Bulk Order Details'!R208,#REF!,#REF!))</f>
        <v/>
      </c>
      <c r="AI198" s="156" t="str">
        <f>IF('Bulk Order Details'!S208="","","-"&amp;LOOKUP('Bulk Order Details'!S208,#REF!,#REF!))</f>
        <v/>
      </c>
      <c r="AJ198" s="156" t="str">
        <f>IF('Bulk Order Details'!T208="","","-"&amp;LOOKUP('Bulk Order Details'!T208,#REF!,#REF!))</f>
        <v/>
      </c>
      <c r="AK198" s="156" t="str">
        <f>IF('Bulk Order Details'!U208="","","-"&amp;LOOKUP('Bulk Order Details'!U208,#REF!,#REF!))</f>
        <v/>
      </c>
      <c r="AL198" s="156" t="str">
        <f>IF('Bulk Order Details'!V208="","","-"&amp;LOOKUP('Bulk Order Details'!V208,#REF!,#REF!))</f>
        <v/>
      </c>
      <c r="AM198" s="156" t="str">
        <f t="shared" si="17"/>
        <v/>
      </c>
      <c r="AN198" s="156" t="str">
        <f>IF('Bulk Order Details'!N208="","","Na-"&amp;'Bulk Order Details'!N208)</f>
        <v/>
      </c>
      <c r="AO198" s="156" t="str">
        <f>IF('Bulk Order Details'!Q208="","","Fo-"&amp;'Bulk Order Details'!Q208)</f>
        <v/>
      </c>
      <c r="AP198" s="156" t="str">
        <f t="shared" si="18"/>
        <v/>
      </c>
      <c r="AQ198" s="37" t="str">
        <f t="shared" si="19"/>
        <v/>
      </c>
    </row>
    <row r="199" spans="2:43" ht="15" customHeight="1" x14ac:dyDescent="0.2">
      <c r="B199" s="34">
        <f>'Bulk Order Details'!B209</f>
        <v>196</v>
      </c>
      <c r="C199" s="34" t="str">
        <f>IF('Bulk Order Details'!C209="","",'Bulk Order Details'!C209&amp;" "&amp;'Bulk Order Details'!D209)</f>
        <v/>
      </c>
      <c r="D199" s="31" t="str">
        <f>IF('Bulk Order Details'!M209="","",VLOOKUP(1,Price[],3))</f>
        <v/>
      </c>
      <c r="E199" s="29" t="str">
        <f>IF('Bulk Order Details'!M209="","",Summary!$D$9)</f>
        <v/>
      </c>
      <c r="F199" s="16" t="str">
        <f>IF('Bulk Order Details'!I209="","",_xlfn.XLOOKUP('Bulk Order Details'!I209,Size[Display],Size[Price]))</f>
        <v/>
      </c>
      <c r="G199" s="16" t="str">
        <f>IF('Bulk Order Details'!J209="","",_xlfn.XLOOKUP('Bulk Order Details'!J209,Length[Display],Length[Price]))</f>
        <v/>
      </c>
      <c r="H199" s="16" t="str">
        <f>IF('Bulk Order Details'!K209="","",_xlfn.XLOOKUP('Bulk Order Details'!K209,Collection[Display],Collection[Price]))</f>
        <v/>
      </c>
      <c r="I199" s="16" t="str">
        <f>IF('Bulk Order Details'!L209="","",_xlfn.XLOOKUP('Bulk Order Details'!L209,Sleeve[Display],Sleeve[Price]))</f>
        <v/>
      </c>
      <c r="J199" s="16" t="str">
        <f>IF('Bulk Order Details'!M209="","",_xlfn.XLOOKUP('Bulk Order Details'!M209,Collar[Display],Collar[Price]))</f>
        <v/>
      </c>
      <c r="K199" s="16" t="str">
        <f>IF('Bulk Order Details'!N209="","",_xlfn.XLOOKUP("Name",Name[Name],Name[Price]))</f>
        <v/>
      </c>
      <c r="L199" s="18" t="str">
        <f>IFERROR(IF('Bulk Order Details'!R209="","",IF(_xlfn.XLOOKUP('Bulk Order Details'!R209,Logos[Display],Logos[Use])="Flat",_xlfn.XLOOKUP('Bulk Order Details'!R209,Logos[Display],Logos[Flat]),ROUND(_xlfn.XLOOKUP('Bulk Order Details'!R209,Logos[Display],Logos[Pct])*$E199,2))),"")</f>
        <v/>
      </c>
      <c r="M199" s="22" t="str">
        <f>IFERROR(IF('Bulk Order Details'!S209="","",IF(_xlfn.XLOOKUP('Bulk Order Details'!S209,Chest[Display],Chest[Use])="Flat",_xlfn.XLOOKUP('Bulk Order Details'!S209,Chest[Display],Chest[Flat]),ROUND(_xlfn.XLOOKUP('Bulk Order Details'!S209,Chest[Display],Chest[Pct])*$E199,2))),"")</f>
        <v/>
      </c>
      <c r="N199" s="22" t="str">
        <f>IFERROR(IF('Bulk Order Details'!T209="","",IF(_xlfn.XLOOKUP('Bulk Order Details'!T209,Chest[Display],Chest[Use])="Flat",_xlfn.XLOOKUP('Bulk Order Details'!T209,Chest[Display],Chest[Flat]),ROUND(_xlfn.XLOOKUP('Bulk Order Details'!T209,Chest[Display],Chest[Pct])*$E199,2))),"")</f>
        <v/>
      </c>
      <c r="O199" s="22" t="str">
        <f>IFERROR(IF('Bulk Order Details'!U209="","",IF(_xlfn.XLOOKUP('Bulk Order Details'!U209,LeftSleeve[Display],LeftSleeve[Use])="Flat",_xlfn.XLOOKUP('Bulk Order Details'!U209,LeftSleeve[Display],LeftSleeve[Flat]),ROUND(_xlfn.XLOOKUP('Bulk Order Details'!U209,LeftSleeve[Display],LeftSleeve[Pct])*$E199,2))),"")</f>
        <v/>
      </c>
      <c r="P199" s="22" t="str">
        <f>IFERROR(IF('Bulk Order Details'!V209="","",IF(_xlfn.XLOOKUP('Bulk Order Details'!V209,RightSleeve[Display],RightSleeve[Use])="Flat",_xlfn.XLOOKUP('Bulk Order Details'!V209,RightSleeve[Display],RightSleeve[Flat]),ROUND(_xlfn.XLOOKUP('Bulk Order Details'!V209,RightSleeve[Display],RightSleeve[Pct])*$E199,2))),"")</f>
        <v/>
      </c>
      <c r="Q199" s="27" t="str">
        <f>IF('Bulk Order Details'!M209="","",SUM(F199:P199))</f>
        <v/>
      </c>
      <c r="R199" s="24" t="str">
        <f t="shared" si="16"/>
        <v/>
      </c>
      <c r="S199" s="23" t="str">
        <f>IFERROR(MIN(IF(Summary!$D$11="Yes",-J199,0),IF(H199&gt;0,-J199,0)),"")</f>
        <v/>
      </c>
      <c r="T199" s="16" t="str">
        <f>IFERROR(IF(Summary!$D$10="Yes",-K199,""),"")</f>
        <v/>
      </c>
      <c r="U199" s="18" t="str">
        <f>IFERROR(IF(Summary!$D$12="Yes",-L199,""),"")</f>
        <v/>
      </c>
      <c r="V199" s="25" t="str">
        <f>IF('Bulk Order Details'!M209="","",SUM(R199:U199))</f>
        <v/>
      </c>
      <c r="W199" s="36" t="str">
        <f>IF('Bulk Order Details'!M209="","",D199+Q199)</f>
        <v/>
      </c>
      <c r="X199" s="37" t="str">
        <f>IF('Bulk Order Details'!M209="","",D199+Q199+V199)</f>
        <v/>
      </c>
      <c r="Y199" s="168" t="str">
        <f t="shared" si="15"/>
        <v/>
      </c>
      <c r="Z199" s="173" t="str">
        <f>IF('Bulk Order Details'!M209="","",MAX(1,'Bulk Order Details'!G209))</f>
        <v/>
      </c>
      <c r="AA199" s="196" t="str">
        <f>IF(Pricing_Details[[#This Row],[Quantity]]="","",Pricing_Details[[#This Row],[Retail Price]]*Pricing_Details[[#This Row],[Quantity]])</f>
        <v/>
      </c>
      <c r="AB199" s="196" t="str">
        <f>IF(Pricing_Details[[#This Row],[Quantity]]="","",Pricing_Details[[#This Row],[Total Discount]]*Pricing_Details[[#This Row],[Quantity]])</f>
        <v/>
      </c>
      <c r="AC199" s="176" t="str">
        <f>IFERROR(ROUND(Pricing_Details[[#This Row],[Actual Price]]*Pricing_Details[[#This Row],[Quantity]],2),"")</f>
        <v/>
      </c>
      <c r="AE199" s="156" t="str">
        <f>IF('Bulk Order Details'!M209="","",VLOOKUP('Bulk Order Details'!K209,Collection[],3)&amp;VLOOKUP('Bulk Order Details'!M209,Collar[],4)&amp;VLOOKUP('Bulk Order Details'!L209,Sleeve[],4))</f>
        <v/>
      </c>
      <c r="AF199" s="156" t="str">
        <f>IF('Bulk Order Details'!M209="","",LOOKUP('Bulk Order Details'!H209,Cut[Display],Cut[Code])&amp;LOOKUP('Bulk Order Details'!I209,#REF!,#REF!)&amp;IF('Bulk Order Details'!J209="","",LOOKUP('Bulk Order Details'!J209,Length[Display],Length[Code])))</f>
        <v/>
      </c>
      <c r="AG199" s="156" t="str">
        <f>IF('Bulk Order Details'!M209="","",IF('Bulk Order Details'!F209="","",'Bulk Order Details'!F209))</f>
        <v/>
      </c>
      <c r="AH199" s="156" t="str">
        <f>IF('Bulk Order Details'!R209="","","-"&amp;LOOKUP('Bulk Order Details'!R209,#REF!,#REF!))</f>
        <v/>
      </c>
      <c r="AI199" s="156" t="str">
        <f>IF('Bulk Order Details'!S209="","","-"&amp;LOOKUP('Bulk Order Details'!S209,#REF!,#REF!))</f>
        <v/>
      </c>
      <c r="AJ199" s="156" t="str">
        <f>IF('Bulk Order Details'!T209="","","-"&amp;LOOKUP('Bulk Order Details'!T209,#REF!,#REF!))</f>
        <v/>
      </c>
      <c r="AK199" s="156" t="str">
        <f>IF('Bulk Order Details'!U209="","","-"&amp;LOOKUP('Bulk Order Details'!U209,#REF!,#REF!))</f>
        <v/>
      </c>
      <c r="AL199" s="156" t="str">
        <f>IF('Bulk Order Details'!V209="","","-"&amp;LOOKUP('Bulk Order Details'!V209,#REF!,#REF!))</f>
        <v/>
      </c>
      <c r="AM199" s="156" t="str">
        <f t="shared" si="17"/>
        <v/>
      </c>
      <c r="AN199" s="156" t="str">
        <f>IF('Bulk Order Details'!N209="","","Na-"&amp;'Bulk Order Details'!N209)</f>
        <v/>
      </c>
      <c r="AO199" s="156" t="str">
        <f>IF('Bulk Order Details'!Q209="","","Fo-"&amp;'Bulk Order Details'!Q209)</f>
        <v/>
      </c>
      <c r="AP199" s="156" t="str">
        <f t="shared" si="18"/>
        <v/>
      </c>
      <c r="AQ199" s="37" t="str">
        <f t="shared" si="19"/>
        <v/>
      </c>
    </row>
    <row r="200" spans="2:43" ht="15" customHeight="1" x14ac:dyDescent="0.2">
      <c r="B200" s="34">
        <f>'Bulk Order Details'!B210</f>
        <v>197</v>
      </c>
      <c r="C200" s="34" t="str">
        <f>IF('Bulk Order Details'!C210="","",'Bulk Order Details'!C210&amp;" "&amp;'Bulk Order Details'!D210)</f>
        <v/>
      </c>
      <c r="D200" s="31" t="str">
        <f>IF('Bulk Order Details'!M210="","",VLOOKUP(1,Price[],3))</f>
        <v/>
      </c>
      <c r="E200" s="29" t="str">
        <f>IF('Bulk Order Details'!M210="","",Summary!$D$9)</f>
        <v/>
      </c>
      <c r="F200" s="16" t="str">
        <f>IF('Bulk Order Details'!I210="","",_xlfn.XLOOKUP('Bulk Order Details'!I210,Size[Display],Size[Price]))</f>
        <v/>
      </c>
      <c r="G200" s="16" t="str">
        <f>IF('Bulk Order Details'!J210="","",_xlfn.XLOOKUP('Bulk Order Details'!J210,Length[Display],Length[Price]))</f>
        <v/>
      </c>
      <c r="H200" s="16" t="str">
        <f>IF('Bulk Order Details'!K210="","",_xlfn.XLOOKUP('Bulk Order Details'!K210,Collection[Display],Collection[Price]))</f>
        <v/>
      </c>
      <c r="I200" s="16" t="str">
        <f>IF('Bulk Order Details'!L210="","",_xlfn.XLOOKUP('Bulk Order Details'!L210,Sleeve[Display],Sleeve[Price]))</f>
        <v/>
      </c>
      <c r="J200" s="16" t="str">
        <f>IF('Bulk Order Details'!M210="","",_xlfn.XLOOKUP('Bulk Order Details'!M210,Collar[Display],Collar[Price]))</f>
        <v/>
      </c>
      <c r="K200" s="16" t="str">
        <f>IF('Bulk Order Details'!N210="","",_xlfn.XLOOKUP("Name",Name[Name],Name[Price]))</f>
        <v/>
      </c>
      <c r="L200" s="18" t="str">
        <f>IFERROR(IF('Bulk Order Details'!R210="","",IF(_xlfn.XLOOKUP('Bulk Order Details'!R210,Logos[Display],Logos[Use])="Flat",_xlfn.XLOOKUP('Bulk Order Details'!R210,Logos[Display],Logos[Flat]),ROUND(_xlfn.XLOOKUP('Bulk Order Details'!R210,Logos[Display],Logos[Pct])*$E200,2))),"")</f>
        <v/>
      </c>
      <c r="M200" s="22" t="str">
        <f>IFERROR(IF('Bulk Order Details'!S210="","",IF(_xlfn.XLOOKUP('Bulk Order Details'!S210,Chest[Display],Chest[Use])="Flat",_xlfn.XLOOKUP('Bulk Order Details'!S210,Chest[Display],Chest[Flat]),ROUND(_xlfn.XLOOKUP('Bulk Order Details'!S210,Chest[Display],Chest[Pct])*$E200,2))),"")</f>
        <v/>
      </c>
      <c r="N200" s="22" t="str">
        <f>IFERROR(IF('Bulk Order Details'!T210="","",IF(_xlfn.XLOOKUP('Bulk Order Details'!T210,Chest[Display],Chest[Use])="Flat",_xlfn.XLOOKUP('Bulk Order Details'!T210,Chest[Display],Chest[Flat]),ROUND(_xlfn.XLOOKUP('Bulk Order Details'!T210,Chest[Display],Chest[Pct])*$E200,2))),"")</f>
        <v/>
      </c>
      <c r="O200" s="22" t="str">
        <f>IFERROR(IF('Bulk Order Details'!U210="","",IF(_xlfn.XLOOKUP('Bulk Order Details'!U210,LeftSleeve[Display],LeftSleeve[Use])="Flat",_xlfn.XLOOKUP('Bulk Order Details'!U210,LeftSleeve[Display],LeftSleeve[Flat]),ROUND(_xlfn.XLOOKUP('Bulk Order Details'!U210,LeftSleeve[Display],LeftSleeve[Pct])*$E200,2))),"")</f>
        <v/>
      </c>
      <c r="P200" s="22" t="str">
        <f>IFERROR(IF('Bulk Order Details'!V210="","",IF(_xlfn.XLOOKUP('Bulk Order Details'!V210,RightSleeve[Display],RightSleeve[Use])="Flat",_xlfn.XLOOKUP('Bulk Order Details'!V210,RightSleeve[Display],RightSleeve[Flat]),ROUND(_xlfn.XLOOKUP('Bulk Order Details'!V210,RightSleeve[Display],RightSleeve[Pct])*$E200,2))),"")</f>
        <v/>
      </c>
      <c r="Q200" s="27" t="str">
        <f>IF('Bulk Order Details'!M210="","",SUM(F200:P200))</f>
        <v/>
      </c>
      <c r="R200" s="24" t="str">
        <f t="shared" si="16"/>
        <v/>
      </c>
      <c r="S200" s="23" t="str">
        <f>IFERROR(MIN(IF(Summary!$D$11="Yes",-J200,0),IF(H200&gt;0,-J200,0)),"")</f>
        <v/>
      </c>
      <c r="T200" s="16" t="str">
        <f>IFERROR(IF(Summary!$D$10="Yes",-K200,""),"")</f>
        <v/>
      </c>
      <c r="U200" s="18" t="str">
        <f>IFERROR(IF(Summary!$D$12="Yes",-L200,""),"")</f>
        <v/>
      </c>
      <c r="V200" s="25" t="str">
        <f>IF('Bulk Order Details'!M210="","",SUM(R200:U200))</f>
        <v/>
      </c>
      <c r="W200" s="36" t="str">
        <f>IF('Bulk Order Details'!M210="","",D200+Q200)</f>
        <v/>
      </c>
      <c r="X200" s="37" t="str">
        <f>IF('Bulk Order Details'!M210="","",D200+Q200+V200)</f>
        <v/>
      </c>
      <c r="Y200" s="168" t="str">
        <f t="shared" si="15"/>
        <v/>
      </c>
      <c r="Z200" s="173" t="str">
        <f>IF('Bulk Order Details'!M210="","",MAX(1,'Bulk Order Details'!G210))</f>
        <v/>
      </c>
      <c r="AA200" s="196" t="str">
        <f>IF(Pricing_Details[[#This Row],[Quantity]]="","",Pricing_Details[[#This Row],[Retail Price]]*Pricing_Details[[#This Row],[Quantity]])</f>
        <v/>
      </c>
      <c r="AB200" s="196" t="str">
        <f>IF(Pricing_Details[[#This Row],[Quantity]]="","",Pricing_Details[[#This Row],[Total Discount]]*Pricing_Details[[#This Row],[Quantity]])</f>
        <v/>
      </c>
      <c r="AC200" s="176" t="str">
        <f>IFERROR(ROUND(Pricing_Details[[#This Row],[Actual Price]]*Pricing_Details[[#This Row],[Quantity]],2),"")</f>
        <v/>
      </c>
      <c r="AE200" s="156" t="str">
        <f>IF('Bulk Order Details'!M210="","",VLOOKUP('Bulk Order Details'!K210,Collection[],3)&amp;VLOOKUP('Bulk Order Details'!M210,Collar[],4)&amp;VLOOKUP('Bulk Order Details'!L210,Sleeve[],4))</f>
        <v/>
      </c>
      <c r="AF200" s="156" t="str">
        <f>IF('Bulk Order Details'!M210="","",LOOKUP('Bulk Order Details'!H210,Cut[Display],Cut[Code])&amp;LOOKUP('Bulk Order Details'!I210,#REF!,#REF!)&amp;IF('Bulk Order Details'!J210="","",LOOKUP('Bulk Order Details'!J210,Length[Display],Length[Code])))</f>
        <v/>
      </c>
      <c r="AG200" s="156" t="str">
        <f>IF('Bulk Order Details'!M210="","",IF('Bulk Order Details'!F210="","",'Bulk Order Details'!F210))</f>
        <v/>
      </c>
      <c r="AH200" s="156" t="str">
        <f>IF('Bulk Order Details'!R210="","","-"&amp;LOOKUP('Bulk Order Details'!R210,#REF!,#REF!))</f>
        <v/>
      </c>
      <c r="AI200" s="156" t="str">
        <f>IF('Bulk Order Details'!S210="","","-"&amp;LOOKUP('Bulk Order Details'!S210,#REF!,#REF!))</f>
        <v/>
      </c>
      <c r="AJ200" s="156" t="str">
        <f>IF('Bulk Order Details'!T210="","","-"&amp;LOOKUP('Bulk Order Details'!T210,#REF!,#REF!))</f>
        <v/>
      </c>
      <c r="AK200" s="156" t="str">
        <f>IF('Bulk Order Details'!U210="","","-"&amp;LOOKUP('Bulk Order Details'!U210,#REF!,#REF!))</f>
        <v/>
      </c>
      <c r="AL200" s="156" t="str">
        <f>IF('Bulk Order Details'!V210="","","-"&amp;LOOKUP('Bulk Order Details'!V210,#REF!,#REF!))</f>
        <v/>
      </c>
      <c r="AM200" s="156" t="str">
        <f t="shared" si="17"/>
        <v/>
      </c>
      <c r="AN200" s="156" t="str">
        <f>IF('Bulk Order Details'!N210="","","Na-"&amp;'Bulk Order Details'!N210)</f>
        <v/>
      </c>
      <c r="AO200" s="156" t="str">
        <f>IF('Bulk Order Details'!Q210="","","Fo-"&amp;'Bulk Order Details'!Q210)</f>
        <v/>
      </c>
      <c r="AP200" s="156" t="str">
        <f t="shared" si="18"/>
        <v/>
      </c>
      <c r="AQ200" s="37" t="str">
        <f t="shared" si="19"/>
        <v/>
      </c>
    </row>
    <row r="201" spans="2:43" ht="15" customHeight="1" x14ac:dyDescent="0.2">
      <c r="B201" s="34">
        <f>'Bulk Order Details'!B211</f>
        <v>198</v>
      </c>
      <c r="C201" s="34" t="str">
        <f>IF('Bulk Order Details'!C211="","",'Bulk Order Details'!C211&amp;" "&amp;'Bulk Order Details'!D211)</f>
        <v/>
      </c>
      <c r="D201" s="31" t="str">
        <f>IF('Bulk Order Details'!M211="","",VLOOKUP(1,Price[],3))</f>
        <v/>
      </c>
      <c r="E201" s="29" t="str">
        <f>IF('Bulk Order Details'!M211="","",Summary!$D$9)</f>
        <v/>
      </c>
      <c r="F201" s="16" t="str">
        <f>IF('Bulk Order Details'!I211="","",_xlfn.XLOOKUP('Bulk Order Details'!I211,Size[Display],Size[Price]))</f>
        <v/>
      </c>
      <c r="G201" s="16" t="str">
        <f>IF('Bulk Order Details'!J211="","",_xlfn.XLOOKUP('Bulk Order Details'!J211,Length[Display],Length[Price]))</f>
        <v/>
      </c>
      <c r="H201" s="16" t="str">
        <f>IF('Bulk Order Details'!K211="","",_xlfn.XLOOKUP('Bulk Order Details'!K211,Collection[Display],Collection[Price]))</f>
        <v/>
      </c>
      <c r="I201" s="16" t="str">
        <f>IF('Bulk Order Details'!L211="","",_xlfn.XLOOKUP('Bulk Order Details'!L211,Sleeve[Display],Sleeve[Price]))</f>
        <v/>
      </c>
      <c r="J201" s="16" t="str">
        <f>IF('Bulk Order Details'!M211="","",_xlfn.XLOOKUP('Bulk Order Details'!M211,Collar[Display],Collar[Price]))</f>
        <v/>
      </c>
      <c r="K201" s="16" t="str">
        <f>IF('Bulk Order Details'!N211="","",_xlfn.XLOOKUP("Name",Name[Name],Name[Price]))</f>
        <v/>
      </c>
      <c r="L201" s="18" t="str">
        <f>IFERROR(IF('Bulk Order Details'!R211="","",IF(_xlfn.XLOOKUP('Bulk Order Details'!R211,Logos[Display],Logos[Use])="Flat",_xlfn.XLOOKUP('Bulk Order Details'!R211,Logos[Display],Logos[Flat]),ROUND(_xlfn.XLOOKUP('Bulk Order Details'!R211,Logos[Display],Logos[Pct])*$E201,2))),"")</f>
        <v/>
      </c>
      <c r="M201" s="22" t="str">
        <f>IFERROR(IF('Bulk Order Details'!S211="","",IF(_xlfn.XLOOKUP('Bulk Order Details'!S211,Chest[Display],Chest[Use])="Flat",_xlfn.XLOOKUP('Bulk Order Details'!S211,Chest[Display],Chest[Flat]),ROUND(_xlfn.XLOOKUP('Bulk Order Details'!S211,Chest[Display],Chest[Pct])*$E201,2))),"")</f>
        <v/>
      </c>
      <c r="N201" s="22" t="str">
        <f>IFERROR(IF('Bulk Order Details'!T211="","",IF(_xlfn.XLOOKUP('Bulk Order Details'!T211,Chest[Display],Chest[Use])="Flat",_xlfn.XLOOKUP('Bulk Order Details'!T211,Chest[Display],Chest[Flat]),ROUND(_xlfn.XLOOKUP('Bulk Order Details'!T211,Chest[Display],Chest[Pct])*$E201,2))),"")</f>
        <v/>
      </c>
      <c r="O201" s="22" t="str">
        <f>IFERROR(IF('Bulk Order Details'!U211="","",IF(_xlfn.XLOOKUP('Bulk Order Details'!U211,LeftSleeve[Display],LeftSleeve[Use])="Flat",_xlfn.XLOOKUP('Bulk Order Details'!U211,LeftSleeve[Display],LeftSleeve[Flat]),ROUND(_xlfn.XLOOKUP('Bulk Order Details'!U211,LeftSleeve[Display],LeftSleeve[Pct])*$E201,2))),"")</f>
        <v/>
      </c>
      <c r="P201" s="22" t="str">
        <f>IFERROR(IF('Bulk Order Details'!V211="","",IF(_xlfn.XLOOKUP('Bulk Order Details'!V211,RightSleeve[Display],RightSleeve[Use])="Flat",_xlfn.XLOOKUP('Bulk Order Details'!V211,RightSleeve[Display],RightSleeve[Flat]),ROUND(_xlfn.XLOOKUP('Bulk Order Details'!V211,RightSleeve[Display],RightSleeve[Pct])*$E201,2))),"")</f>
        <v/>
      </c>
      <c r="Q201" s="27" t="str">
        <f>IF('Bulk Order Details'!M211="","",SUM(F201:P201))</f>
        <v/>
      </c>
      <c r="R201" s="24" t="str">
        <f t="shared" si="16"/>
        <v/>
      </c>
      <c r="S201" s="23" t="str">
        <f>IFERROR(MIN(IF(Summary!$D$11="Yes",-J201,0),IF(H201&gt;0,-J201,0)),"")</f>
        <v/>
      </c>
      <c r="T201" s="16" t="str">
        <f>IFERROR(IF(Summary!$D$10="Yes",-K201,""),"")</f>
        <v/>
      </c>
      <c r="U201" s="18" t="str">
        <f>IFERROR(IF(Summary!$D$12="Yes",-L201,""),"")</f>
        <v/>
      </c>
      <c r="V201" s="25" t="str">
        <f>IF('Bulk Order Details'!M211="","",SUM(R201:U201))</f>
        <v/>
      </c>
      <c r="W201" s="36" t="str">
        <f>IF('Bulk Order Details'!M211="","",D201+Q201)</f>
        <v/>
      </c>
      <c r="X201" s="37" t="str">
        <f>IF('Bulk Order Details'!M211="","",D201+Q201+V201)</f>
        <v/>
      </c>
      <c r="Y201" s="168" t="str">
        <f t="shared" si="15"/>
        <v/>
      </c>
      <c r="Z201" s="173" t="str">
        <f>IF('Bulk Order Details'!M211="","",MAX(1,'Bulk Order Details'!G211))</f>
        <v/>
      </c>
      <c r="AA201" s="196" t="str">
        <f>IF(Pricing_Details[[#This Row],[Quantity]]="","",Pricing_Details[[#This Row],[Retail Price]]*Pricing_Details[[#This Row],[Quantity]])</f>
        <v/>
      </c>
      <c r="AB201" s="196" t="str">
        <f>IF(Pricing_Details[[#This Row],[Quantity]]="","",Pricing_Details[[#This Row],[Total Discount]]*Pricing_Details[[#This Row],[Quantity]])</f>
        <v/>
      </c>
      <c r="AC201" s="176" t="str">
        <f>IFERROR(ROUND(Pricing_Details[[#This Row],[Actual Price]]*Pricing_Details[[#This Row],[Quantity]],2),"")</f>
        <v/>
      </c>
      <c r="AE201" s="156" t="str">
        <f>IF('Bulk Order Details'!M211="","",VLOOKUP('Bulk Order Details'!K211,Collection[],3)&amp;VLOOKUP('Bulk Order Details'!M211,Collar[],4)&amp;VLOOKUP('Bulk Order Details'!L211,Sleeve[],4))</f>
        <v/>
      </c>
      <c r="AF201" s="156" t="str">
        <f>IF('Bulk Order Details'!M211="","",LOOKUP('Bulk Order Details'!H211,Cut[Display],Cut[Code])&amp;LOOKUP('Bulk Order Details'!I211,#REF!,#REF!)&amp;IF('Bulk Order Details'!J211="","",LOOKUP('Bulk Order Details'!J211,Length[Display],Length[Code])))</f>
        <v/>
      </c>
      <c r="AG201" s="156" t="str">
        <f>IF('Bulk Order Details'!M211="","",IF('Bulk Order Details'!F211="","",'Bulk Order Details'!F211))</f>
        <v/>
      </c>
      <c r="AH201" s="156" t="str">
        <f>IF('Bulk Order Details'!R211="","","-"&amp;LOOKUP('Bulk Order Details'!R211,#REF!,#REF!))</f>
        <v/>
      </c>
      <c r="AI201" s="156" t="str">
        <f>IF('Bulk Order Details'!S211="","","-"&amp;LOOKUP('Bulk Order Details'!S211,#REF!,#REF!))</f>
        <v/>
      </c>
      <c r="AJ201" s="156" t="str">
        <f>IF('Bulk Order Details'!T211="","","-"&amp;LOOKUP('Bulk Order Details'!T211,#REF!,#REF!))</f>
        <v/>
      </c>
      <c r="AK201" s="156" t="str">
        <f>IF('Bulk Order Details'!U211="","","-"&amp;LOOKUP('Bulk Order Details'!U211,#REF!,#REF!))</f>
        <v/>
      </c>
      <c r="AL201" s="156" t="str">
        <f>IF('Bulk Order Details'!V211="","","-"&amp;LOOKUP('Bulk Order Details'!V211,#REF!,#REF!))</f>
        <v/>
      </c>
      <c r="AM201" s="156" t="str">
        <f t="shared" si="17"/>
        <v/>
      </c>
      <c r="AN201" s="156" t="str">
        <f>IF('Bulk Order Details'!N211="","","Na-"&amp;'Bulk Order Details'!N211)</f>
        <v/>
      </c>
      <c r="AO201" s="156" t="str">
        <f>IF('Bulk Order Details'!Q211="","","Fo-"&amp;'Bulk Order Details'!Q211)</f>
        <v/>
      </c>
      <c r="AP201" s="156" t="str">
        <f t="shared" si="18"/>
        <v/>
      </c>
      <c r="AQ201" s="37" t="str">
        <f t="shared" si="19"/>
        <v/>
      </c>
    </row>
    <row r="202" spans="2:43" ht="15" customHeight="1" x14ac:dyDescent="0.2">
      <c r="B202" s="34">
        <f>'Bulk Order Details'!B212</f>
        <v>199</v>
      </c>
      <c r="C202" s="34" t="str">
        <f>IF('Bulk Order Details'!C212="","",'Bulk Order Details'!C212&amp;" "&amp;'Bulk Order Details'!D212)</f>
        <v/>
      </c>
      <c r="D202" s="31" t="str">
        <f>IF('Bulk Order Details'!M212="","",VLOOKUP(1,Price[],3))</f>
        <v/>
      </c>
      <c r="E202" s="29" t="str">
        <f>IF('Bulk Order Details'!M212="","",Summary!$D$9)</f>
        <v/>
      </c>
      <c r="F202" s="16" t="str">
        <f>IF('Bulk Order Details'!I212="","",_xlfn.XLOOKUP('Bulk Order Details'!I212,Size[Display],Size[Price]))</f>
        <v/>
      </c>
      <c r="G202" s="16" t="str">
        <f>IF('Bulk Order Details'!J212="","",_xlfn.XLOOKUP('Bulk Order Details'!J212,Length[Display],Length[Price]))</f>
        <v/>
      </c>
      <c r="H202" s="16" t="str">
        <f>IF('Bulk Order Details'!K212="","",_xlfn.XLOOKUP('Bulk Order Details'!K212,Collection[Display],Collection[Price]))</f>
        <v/>
      </c>
      <c r="I202" s="16" t="str">
        <f>IF('Bulk Order Details'!L212="","",_xlfn.XLOOKUP('Bulk Order Details'!L212,Sleeve[Display],Sleeve[Price]))</f>
        <v/>
      </c>
      <c r="J202" s="16" t="str">
        <f>IF('Bulk Order Details'!M212="","",_xlfn.XLOOKUP('Bulk Order Details'!M212,Collar[Display],Collar[Price]))</f>
        <v/>
      </c>
      <c r="K202" s="16" t="str">
        <f>IF('Bulk Order Details'!N212="","",_xlfn.XLOOKUP("Name",Name[Name],Name[Price]))</f>
        <v/>
      </c>
      <c r="L202" s="18" t="str">
        <f>IFERROR(IF('Bulk Order Details'!R212="","",IF(_xlfn.XLOOKUP('Bulk Order Details'!R212,Logos[Display],Logos[Use])="Flat",_xlfn.XLOOKUP('Bulk Order Details'!R212,Logos[Display],Logos[Flat]),ROUND(_xlfn.XLOOKUP('Bulk Order Details'!R212,Logos[Display],Logos[Pct])*$E202,2))),"")</f>
        <v/>
      </c>
      <c r="M202" s="22" t="str">
        <f>IFERROR(IF('Bulk Order Details'!S212="","",IF(_xlfn.XLOOKUP('Bulk Order Details'!S212,Chest[Display],Chest[Use])="Flat",_xlfn.XLOOKUP('Bulk Order Details'!S212,Chest[Display],Chest[Flat]),ROUND(_xlfn.XLOOKUP('Bulk Order Details'!S212,Chest[Display],Chest[Pct])*$E202,2))),"")</f>
        <v/>
      </c>
      <c r="N202" s="22" t="str">
        <f>IFERROR(IF('Bulk Order Details'!T212="","",IF(_xlfn.XLOOKUP('Bulk Order Details'!T212,Chest[Display],Chest[Use])="Flat",_xlfn.XLOOKUP('Bulk Order Details'!T212,Chest[Display],Chest[Flat]),ROUND(_xlfn.XLOOKUP('Bulk Order Details'!T212,Chest[Display],Chest[Pct])*$E202,2))),"")</f>
        <v/>
      </c>
      <c r="O202" s="22" t="str">
        <f>IFERROR(IF('Bulk Order Details'!U212="","",IF(_xlfn.XLOOKUP('Bulk Order Details'!U212,LeftSleeve[Display],LeftSleeve[Use])="Flat",_xlfn.XLOOKUP('Bulk Order Details'!U212,LeftSleeve[Display],LeftSleeve[Flat]),ROUND(_xlfn.XLOOKUP('Bulk Order Details'!U212,LeftSleeve[Display],LeftSleeve[Pct])*$E202,2))),"")</f>
        <v/>
      </c>
      <c r="P202" s="22" t="str">
        <f>IFERROR(IF('Bulk Order Details'!V212="","",IF(_xlfn.XLOOKUP('Bulk Order Details'!V212,RightSleeve[Display],RightSleeve[Use])="Flat",_xlfn.XLOOKUP('Bulk Order Details'!V212,RightSleeve[Display],RightSleeve[Flat]),ROUND(_xlfn.XLOOKUP('Bulk Order Details'!V212,RightSleeve[Display],RightSleeve[Pct])*$E202,2))),"")</f>
        <v/>
      </c>
      <c r="Q202" s="27" t="str">
        <f>IF('Bulk Order Details'!M212="","",SUM(F202:P202))</f>
        <v/>
      </c>
      <c r="R202" s="24" t="str">
        <f t="shared" si="16"/>
        <v/>
      </c>
      <c r="S202" s="23" t="str">
        <f>IFERROR(MIN(IF(Summary!$D$11="Yes",-J202,0),IF(H202&gt;0,-J202,0)),"")</f>
        <v/>
      </c>
      <c r="T202" s="16" t="str">
        <f>IFERROR(IF(Summary!$D$10="Yes",-K202,""),"")</f>
        <v/>
      </c>
      <c r="U202" s="18" t="str">
        <f>IFERROR(IF(Summary!$D$12="Yes",-L202,""),"")</f>
        <v/>
      </c>
      <c r="V202" s="25" t="str">
        <f>IF('Bulk Order Details'!M212="","",SUM(R202:U202))</f>
        <v/>
      </c>
      <c r="W202" s="36" t="str">
        <f>IF('Bulk Order Details'!M212="","",D202+Q202)</f>
        <v/>
      </c>
      <c r="X202" s="37" t="str">
        <f>IF('Bulk Order Details'!M212="","",D202+Q202+V202)</f>
        <v/>
      </c>
      <c r="Y202" s="168" t="str">
        <f t="shared" si="15"/>
        <v/>
      </c>
      <c r="Z202" s="173" t="str">
        <f>IF('Bulk Order Details'!M212="","",MAX(1,'Bulk Order Details'!G212))</f>
        <v/>
      </c>
      <c r="AA202" s="196" t="str">
        <f>IF(Pricing_Details[[#This Row],[Quantity]]="","",Pricing_Details[[#This Row],[Retail Price]]*Pricing_Details[[#This Row],[Quantity]])</f>
        <v/>
      </c>
      <c r="AB202" s="196" t="str">
        <f>IF(Pricing_Details[[#This Row],[Quantity]]="","",Pricing_Details[[#This Row],[Total Discount]]*Pricing_Details[[#This Row],[Quantity]])</f>
        <v/>
      </c>
      <c r="AC202" s="176" t="str">
        <f>IFERROR(ROUND(Pricing_Details[[#This Row],[Actual Price]]*Pricing_Details[[#This Row],[Quantity]],2),"")</f>
        <v/>
      </c>
      <c r="AE202" s="156" t="str">
        <f>IF('Bulk Order Details'!M212="","",VLOOKUP('Bulk Order Details'!K212,Collection[],3)&amp;VLOOKUP('Bulk Order Details'!M212,Collar[],4)&amp;VLOOKUP('Bulk Order Details'!L212,Sleeve[],4))</f>
        <v/>
      </c>
      <c r="AF202" s="156" t="str">
        <f>IF('Bulk Order Details'!M212="","",LOOKUP('Bulk Order Details'!H212,Cut[Display],Cut[Code])&amp;LOOKUP('Bulk Order Details'!I212,#REF!,#REF!)&amp;IF('Bulk Order Details'!J212="","",LOOKUP('Bulk Order Details'!J212,Length[Display],Length[Code])))</f>
        <v/>
      </c>
      <c r="AG202" s="156" t="str">
        <f>IF('Bulk Order Details'!M212="","",IF('Bulk Order Details'!F212="","",'Bulk Order Details'!F212))</f>
        <v/>
      </c>
      <c r="AH202" s="156" t="str">
        <f>IF('Bulk Order Details'!R212="","","-"&amp;LOOKUP('Bulk Order Details'!R212,#REF!,#REF!))</f>
        <v/>
      </c>
      <c r="AI202" s="156" t="str">
        <f>IF('Bulk Order Details'!S212="","","-"&amp;LOOKUP('Bulk Order Details'!S212,#REF!,#REF!))</f>
        <v/>
      </c>
      <c r="AJ202" s="156" t="str">
        <f>IF('Bulk Order Details'!T212="","","-"&amp;LOOKUP('Bulk Order Details'!T212,#REF!,#REF!))</f>
        <v/>
      </c>
      <c r="AK202" s="156" t="str">
        <f>IF('Bulk Order Details'!U212="","","-"&amp;LOOKUP('Bulk Order Details'!U212,#REF!,#REF!))</f>
        <v/>
      </c>
      <c r="AL202" s="156" t="str">
        <f>IF('Bulk Order Details'!V212="","","-"&amp;LOOKUP('Bulk Order Details'!V212,#REF!,#REF!))</f>
        <v/>
      </c>
      <c r="AM202" s="156" t="str">
        <f t="shared" si="17"/>
        <v/>
      </c>
      <c r="AN202" s="156" t="str">
        <f>IF('Bulk Order Details'!N212="","","Na-"&amp;'Bulk Order Details'!N212)</f>
        <v/>
      </c>
      <c r="AO202" s="156" t="str">
        <f>IF('Bulk Order Details'!Q212="","","Fo-"&amp;'Bulk Order Details'!Q212)</f>
        <v/>
      </c>
      <c r="AP202" s="156" t="str">
        <f t="shared" si="18"/>
        <v/>
      </c>
      <c r="AQ202" s="37" t="str">
        <f t="shared" si="19"/>
        <v/>
      </c>
    </row>
    <row r="203" spans="2:43" ht="15" customHeight="1" x14ac:dyDescent="0.2">
      <c r="B203" s="34">
        <f>'Bulk Order Details'!B213</f>
        <v>200</v>
      </c>
      <c r="C203" s="34" t="str">
        <f>IF('Bulk Order Details'!C213="","",'Bulk Order Details'!C213&amp;" "&amp;'Bulk Order Details'!D213)</f>
        <v/>
      </c>
      <c r="D203" s="31" t="str">
        <f>IF('Bulk Order Details'!M213="","",VLOOKUP(1,Price[],3))</f>
        <v/>
      </c>
      <c r="E203" s="29" t="str">
        <f>IF('Bulk Order Details'!M213="","",Summary!$D$9)</f>
        <v/>
      </c>
      <c r="F203" s="16" t="str">
        <f>IF('Bulk Order Details'!I213="","",_xlfn.XLOOKUP('Bulk Order Details'!I213,Size[Display],Size[Price]))</f>
        <v/>
      </c>
      <c r="G203" s="16" t="str">
        <f>IF('Bulk Order Details'!J213="","",_xlfn.XLOOKUP('Bulk Order Details'!J213,Length[Display],Length[Price]))</f>
        <v/>
      </c>
      <c r="H203" s="16" t="str">
        <f>IF('Bulk Order Details'!K213="","",_xlfn.XLOOKUP('Bulk Order Details'!K213,Collection[Display],Collection[Price]))</f>
        <v/>
      </c>
      <c r="I203" s="16" t="str">
        <f>IF('Bulk Order Details'!L213="","",_xlfn.XLOOKUP('Bulk Order Details'!L213,Sleeve[Display],Sleeve[Price]))</f>
        <v/>
      </c>
      <c r="J203" s="16" t="str">
        <f>IF('Bulk Order Details'!M213="","",_xlfn.XLOOKUP('Bulk Order Details'!M213,Collar[Display],Collar[Price]))</f>
        <v/>
      </c>
      <c r="K203" s="16" t="str">
        <f>IF('Bulk Order Details'!N213="","",_xlfn.XLOOKUP("Name",Name[Name],Name[Price]))</f>
        <v/>
      </c>
      <c r="L203" s="18" t="str">
        <f>IFERROR(IF('Bulk Order Details'!R213="","",IF(_xlfn.XLOOKUP('Bulk Order Details'!R213,Logos[Display],Logos[Use])="Flat",_xlfn.XLOOKUP('Bulk Order Details'!R213,Logos[Display],Logos[Flat]),ROUND(_xlfn.XLOOKUP('Bulk Order Details'!R213,Logos[Display],Logos[Pct])*$E203,2))),"")</f>
        <v/>
      </c>
      <c r="M203" s="22" t="str">
        <f>IFERROR(IF('Bulk Order Details'!S213="","",IF(_xlfn.XLOOKUP('Bulk Order Details'!S213,Chest[Display],Chest[Use])="Flat",_xlfn.XLOOKUP('Bulk Order Details'!S213,Chest[Display],Chest[Flat]),ROUND(_xlfn.XLOOKUP('Bulk Order Details'!S213,Chest[Display],Chest[Pct])*$E203,2))),"")</f>
        <v/>
      </c>
      <c r="N203" s="22" t="str">
        <f>IFERROR(IF('Bulk Order Details'!T213="","",IF(_xlfn.XLOOKUP('Bulk Order Details'!T213,Chest[Display],Chest[Use])="Flat",_xlfn.XLOOKUP('Bulk Order Details'!T213,Chest[Display],Chest[Flat]),ROUND(_xlfn.XLOOKUP('Bulk Order Details'!T213,Chest[Display],Chest[Pct])*$E203,2))),"")</f>
        <v/>
      </c>
      <c r="O203" s="22" t="str">
        <f>IFERROR(IF('Bulk Order Details'!U213="","",IF(_xlfn.XLOOKUP('Bulk Order Details'!U213,LeftSleeve[Display],LeftSleeve[Use])="Flat",_xlfn.XLOOKUP('Bulk Order Details'!U213,LeftSleeve[Display],LeftSleeve[Flat]),ROUND(_xlfn.XLOOKUP('Bulk Order Details'!U213,LeftSleeve[Display],LeftSleeve[Pct])*$E203,2))),"")</f>
        <v/>
      </c>
      <c r="P203" s="22" t="str">
        <f>IFERROR(IF('Bulk Order Details'!V213="","",IF(_xlfn.XLOOKUP('Bulk Order Details'!V213,RightSleeve[Display],RightSleeve[Use])="Flat",_xlfn.XLOOKUP('Bulk Order Details'!V213,RightSleeve[Display],RightSleeve[Flat]),ROUND(_xlfn.XLOOKUP('Bulk Order Details'!V213,RightSleeve[Display],RightSleeve[Pct])*$E203,2))),"")</f>
        <v/>
      </c>
      <c r="Q203" s="27" t="str">
        <f>IF('Bulk Order Details'!M213="","",SUM(F203:P203))</f>
        <v/>
      </c>
      <c r="R203" s="24" t="str">
        <f t="shared" si="16"/>
        <v/>
      </c>
      <c r="S203" s="23" t="str">
        <f>IFERROR(MIN(IF(Summary!$D$11="Yes",-J203,0),IF(H203&gt;0,-J203,0)),"")</f>
        <v/>
      </c>
      <c r="T203" s="16" t="str">
        <f>IFERROR(IF(Summary!$D$10="Yes",-K203,""),"")</f>
        <v/>
      </c>
      <c r="U203" s="18" t="str">
        <f>IFERROR(IF(Summary!$D$12="Yes",-L203,""),"")</f>
        <v/>
      </c>
      <c r="V203" s="25" t="str">
        <f>IF('Bulk Order Details'!M213="","",SUM(R203:U203))</f>
        <v/>
      </c>
      <c r="W203" s="36" t="str">
        <f>IF('Bulk Order Details'!M213="","",D203+Q203)</f>
        <v/>
      </c>
      <c r="X203" s="37" t="str">
        <f>IF('Bulk Order Details'!M213="","",D203+Q203+V203)</f>
        <v/>
      </c>
      <c r="Y203" s="168" t="str">
        <f t="shared" si="15"/>
        <v/>
      </c>
      <c r="Z203" s="173" t="str">
        <f>IF('Bulk Order Details'!M213="","",MAX(1,'Bulk Order Details'!G213))</f>
        <v/>
      </c>
      <c r="AA203" s="196" t="str">
        <f>IF(Pricing_Details[[#This Row],[Quantity]]="","",Pricing_Details[[#This Row],[Retail Price]]*Pricing_Details[[#This Row],[Quantity]])</f>
        <v/>
      </c>
      <c r="AB203" s="196" t="str">
        <f>IF(Pricing_Details[[#This Row],[Quantity]]="","",Pricing_Details[[#This Row],[Total Discount]]*Pricing_Details[[#This Row],[Quantity]])</f>
        <v/>
      </c>
      <c r="AC203" s="176" t="str">
        <f>IFERROR(ROUND(Pricing_Details[[#This Row],[Actual Price]]*Pricing_Details[[#This Row],[Quantity]],2),"")</f>
        <v/>
      </c>
      <c r="AE203" s="156" t="str">
        <f>IF('Bulk Order Details'!M213="","",VLOOKUP('Bulk Order Details'!K213,Collection[],3)&amp;VLOOKUP('Bulk Order Details'!M213,Collar[],4)&amp;VLOOKUP('Bulk Order Details'!L213,Sleeve[],4))</f>
        <v/>
      </c>
      <c r="AF203" s="156" t="str">
        <f>IF('Bulk Order Details'!M213="","",LOOKUP('Bulk Order Details'!H213,Cut[Display],Cut[Code])&amp;LOOKUP('Bulk Order Details'!I213,#REF!,#REF!)&amp;IF('Bulk Order Details'!J213="","",LOOKUP('Bulk Order Details'!J213,Length[Display],Length[Code])))</f>
        <v/>
      </c>
      <c r="AG203" s="156" t="str">
        <f>IF('Bulk Order Details'!M213="","",IF('Bulk Order Details'!F213="","",'Bulk Order Details'!F213))</f>
        <v/>
      </c>
      <c r="AH203" s="156" t="str">
        <f>IF('Bulk Order Details'!R213="","","-"&amp;LOOKUP('Bulk Order Details'!R213,#REF!,#REF!))</f>
        <v/>
      </c>
      <c r="AI203" s="156" t="str">
        <f>IF('Bulk Order Details'!S213="","","-"&amp;LOOKUP('Bulk Order Details'!S213,#REF!,#REF!))</f>
        <v/>
      </c>
      <c r="AJ203" s="156" t="str">
        <f>IF('Bulk Order Details'!T213="","","-"&amp;LOOKUP('Bulk Order Details'!T213,#REF!,#REF!))</f>
        <v/>
      </c>
      <c r="AK203" s="156" t="str">
        <f>IF('Bulk Order Details'!U213="","","-"&amp;LOOKUP('Bulk Order Details'!U213,#REF!,#REF!))</f>
        <v/>
      </c>
      <c r="AL203" s="156" t="str">
        <f>IF('Bulk Order Details'!V213="","","-"&amp;LOOKUP('Bulk Order Details'!V213,#REF!,#REF!))</f>
        <v/>
      </c>
      <c r="AM203" s="156" t="str">
        <f t="shared" si="17"/>
        <v/>
      </c>
      <c r="AN203" s="156" t="str">
        <f>IF('Bulk Order Details'!N213="","","Na-"&amp;'Bulk Order Details'!N213)</f>
        <v/>
      </c>
      <c r="AO203" s="156" t="str">
        <f>IF('Bulk Order Details'!Q213="","","Fo-"&amp;'Bulk Order Details'!Q213)</f>
        <v/>
      </c>
      <c r="AP203" s="156" t="str">
        <f t="shared" si="18"/>
        <v/>
      </c>
      <c r="AQ203" s="37" t="str">
        <f t="shared" si="19"/>
        <v/>
      </c>
    </row>
    <row r="204" spans="2:43" ht="15" customHeight="1" x14ac:dyDescent="0.2">
      <c r="B204" s="34">
        <f>'Bulk Order Details'!B214</f>
        <v>201</v>
      </c>
      <c r="C204" s="34" t="str">
        <f>IF('Bulk Order Details'!C214="","",'Bulk Order Details'!C214&amp;" "&amp;'Bulk Order Details'!D214)</f>
        <v/>
      </c>
      <c r="D204" s="31" t="str">
        <f>IF('Bulk Order Details'!M214="","",VLOOKUP(1,Price[],3))</f>
        <v/>
      </c>
      <c r="E204" s="29" t="str">
        <f>IF('Bulk Order Details'!M214="","",Summary!$D$9)</f>
        <v/>
      </c>
      <c r="F204" s="16" t="str">
        <f>IF('Bulk Order Details'!I214="","",_xlfn.XLOOKUP('Bulk Order Details'!I214,Size[Display],Size[Price]))</f>
        <v/>
      </c>
      <c r="G204" s="16" t="str">
        <f>IF('Bulk Order Details'!J214="","",_xlfn.XLOOKUP('Bulk Order Details'!J214,Length[Display],Length[Price]))</f>
        <v/>
      </c>
      <c r="H204" s="16" t="str">
        <f>IF('Bulk Order Details'!K214="","",_xlfn.XLOOKUP('Bulk Order Details'!K214,Collection[Display],Collection[Price]))</f>
        <v/>
      </c>
      <c r="I204" s="16" t="str">
        <f>IF('Bulk Order Details'!L214="","",_xlfn.XLOOKUP('Bulk Order Details'!L214,Sleeve[Display],Sleeve[Price]))</f>
        <v/>
      </c>
      <c r="J204" s="16" t="str">
        <f>IF('Bulk Order Details'!M214="","",_xlfn.XLOOKUP('Bulk Order Details'!M214,Collar[Display],Collar[Price]))</f>
        <v/>
      </c>
      <c r="K204" s="16" t="str">
        <f>IF('Bulk Order Details'!N214="","",_xlfn.XLOOKUP("Name",Name[Name],Name[Price]))</f>
        <v/>
      </c>
      <c r="L204" s="18" t="str">
        <f>IFERROR(IF('Bulk Order Details'!R214="","",IF(_xlfn.XLOOKUP('Bulk Order Details'!R214,Logos[Display],Logos[Use])="Flat",_xlfn.XLOOKUP('Bulk Order Details'!R214,Logos[Display],Logos[Flat]),ROUND(_xlfn.XLOOKUP('Bulk Order Details'!R214,Logos[Display],Logos[Pct])*$E204,2))),"")</f>
        <v/>
      </c>
      <c r="M204" s="22" t="str">
        <f>IFERROR(IF('Bulk Order Details'!S214="","",IF(_xlfn.XLOOKUP('Bulk Order Details'!S214,Chest[Display],Chest[Use])="Flat",_xlfn.XLOOKUP('Bulk Order Details'!S214,Chest[Display],Chest[Flat]),ROUND(_xlfn.XLOOKUP('Bulk Order Details'!S214,Chest[Display],Chest[Pct])*$E204,2))),"")</f>
        <v/>
      </c>
      <c r="N204" s="22" t="str">
        <f>IFERROR(IF('Bulk Order Details'!T214="","",IF(_xlfn.XLOOKUP('Bulk Order Details'!T214,Chest[Display],Chest[Use])="Flat",_xlfn.XLOOKUP('Bulk Order Details'!T214,Chest[Display],Chest[Flat]),ROUND(_xlfn.XLOOKUP('Bulk Order Details'!T214,Chest[Display],Chest[Pct])*$E204,2))),"")</f>
        <v/>
      </c>
      <c r="O204" s="22" t="str">
        <f>IFERROR(IF('Bulk Order Details'!U214="","",IF(_xlfn.XLOOKUP('Bulk Order Details'!U214,LeftSleeve[Display],LeftSleeve[Use])="Flat",_xlfn.XLOOKUP('Bulk Order Details'!U214,LeftSleeve[Display],LeftSleeve[Flat]),ROUND(_xlfn.XLOOKUP('Bulk Order Details'!U214,LeftSleeve[Display],LeftSleeve[Pct])*$E204,2))),"")</f>
        <v/>
      </c>
      <c r="P204" s="22" t="str">
        <f>IFERROR(IF('Bulk Order Details'!V214="","",IF(_xlfn.XLOOKUP('Bulk Order Details'!V214,RightSleeve[Display],RightSleeve[Use])="Flat",_xlfn.XLOOKUP('Bulk Order Details'!V214,RightSleeve[Display],RightSleeve[Flat]),ROUND(_xlfn.XLOOKUP('Bulk Order Details'!V214,RightSleeve[Display],RightSleeve[Pct])*$E204,2))),"")</f>
        <v/>
      </c>
      <c r="Q204" s="27" t="str">
        <f>IF('Bulk Order Details'!M214="","",SUM(F204:P204))</f>
        <v/>
      </c>
      <c r="R204" s="24" t="str">
        <f t="shared" si="16"/>
        <v/>
      </c>
      <c r="S204" s="23" t="str">
        <f>IFERROR(MIN(IF(Summary!$D$11="Yes",-J204,0),IF(H204&gt;0,-J204,0)),"")</f>
        <v/>
      </c>
      <c r="T204" s="16" t="str">
        <f>IFERROR(IF(Summary!$D$10="Yes",-K204,""),"")</f>
        <v/>
      </c>
      <c r="U204" s="18" t="str">
        <f>IFERROR(IF(Summary!$D$12="Yes",-L204,""),"")</f>
        <v/>
      </c>
      <c r="V204" s="25" t="str">
        <f>IF('Bulk Order Details'!M214="","",SUM(R204:U204))</f>
        <v/>
      </c>
      <c r="W204" s="36" t="str">
        <f>IF('Bulk Order Details'!M214="","",D204+Q204)</f>
        <v/>
      </c>
      <c r="X204" s="37" t="str">
        <f>IF('Bulk Order Details'!M214="","",D204+Q204+V204)</f>
        <v/>
      </c>
      <c r="Y204" s="168" t="str">
        <f t="shared" si="15"/>
        <v/>
      </c>
      <c r="Z204" s="173" t="str">
        <f>IF('Bulk Order Details'!M214="","",MAX(1,'Bulk Order Details'!G214))</f>
        <v/>
      </c>
      <c r="AA204" s="196" t="str">
        <f>IF(Pricing_Details[[#This Row],[Quantity]]="","",Pricing_Details[[#This Row],[Retail Price]]*Pricing_Details[[#This Row],[Quantity]])</f>
        <v/>
      </c>
      <c r="AB204" s="196" t="str">
        <f>IF(Pricing_Details[[#This Row],[Quantity]]="","",Pricing_Details[[#This Row],[Total Discount]]*Pricing_Details[[#This Row],[Quantity]])</f>
        <v/>
      </c>
      <c r="AC204" s="176" t="str">
        <f>IFERROR(ROUND(Pricing_Details[[#This Row],[Actual Price]]*Pricing_Details[[#This Row],[Quantity]],2),"")</f>
        <v/>
      </c>
      <c r="AE204" s="156" t="str">
        <f>IF('Bulk Order Details'!M214="","",VLOOKUP('Bulk Order Details'!K214,Collection[],3)&amp;VLOOKUP('Bulk Order Details'!M214,Collar[],4)&amp;VLOOKUP('Bulk Order Details'!L214,Sleeve[],4))</f>
        <v/>
      </c>
      <c r="AF204" s="156" t="str">
        <f>IF('Bulk Order Details'!M214="","",LOOKUP('Bulk Order Details'!H214,Cut[Display],Cut[Code])&amp;LOOKUP('Bulk Order Details'!I214,#REF!,#REF!)&amp;IF('Bulk Order Details'!J214="","",LOOKUP('Bulk Order Details'!J214,Length[Display],Length[Code])))</f>
        <v/>
      </c>
      <c r="AG204" s="156" t="str">
        <f>IF('Bulk Order Details'!M214="","",IF('Bulk Order Details'!F214="","",'Bulk Order Details'!F214))</f>
        <v/>
      </c>
      <c r="AH204" s="156" t="str">
        <f>IF('Bulk Order Details'!R214="","","-"&amp;LOOKUP('Bulk Order Details'!R214,#REF!,#REF!))</f>
        <v/>
      </c>
      <c r="AI204" s="156" t="str">
        <f>IF('Bulk Order Details'!S214="","","-"&amp;LOOKUP('Bulk Order Details'!S214,#REF!,#REF!))</f>
        <v/>
      </c>
      <c r="AJ204" s="156" t="str">
        <f>IF('Bulk Order Details'!T214="","","-"&amp;LOOKUP('Bulk Order Details'!T214,#REF!,#REF!))</f>
        <v/>
      </c>
      <c r="AK204" s="156" t="str">
        <f>IF('Bulk Order Details'!U214="","","-"&amp;LOOKUP('Bulk Order Details'!U214,#REF!,#REF!))</f>
        <v/>
      </c>
      <c r="AL204" s="156" t="str">
        <f>IF('Bulk Order Details'!V214="","","-"&amp;LOOKUP('Bulk Order Details'!V214,#REF!,#REF!))</f>
        <v/>
      </c>
      <c r="AM204" s="156" t="str">
        <f t="shared" si="17"/>
        <v/>
      </c>
      <c r="AN204" s="156" t="str">
        <f>IF('Bulk Order Details'!N214="","","Na-"&amp;'Bulk Order Details'!N214)</f>
        <v/>
      </c>
      <c r="AO204" s="156" t="str">
        <f>IF('Bulk Order Details'!Q214="","","Fo-"&amp;'Bulk Order Details'!Q214)</f>
        <v/>
      </c>
      <c r="AP204" s="156" t="str">
        <f t="shared" si="18"/>
        <v/>
      </c>
      <c r="AQ204" s="37" t="str">
        <f t="shared" si="19"/>
        <v/>
      </c>
    </row>
    <row r="205" spans="2:43" ht="15" customHeight="1" x14ac:dyDescent="0.2">
      <c r="B205" s="34">
        <f>'Bulk Order Details'!B215</f>
        <v>202</v>
      </c>
      <c r="C205" s="34" t="str">
        <f>IF('Bulk Order Details'!C215="","",'Bulk Order Details'!C215&amp;" "&amp;'Bulk Order Details'!D215)</f>
        <v/>
      </c>
      <c r="D205" s="31" t="str">
        <f>IF('Bulk Order Details'!M215="","",VLOOKUP(1,Price[],3))</f>
        <v/>
      </c>
      <c r="E205" s="29" t="str">
        <f>IF('Bulk Order Details'!M215="","",Summary!$D$9)</f>
        <v/>
      </c>
      <c r="F205" s="16" t="str">
        <f>IF('Bulk Order Details'!I215="","",_xlfn.XLOOKUP('Bulk Order Details'!I215,Size[Display],Size[Price]))</f>
        <v/>
      </c>
      <c r="G205" s="16" t="str">
        <f>IF('Bulk Order Details'!J215="","",_xlfn.XLOOKUP('Bulk Order Details'!J215,Length[Display],Length[Price]))</f>
        <v/>
      </c>
      <c r="H205" s="16" t="str">
        <f>IF('Bulk Order Details'!K215="","",_xlfn.XLOOKUP('Bulk Order Details'!K215,Collection[Display],Collection[Price]))</f>
        <v/>
      </c>
      <c r="I205" s="16" t="str">
        <f>IF('Bulk Order Details'!L215="","",_xlfn.XLOOKUP('Bulk Order Details'!L215,Sleeve[Display],Sleeve[Price]))</f>
        <v/>
      </c>
      <c r="J205" s="16" t="str">
        <f>IF('Bulk Order Details'!M215="","",_xlfn.XLOOKUP('Bulk Order Details'!M215,Collar[Display],Collar[Price]))</f>
        <v/>
      </c>
      <c r="K205" s="16" t="str">
        <f>IF('Bulk Order Details'!N215="","",_xlfn.XLOOKUP("Name",Name[Name],Name[Price]))</f>
        <v/>
      </c>
      <c r="L205" s="18" t="str">
        <f>IFERROR(IF('Bulk Order Details'!R215="","",IF(_xlfn.XLOOKUP('Bulk Order Details'!R215,Logos[Display],Logos[Use])="Flat",_xlfn.XLOOKUP('Bulk Order Details'!R215,Logos[Display],Logos[Flat]),ROUND(_xlfn.XLOOKUP('Bulk Order Details'!R215,Logos[Display],Logos[Pct])*$E205,2))),"")</f>
        <v/>
      </c>
      <c r="M205" s="22" t="str">
        <f>IFERROR(IF('Bulk Order Details'!S215="","",IF(_xlfn.XLOOKUP('Bulk Order Details'!S215,Chest[Display],Chest[Use])="Flat",_xlfn.XLOOKUP('Bulk Order Details'!S215,Chest[Display],Chest[Flat]),ROUND(_xlfn.XLOOKUP('Bulk Order Details'!S215,Chest[Display],Chest[Pct])*$E205,2))),"")</f>
        <v/>
      </c>
      <c r="N205" s="22" t="str">
        <f>IFERROR(IF('Bulk Order Details'!T215="","",IF(_xlfn.XLOOKUP('Bulk Order Details'!T215,Chest[Display],Chest[Use])="Flat",_xlfn.XLOOKUP('Bulk Order Details'!T215,Chest[Display],Chest[Flat]),ROUND(_xlfn.XLOOKUP('Bulk Order Details'!T215,Chest[Display],Chest[Pct])*$E205,2))),"")</f>
        <v/>
      </c>
      <c r="O205" s="22" t="str">
        <f>IFERROR(IF('Bulk Order Details'!U215="","",IF(_xlfn.XLOOKUP('Bulk Order Details'!U215,LeftSleeve[Display],LeftSleeve[Use])="Flat",_xlfn.XLOOKUP('Bulk Order Details'!U215,LeftSleeve[Display],LeftSleeve[Flat]),ROUND(_xlfn.XLOOKUP('Bulk Order Details'!U215,LeftSleeve[Display],LeftSleeve[Pct])*$E205,2))),"")</f>
        <v/>
      </c>
      <c r="P205" s="22" t="str">
        <f>IFERROR(IF('Bulk Order Details'!V215="","",IF(_xlfn.XLOOKUP('Bulk Order Details'!V215,RightSleeve[Display],RightSleeve[Use])="Flat",_xlfn.XLOOKUP('Bulk Order Details'!V215,RightSleeve[Display],RightSleeve[Flat]),ROUND(_xlfn.XLOOKUP('Bulk Order Details'!V215,RightSleeve[Display],RightSleeve[Pct])*$E205,2))),"")</f>
        <v/>
      </c>
      <c r="Q205" s="27" t="str">
        <f>IF('Bulk Order Details'!M215="","",SUM(F205:P205))</f>
        <v/>
      </c>
      <c r="R205" s="24" t="str">
        <f t="shared" si="16"/>
        <v/>
      </c>
      <c r="S205" s="23" t="str">
        <f>IFERROR(MIN(IF(Summary!$D$11="Yes",-J205,0),IF(H205&gt;0,-J205,0)),"")</f>
        <v/>
      </c>
      <c r="T205" s="16" t="str">
        <f>IFERROR(IF(Summary!$D$10="Yes",-K205,""),"")</f>
        <v/>
      </c>
      <c r="U205" s="18" t="str">
        <f>IFERROR(IF(Summary!$D$12="Yes",-L205,""),"")</f>
        <v/>
      </c>
      <c r="V205" s="25" t="str">
        <f>IF('Bulk Order Details'!M215="","",SUM(R205:U205))</f>
        <v/>
      </c>
      <c r="W205" s="36" t="str">
        <f>IF('Bulk Order Details'!M215="","",D205+Q205)</f>
        <v/>
      </c>
      <c r="X205" s="37" t="str">
        <f>IF('Bulk Order Details'!M215="","",D205+Q205+V205)</f>
        <v/>
      </c>
      <c r="Y205" s="168" t="str">
        <f t="shared" si="15"/>
        <v/>
      </c>
      <c r="Z205" s="173" t="str">
        <f>IF('Bulk Order Details'!M215="","",MAX(1,'Bulk Order Details'!G215))</f>
        <v/>
      </c>
      <c r="AA205" s="196" t="str">
        <f>IF(Pricing_Details[[#This Row],[Quantity]]="","",Pricing_Details[[#This Row],[Retail Price]]*Pricing_Details[[#This Row],[Quantity]])</f>
        <v/>
      </c>
      <c r="AB205" s="196" t="str">
        <f>IF(Pricing_Details[[#This Row],[Quantity]]="","",Pricing_Details[[#This Row],[Total Discount]]*Pricing_Details[[#This Row],[Quantity]])</f>
        <v/>
      </c>
      <c r="AC205" s="176" t="str">
        <f>IFERROR(ROUND(Pricing_Details[[#This Row],[Actual Price]]*Pricing_Details[[#This Row],[Quantity]],2),"")</f>
        <v/>
      </c>
      <c r="AE205" s="156" t="str">
        <f>IF('Bulk Order Details'!M215="","",VLOOKUP('Bulk Order Details'!K215,Collection[],3)&amp;VLOOKUP('Bulk Order Details'!M215,Collar[],4)&amp;VLOOKUP('Bulk Order Details'!L215,Sleeve[],4))</f>
        <v/>
      </c>
      <c r="AF205" s="156" t="str">
        <f>IF('Bulk Order Details'!M215="","",LOOKUP('Bulk Order Details'!H215,Cut[Display],Cut[Code])&amp;LOOKUP('Bulk Order Details'!I215,#REF!,#REF!)&amp;IF('Bulk Order Details'!J215="","",LOOKUP('Bulk Order Details'!J215,Length[Display],Length[Code])))</f>
        <v/>
      </c>
      <c r="AG205" s="156" t="str">
        <f>IF('Bulk Order Details'!M215="","",IF('Bulk Order Details'!F215="","",'Bulk Order Details'!F215))</f>
        <v/>
      </c>
      <c r="AH205" s="156" t="str">
        <f>IF('Bulk Order Details'!R215="","","-"&amp;LOOKUP('Bulk Order Details'!R215,#REF!,#REF!))</f>
        <v/>
      </c>
      <c r="AI205" s="156" t="str">
        <f>IF('Bulk Order Details'!S215="","","-"&amp;LOOKUP('Bulk Order Details'!S215,#REF!,#REF!))</f>
        <v/>
      </c>
      <c r="AJ205" s="156" t="str">
        <f>IF('Bulk Order Details'!T215="","","-"&amp;LOOKUP('Bulk Order Details'!T215,#REF!,#REF!))</f>
        <v/>
      </c>
      <c r="AK205" s="156" t="str">
        <f>IF('Bulk Order Details'!U215="","","-"&amp;LOOKUP('Bulk Order Details'!U215,#REF!,#REF!))</f>
        <v/>
      </c>
      <c r="AL205" s="156" t="str">
        <f>IF('Bulk Order Details'!V215="","","-"&amp;LOOKUP('Bulk Order Details'!V215,#REF!,#REF!))</f>
        <v/>
      </c>
      <c r="AM205" s="156" t="str">
        <f t="shared" si="17"/>
        <v/>
      </c>
      <c r="AN205" s="156" t="str">
        <f>IF('Bulk Order Details'!N215="","","Na-"&amp;'Bulk Order Details'!N215)</f>
        <v/>
      </c>
      <c r="AO205" s="156" t="str">
        <f>IF('Bulk Order Details'!Q215="","","Fo-"&amp;'Bulk Order Details'!Q215)</f>
        <v/>
      </c>
      <c r="AP205" s="156" t="str">
        <f t="shared" si="18"/>
        <v/>
      </c>
      <c r="AQ205" s="37" t="str">
        <f t="shared" si="19"/>
        <v/>
      </c>
    </row>
    <row r="206" spans="2:43" ht="15" customHeight="1" x14ac:dyDescent="0.2">
      <c r="B206" s="34">
        <f>'Bulk Order Details'!B216</f>
        <v>203</v>
      </c>
      <c r="C206" s="34" t="str">
        <f>IF('Bulk Order Details'!C216="","",'Bulk Order Details'!C216&amp;" "&amp;'Bulk Order Details'!D216)</f>
        <v/>
      </c>
      <c r="D206" s="31" t="str">
        <f>IF('Bulk Order Details'!M216="","",VLOOKUP(1,Price[],3))</f>
        <v/>
      </c>
      <c r="E206" s="29" t="str">
        <f>IF('Bulk Order Details'!M216="","",Summary!$D$9)</f>
        <v/>
      </c>
      <c r="F206" s="16" t="str">
        <f>IF('Bulk Order Details'!I216="","",_xlfn.XLOOKUP('Bulk Order Details'!I216,Size[Display],Size[Price]))</f>
        <v/>
      </c>
      <c r="G206" s="16" t="str">
        <f>IF('Bulk Order Details'!J216="","",_xlfn.XLOOKUP('Bulk Order Details'!J216,Length[Display],Length[Price]))</f>
        <v/>
      </c>
      <c r="H206" s="16" t="str">
        <f>IF('Bulk Order Details'!K216="","",_xlfn.XLOOKUP('Bulk Order Details'!K216,Collection[Display],Collection[Price]))</f>
        <v/>
      </c>
      <c r="I206" s="16" t="str">
        <f>IF('Bulk Order Details'!L216="","",_xlfn.XLOOKUP('Bulk Order Details'!L216,Sleeve[Display],Sleeve[Price]))</f>
        <v/>
      </c>
      <c r="J206" s="16" t="str">
        <f>IF('Bulk Order Details'!M216="","",_xlfn.XLOOKUP('Bulk Order Details'!M216,Collar[Display],Collar[Price]))</f>
        <v/>
      </c>
      <c r="K206" s="16" t="str">
        <f>IF('Bulk Order Details'!N216="","",_xlfn.XLOOKUP("Name",Name[Name],Name[Price]))</f>
        <v/>
      </c>
      <c r="L206" s="18" t="str">
        <f>IFERROR(IF('Bulk Order Details'!R216="","",IF(_xlfn.XLOOKUP('Bulk Order Details'!R216,Logos[Display],Logos[Use])="Flat",_xlfn.XLOOKUP('Bulk Order Details'!R216,Logos[Display],Logos[Flat]),ROUND(_xlfn.XLOOKUP('Bulk Order Details'!R216,Logos[Display],Logos[Pct])*$E206,2))),"")</f>
        <v/>
      </c>
      <c r="M206" s="22" t="str">
        <f>IFERROR(IF('Bulk Order Details'!S216="","",IF(_xlfn.XLOOKUP('Bulk Order Details'!S216,Chest[Display],Chest[Use])="Flat",_xlfn.XLOOKUP('Bulk Order Details'!S216,Chest[Display],Chest[Flat]),ROUND(_xlfn.XLOOKUP('Bulk Order Details'!S216,Chest[Display],Chest[Pct])*$E206,2))),"")</f>
        <v/>
      </c>
      <c r="N206" s="22" t="str">
        <f>IFERROR(IF('Bulk Order Details'!T216="","",IF(_xlfn.XLOOKUP('Bulk Order Details'!T216,Chest[Display],Chest[Use])="Flat",_xlfn.XLOOKUP('Bulk Order Details'!T216,Chest[Display],Chest[Flat]),ROUND(_xlfn.XLOOKUP('Bulk Order Details'!T216,Chest[Display],Chest[Pct])*$E206,2))),"")</f>
        <v/>
      </c>
      <c r="O206" s="22" t="str">
        <f>IFERROR(IF('Bulk Order Details'!U216="","",IF(_xlfn.XLOOKUP('Bulk Order Details'!U216,LeftSleeve[Display],LeftSleeve[Use])="Flat",_xlfn.XLOOKUP('Bulk Order Details'!U216,LeftSleeve[Display],LeftSleeve[Flat]),ROUND(_xlfn.XLOOKUP('Bulk Order Details'!U216,LeftSleeve[Display],LeftSleeve[Pct])*$E206,2))),"")</f>
        <v/>
      </c>
      <c r="P206" s="22" t="str">
        <f>IFERROR(IF('Bulk Order Details'!V216="","",IF(_xlfn.XLOOKUP('Bulk Order Details'!V216,RightSleeve[Display],RightSleeve[Use])="Flat",_xlfn.XLOOKUP('Bulk Order Details'!V216,RightSleeve[Display],RightSleeve[Flat]),ROUND(_xlfn.XLOOKUP('Bulk Order Details'!V216,RightSleeve[Display],RightSleeve[Pct])*$E206,2))),"")</f>
        <v/>
      </c>
      <c r="Q206" s="27" t="str">
        <f>IF('Bulk Order Details'!M216="","",SUM(F206:P206))</f>
        <v/>
      </c>
      <c r="R206" s="24" t="str">
        <f t="shared" si="16"/>
        <v/>
      </c>
      <c r="S206" s="23" t="str">
        <f>IFERROR(MIN(IF(Summary!$D$11="Yes",-J206,0),IF(H206&gt;0,-J206,0)),"")</f>
        <v/>
      </c>
      <c r="T206" s="16" t="str">
        <f>IFERROR(IF(Summary!$D$10="Yes",-K206,""),"")</f>
        <v/>
      </c>
      <c r="U206" s="18" t="str">
        <f>IFERROR(IF(Summary!$D$12="Yes",-L206,""),"")</f>
        <v/>
      </c>
      <c r="V206" s="25" t="str">
        <f>IF('Bulk Order Details'!M216="","",SUM(R206:U206))</f>
        <v/>
      </c>
      <c r="W206" s="36" t="str">
        <f>IF('Bulk Order Details'!M216="","",D206+Q206)</f>
        <v/>
      </c>
      <c r="X206" s="37" t="str">
        <f>IF('Bulk Order Details'!M216="","",D206+Q206+V206)</f>
        <v/>
      </c>
      <c r="Y206" s="168" t="str">
        <f t="shared" si="15"/>
        <v/>
      </c>
      <c r="Z206" s="173" t="str">
        <f>IF('Bulk Order Details'!M216="","",MAX(1,'Bulk Order Details'!G216))</f>
        <v/>
      </c>
      <c r="AA206" s="196" t="str">
        <f>IF(Pricing_Details[[#This Row],[Quantity]]="","",Pricing_Details[[#This Row],[Retail Price]]*Pricing_Details[[#This Row],[Quantity]])</f>
        <v/>
      </c>
      <c r="AB206" s="196" t="str">
        <f>IF(Pricing_Details[[#This Row],[Quantity]]="","",Pricing_Details[[#This Row],[Total Discount]]*Pricing_Details[[#This Row],[Quantity]])</f>
        <v/>
      </c>
      <c r="AC206" s="176" t="str">
        <f>IFERROR(ROUND(Pricing_Details[[#This Row],[Actual Price]]*Pricing_Details[[#This Row],[Quantity]],2),"")</f>
        <v/>
      </c>
      <c r="AE206" s="156" t="str">
        <f>IF('Bulk Order Details'!M216="","",VLOOKUP('Bulk Order Details'!K216,Collection[],3)&amp;VLOOKUP('Bulk Order Details'!M216,Collar[],4)&amp;VLOOKUP('Bulk Order Details'!L216,Sleeve[],4))</f>
        <v/>
      </c>
      <c r="AF206" s="156" t="str">
        <f>IF('Bulk Order Details'!M216="","",LOOKUP('Bulk Order Details'!H216,Cut[Display],Cut[Code])&amp;LOOKUP('Bulk Order Details'!I216,#REF!,#REF!)&amp;IF('Bulk Order Details'!J216="","",LOOKUP('Bulk Order Details'!J216,Length[Display],Length[Code])))</f>
        <v/>
      </c>
      <c r="AG206" s="156" t="str">
        <f>IF('Bulk Order Details'!M216="","",IF('Bulk Order Details'!F216="","",'Bulk Order Details'!F216))</f>
        <v/>
      </c>
      <c r="AH206" s="156" t="str">
        <f>IF('Bulk Order Details'!R216="","","-"&amp;LOOKUP('Bulk Order Details'!R216,#REF!,#REF!))</f>
        <v/>
      </c>
      <c r="AI206" s="156" t="str">
        <f>IF('Bulk Order Details'!S216="","","-"&amp;LOOKUP('Bulk Order Details'!S216,#REF!,#REF!))</f>
        <v/>
      </c>
      <c r="AJ206" s="156" t="str">
        <f>IF('Bulk Order Details'!T216="","","-"&amp;LOOKUP('Bulk Order Details'!T216,#REF!,#REF!))</f>
        <v/>
      </c>
      <c r="AK206" s="156" t="str">
        <f>IF('Bulk Order Details'!U216="","","-"&amp;LOOKUP('Bulk Order Details'!U216,#REF!,#REF!))</f>
        <v/>
      </c>
      <c r="AL206" s="156" t="str">
        <f>IF('Bulk Order Details'!V216="","","-"&amp;LOOKUP('Bulk Order Details'!V216,#REF!,#REF!))</f>
        <v/>
      </c>
      <c r="AM206" s="156" t="str">
        <f t="shared" si="17"/>
        <v/>
      </c>
      <c r="AN206" s="156" t="str">
        <f>IF('Bulk Order Details'!N216="","","Na-"&amp;'Bulk Order Details'!N216)</f>
        <v/>
      </c>
      <c r="AO206" s="156" t="str">
        <f>IF('Bulk Order Details'!Q216="","","Fo-"&amp;'Bulk Order Details'!Q216)</f>
        <v/>
      </c>
      <c r="AP206" s="156" t="str">
        <f t="shared" si="18"/>
        <v/>
      </c>
      <c r="AQ206" s="37" t="str">
        <f t="shared" si="19"/>
        <v/>
      </c>
    </row>
    <row r="207" spans="2:43" ht="15" customHeight="1" x14ac:dyDescent="0.2">
      <c r="B207" s="34">
        <f>'Bulk Order Details'!B217</f>
        <v>204</v>
      </c>
      <c r="C207" s="34" t="str">
        <f>IF('Bulk Order Details'!C217="","",'Bulk Order Details'!C217&amp;" "&amp;'Bulk Order Details'!D217)</f>
        <v/>
      </c>
      <c r="D207" s="31" t="str">
        <f>IF('Bulk Order Details'!M217="","",VLOOKUP(1,Price[],3))</f>
        <v/>
      </c>
      <c r="E207" s="29" t="str">
        <f>IF('Bulk Order Details'!M217="","",Summary!$D$9)</f>
        <v/>
      </c>
      <c r="F207" s="16" t="str">
        <f>IF('Bulk Order Details'!I217="","",_xlfn.XLOOKUP('Bulk Order Details'!I217,Size[Display],Size[Price]))</f>
        <v/>
      </c>
      <c r="G207" s="16" t="str">
        <f>IF('Bulk Order Details'!J217="","",_xlfn.XLOOKUP('Bulk Order Details'!J217,Length[Display],Length[Price]))</f>
        <v/>
      </c>
      <c r="H207" s="16" t="str">
        <f>IF('Bulk Order Details'!K217="","",_xlfn.XLOOKUP('Bulk Order Details'!K217,Collection[Display],Collection[Price]))</f>
        <v/>
      </c>
      <c r="I207" s="16" t="str">
        <f>IF('Bulk Order Details'!L217="","",_xlfn.XLOOKUP('Bulk Order Details'!L217,Sleeve[Display],Sleeve[Price]))</f>
        <v/>
      </c>
      <c r="J207" s="16" t="str">
        <f>IF('Bulk Order Details'!M217="","",_xlfn.XLOOKUP('Bulk Order Details'!M217,Collar[Display],Collar[Price]))</f>
        <v/>
      </c>
      <c r="K207" s="16" t="str">
        <f>IF('Bulk Order Details'!N217="","",_xlfn.XLOOKUP("Name",Name[Name],Name[Price]))</f>
        <v/>
      </c>
      <c r="L207" s="18" t="str">
        <f>IFERROR(IF('Bulk Order Details'!R217="","",IF(_xlfn.XLOOKUP('Bulk Order Details'!R217,Logos[Display],Logos[Use])="Flat",_xlfn.XLOOKUP('Bulk Order Details'!R217,Logos[Display],Logos[Flat]),ROUND(_xlfn.XLOOKUP('Bulk Order Details'!R217,Logos[Display],Logos[Pct])*$E207,2))),"")</f>
        <v/>
      </c>
      <c r="M207" s="22" t="str">
        <f>IFERROR(IF('Bulk Order Details'!S217="","",IF(_xlfn.XLOOKUP('Bulk Order Details'!S217,Chest[Display],Chest[Use])="Flat",_xlfn.XLOOKUP('Bulk Order Details'!S217,Chest[Display],Chest[Flat]),ROUND(_xlfn.XLOOKUP('Bulk Order Details'!S217,Chest[Display],Chest[Pct])*$E207,2))),"")</f>
        <v/>
      </c>
      <c r="N207" s="22" t="str">
        <f>IFERROR(IF('Bulk Order Details'!T217="","",IF(_xlfn.XLOOKUP('Bulk Order Details'!T217,Chest[Display],Chest[Use])="Flat",_xlfn.XLOOKUP('Bulk Order Details'!T217,Chest[Display],Chest[Flat]),ROUND(_xlfn.XLOOKUP('Bulk Order Details'!T217,Chest[Display],Chest[Pct])*$E207,2))),"")</f>
        <v/>
      </c>
      <c r="O207" s="22" t="str">
        <f>IFERROR(IF('Bulk Order Details'!U217="","",IF(_xlfn.XLOOKUP('Bulk Order Details'!U217,LeftSleeve[Display],LeftSleeve[Use])="Flat",_xlfn.XLOOKUP('Bulk Order Details'!U217,LeftSleeve[Display],LeftSleeve[Flat]),ROUND(_xlfn.XLOOKUP('Bulk Order Details'!U217,LeftSleeve[Display],LeftSleeve[Pct])*$E207,2))),"")</f>
        <v/>
      </c>
      <c r="P207" s="22" t="str">
        <f>IFERROR(IF('Bulk Order Details'!V217="","",IF(_xlfn.XLOOKUP('Bulk Order Details'!V217,RightSleeve[Display],RightSleeve[Use])="Flat",_xlfn.XLOOKUP('Bulk Order Details'!V217,RightSleeve[Display],RightSleeve[Flat]),ROUND(_xlfn.XLOOKUP('Bulk Order Details'!V217,RightSleeve[Display],RightSleeve[Pct])*$E207,2))),"")</f>
        <v/>
      </c>
      <c r="Q207" s="27" t="str">
        <f>IF('Bulk Order Details'!M217="","",SUM(F207:P207))</f>
        <v/>
      </c>
      <c r="R207" s="24" t="str">
        <f t="shared" si="16"/>
        <v/>
      </c>
      <c r="S207" s="23" t="str">
        <f>IFERROR(MIN(IF(Summary!$D$11="Yes",-J207,0),IF(H207&gt;0,-J207,0)),"")</f>
        <v/>
      </c>
      <c r="T207" s="16" t="str">
        <f>IFERROR(IF(Summary!$D$10="Yes",-K207,""),"")</f>
        <v/>
      </c>
      <c r="U207" s="18" t="str">
        <f>IFERROR(IF(Summary!$D$12="Yes",-L207,""),"")</f>
        <v/>
      </c>
      <c r="V207" s="25" t="str">
        <f>IF('Bulk Order Details'!M217="","",SUM(R207:U207))</f>
        <v/>
      </c>
      <c r="W207" s="36" t="str">
        <f>IF('Bulk Order Details'!M217="","",D207+Q207)</f>
        <v/>
      </c>
      <c r="X207" s="37" t="str">
        <f>IF('Bulk Order Details'!M217="","",D207+Q207+V207)</f>
        <v/>
      </c>
      <c r="Y207" s="168" t="str">
        <f t="shared" si="15"/>
        <v/>
      </c>
      <c r="Z207" s="173" t="str">
        <f>IF('Bulk Order Details'!M217="","",MAX(1,'Bulk Order Details'!G217))</f>
        <v/>
      </c>
      <c r="AA207" s="196" t="str">
        <f>IF(Pricing_Details[[#This Row],[Quantity]]="","",Pricing_Details[[#This Row],[Retail Price]]*Pricing_Details[[#This Row],[Quantity]])</f>
        <v/>
      </c>
      <c r="AB207" s="196" t="str">
        <f>IF(Pricing_Details[[#This Row],[Quantity]]="","",Pricing_Details[[#This Row],[Total Discount]]*Pricing_Details[[#This Row],[Quantity]])</f>
        <v/>
      </c>
      <c r="AC207" s="176" t="str">
        <f>IFERROR(ROUND(Pricing_Details[[#This Row],[Actual Price]]*Pricing_Details[[#This Row],[Quantity]],2),"")</f>
        <v/>
      </c>
      <c r="AE207" s="156" t="str">
        <f>IF('Bulk Order Details'!M217="","",VLOOKUP('Bulk Order Details'!K217,Collection[],3)&amp;VLOOKUP('Bulk Order Details'!M217,Collar[],4)&amp;VLOOKUP('Bulk Order Details'!L217,Sleeve[],4))</f>
        <v/>
      </c>
      <c r="AF207" s="156" t="str">
        <f>IF('Bulk Order Details'!M217="","",LOOKUP('Bulk Order Details'!H217,Cut[Display],Cut[Code])&amp;LOOKUP('Bulk Order Details'!I217,#REF!,#REF!)&amp;IF('Bulk Order Details'!J217="","",LOOKUP('Bulk Order Details'!J217,Length[Display],Length[Code])))</f>
        <v/>
      </c>
      <c r="AG207" s="156" t="str">
        <f>IF('Bulk Order Details'!M217="","",IF('Bulk Order Details'!F217="","",'Bulk Order Details'!F217))</f>
        <v/>
      </c>
      <c r="AH207" s="156" t="str">
        <f>IF('Bulk Order Details'!R217="","","-"&amp;LOOKUP('Bulk Order Details'!R217,#REF!,#REF!))</f>
        <v/>
      </c>
      <c r="AI207" s="156" t="str">
        <f>IF('Bulk Order Details'!S217="","","-"&amp;LOOKUP('Bulk Order Details'!S217,#REF!,#REF!))</f>
        <v/>
      </c>
      <c r="AJ207" s="156" t="str">
        <f>IF('Bulk Order Details'!T217="","","-"&amp;LOOKUP('Bulk Order Details'!T217,#REF!,#REF!))</f>
        <v/>
      </c>
      <c r="AK207" s="156" t="str">
        <f>IF('Bulk Order Details'!U217="","","-"&amp;LOOKUP('Bulk Order Details'!U217,#REF!,#REF!))</f>
        <v/>
      </c>
      <c r="AL207" s="156" t="str">
        <f>IF('Bulk Order Details'!V217="","","-"&amp;LOOKUP('Bulk Order Details'!V217,#REF!,#REF!))</f>
        <v/>
      </c>
      <c r="AM207" s="156" t="str">
        <f t="shared" si="17"/>
        <v/>
      </c>
      <c r="AN207" s="156" t="str">
        <f>IF('Bulk Order Details'!N217="","","Na-"&amp;'Bulk Order Details'!N217)</f>
        <v/>
      </c>
      <c r="AO207" s="156" t="str">
        <f>IF('Bulk Order Details'!Q217="","","Fo-"&amp;'Bulk Order Details'!Q217)</f>
        <v/>
      </c>
      <c r="AP207" s="156" t="str">
        <f t="shared" si="18"/>
        <v/>
      </c>
      <c r="AQ207" s="37" t="str">
        <f t="shared" si="19"/>
        <v/>
      </c>
    </row>
    <row r="208" spans="2:43" ht="15" customHeight="1" x14ac:dyDescent="0.2">
      <c r="B208" s="34">
        <f>'Bulk Order Details'!B218</f>
        <v>205</v>
      </c>
      <c r="C208" s="34" t="str">
        <f>IF('Bulk Order Details'!C218="","",'Bulk Order Details'!C218&amp;" "&amp;'Bulk Order Details'!D218)</f>
        <v/>
      </c>
      <c r="D208" s="31" t="str">
        <f>IF('Bulk Order Details'!M218="","",VLOOKUP(1,Price[],3))</f>
        <v/>
      </c>
      <c r="E208" s="29" t="str">
        <f>IF('Bulk Order Details'!M218="","",Summary!$D$9)</f>
        <v/>
      </c>
      <c r="F208" s="16" t="str">
        <f>IF('Bulk Order Details'!I218="","",_xlfn.XLOOKUP('Bulk Order Details'!I218,Size[Display],Size[Price]))</f>
        <v/>
      </c>
      <c r="G208" s="16" t="str">
        <f>IF('Bulk Order Details'!J218="","",_xlfn.XLOOKUP('Bulk Order Details'!J218,Length[Display],Length[Price]))</f>
        <v/>
      </c>
      <c r="H208" s="16" t="str">
        <f>IF('Bulk Order Details'!K218="","",_xlfn.XLOOKUP('Bulk Order Details'!K218,Collection[Display],Collection[Price]))</f>
        <v/>
      </c>
      <c r="I208" s="16" t="str">
        <f>IF('Bulk Order Details'!L218="","",_xlfn.XLOOKUP('Bulk Order Details'!L218,Sleeve[Display],Sleeve[Price]))</f>
        <v/>
      </c>
      <c r="J208" s="16" t="str">
        <f>IF('Bulk Order Details'!M218="","",_xlfn.XLOOKUP('Bulk Order Details'!M218,Collar[Display],Collar[Price]))</f>
        <v/>
      </c>
      <c r="K208" s="16" t="str">
        <f>IF('Bulk Order Details'!N218="","",_xlfn.XLOOKUP("Name",Name[Name],Name[Price]))</f>
        <v/>
      </c>
      <c r="L208" s="18" t="str">
        <f>IFERROR(IF('Bulk Order Details'!R218="","",IF(_xlfn.XLOOKUP('Bulk Order Details'!R218,Logos[Display],Logos[Use])="Flat",_xlfn.XLOOKUP('Bulk Order Details'!R218,Logos[Display],Logos[Flat]),ROUND(_xlfn.XLOOKUP('Bulk Order Details'!R218,Logos[Display],Logos[Pct])*$E208,2))),"")</f>
        <v/>
      </c>
      <c r="M208" s="22" t="str">
        <f>IFERROR(IF('Bulk Order Details'!S218="","",IF(_xlfn.XLOOKUP('Bulk Order Details'!S218,Chest[Display],Chest[Use])="Flat",_xlfn.XLOOKUP('Bulk Order Details'!S218,Chest[Display],Chest[Flat]),ROUND(_xlfn.XLOOKUP('Bulk Order Details'!S218,Chest[Display],Chest[Pct])*$E208,2))),"")</f>
        <v/>
      </c>
      <c r="N208" s="22" t="str">
        <f>IFERROR(IF('Bulk Order Details'!T218="","",IF(_xlfn.XLOOKUP('Bulk Order Details'!T218,Chest[Display],Chest[Use])="Flat",_xlfn.XLOOKUP('Bulk Order Details'!T218,Chest[Display],Chest[Flat]),ROUND(_xlfn.XLOOKUP('Bulk Order Details'!T218,Chest[Display],Chest[Pct])*$E208,2))),"")</f>
        <v/>
      </c>
      <c r="O208" s="22" t="str">
        <f>IFERROR(IF('Bulk Order Details'!U218="","",IF(_xlfn.XLOOKUP('Bulk Order Details'!U218,LeftSleeve[Display],LeftSleeve[Use])="Flat",_xlfn.XLOOKUP('Bulk Order Details'!U218,LeftSleeve[Display],LeftSleeve[Flat]),ROUND(_xlfn.XLOOKUP('Bulk Order Details'!U218,LeftSleeve[Display],LeftSleeve[Pct])*$E208,2))),"")</f>
        <v/>
      </c>
      <c r="P208" s="22" t="str">
        <f>IFERROR(IF('Bulk Order Details'!V218="","",IF(_xlfn.XLOOKUP('Bulk Order Details'!V218,RightSleeve[Display],RightSleeve[Use])="Flat",_xlfn.XLOOKUP('Bulk Order Details'!V218,RightSleeve[Display],RightSleeve[Flat]),ROUND(_xlfn.XLOOKUP('Bulk Order Details'!V218,RightSleeve[Display],RightSleeve[Pct])*$E208,2))),"")</f>
        <v/>
      </c>
      <c r="Q208" s="27" t="str">
        <f>IF('Bulk Order Details'!M218="","",SUM(F208:P208))</f>
        <v/>
      </c>
      <c r="R208" s="24" t="str">
        <f t="shared" si="16"/>
        <v/>
      </c>
      <c r="S208" s="23" t="str">
        <f>IFERROR(MIN(IF(Summary!$D$11="Yes",-J208,0),IF(H208&gt;0,-J208,0)),"")</f>
        <v/>
      </c>
      <c r="T208" s="16" t="str">
        <f>IFERROR(IF(Summary!$D$10="Yes",-K208,""),"")</f>
        <v/>
      </c>
      <c r="U208" s="18" t="str">
        <f>IFERROR(IF(Summary!$D$12="Yes",-L208,""),"")</f>
        <v/>
      </c>
      <c r="V208" s="25" t="str">
        <f>IF('Bulk Order Details'!M218="","",SUM(R208:U208))</f>
        <v/>
      </c>
      <c r="W208" s="36" t="str">
        <f>IF('Bulk Order Details'!M218="","",D208+Q208)</f>
        <v/>
      </c>
      <c r="X208" s="37" t="str">
        <f>IF('Bulk Order Details'!M218="","",D208+Q208+V208)</f>
        <v/>
      </c>
      <c r="Y208" s="168" t="str">
        <f t="shared" si="15"/>
        <v/>
      </c>
      <c r="Z208" s="173" t="str">
        <f>IF('Bulk Order Details'!M218="","",MAX(1,'Bulk Order Details'!G218))</f>
        <v/>
      </c>
      <c r="AA208" s="196" t="str">
        <f>IF(Pricing_Details[[#This Row],[Quantity]]="","",Pricing_Details[[#This Row],[Retail Price]]*Pricing_Details[[#This Row],[Quantity]])</f>
        <v/>
      </c>
      <c r="AB208" s="196" t="str">
        <f>IF(Pricing_Details[[#This Row],[Quantity]]="","",Pricing_Details[[#This Row],[Total Discount]]*Pricing_Details[[#This Row],[Quantity]])</f>
        <v/>
      </c>
      <c r="AC208" s="176" t="str">
        <f>IFERROR(ROUND(Pricing_Details[[#This Row],[Actual Price]]*Pricing_Details[[#This Row],[Quantity]],2),"")</f>
        <v/>
      </c>
      <c r="AE208" s="156" t="str">
        <f>IF('Bulk Order Details'!M218="","",VLOOKUP('Bulk Order Details'!K218,Collection[],3)&amp;VLOOKUP('Bulk Order Details'!M218,Collar[],4)&amp;VLOOKUP('Bulk Order Details'!L218,Sleeve[],4))</f>
        <v/>
      </c>
      <c r="AF208" s="156" t="str">
        <f>IF('Bulk Order Details'!M218="","",LOOKUP('Bulk Order Details'!H218,Cut[Display],Cut[Code])&amp;LOOKUP('Bulk Order Details'!I218,#REF!,#REF!)&amp;IF('Bulk Order Details'!J218="","",LOOKUP('Bulk Order Details'!J218,Length[Display],Length[Code])))</f>
        <v/>
      </c>
      <c r="AG208" s="156" t="str">
        <f>IF('Bulk Order Details'!M218="","",IF('Bulk Order Details'!F218="","",'Bulk Order Details'!F218))</f>
        <v/>
      </c>
      <c r="AH208" s="156" t="str">
        <f>IF('Bulk Order Details'!R218="","","-"&amp;LOOKUP('Bulk Order Details'!R218,#REF!,#REF!))</f>
        <v/>
      </c>
      <c r="AI208" s="156" t="str">
        <f>IF('Bulk Order Details'!S218="","","-"&amp;LOOKUP('Bulk Order Details'!S218,#REF!,#REF!))</f>
        <v/>
      </c>
      <c r="AJ208" s="156" t="str">
        <f>IF('Bulk Order Details'!T218="","","-"&amp;LOOKUP('Bulk Order Details'!T218,#REF!,#REF!))</f>
        <v/>
      </c>
      <c r="AK208" s="156" t="str">
        <f>IF('Bulk Order Details'!U218="","","-"&amp;LOOKUP('Bulk Order Details'!U218,#REF!,#REF!))</f>
        <v/>
      </c>
      <c r="AL208" s="156" t="str">
        <f>IF('Bulk Order Details'!V218="","","-"&amp;LOOKUP('Bulk Order Details'!V218,#REF!,#REF!))</f>
        <v/>
      </c>
      <c r="AM208" s="156" t="str">
        <f t="shared" si="17"/>
        <v/>
      </c>
      <c r="AN208" s="156" t="str">
        <f>IF('Bulk Order Details'!N218="","","Na-"&amp;'Bulk Order Details'!N218)</f>
        <v/>
      </c>
      <c r="AO208" s="156" t="str">
        <f>IF('Bulk Order Details'!Q218="","","Fo-"&amp;'Bulk Order Details'!Q218)</f>
        <v/>
      </c>
      <c r="AP208" s="156" t="str">
        <f t="shared" si="18"/>
        <v/>
      </c>
      <c r="AQ208" s="37" t="str">
        <f t="shared" si="19"/>
        <v/>
      </c>
    </row>
    <row r="209" spans="2:43" ht="15" customHeight="1" x14ac:dyDescent="0.2">
      <c r="B209" s="34">
        <f>'Bulk Order Details'!B219</f>
        <v>206</v>
      </c>
      <c r="C209" s="34" t="str">
        <f>IF('Bulk Order Details'!C219="","",'Bulk Order Details'!C219&amp;" "&amp;'Bulk Order Details'!D219)</f>
        <v/>
      </c>
      <c r="D209" s="31" t="str">
        <f>IF('Bulk Order Details'!M219="","",VLOOKUP(1,Price[],3))</f>
        <v/>
      </c>
      <c r="E209" s="29" t="str">
        <f>IF('Bulk Order Details'!M219="","",Summary!$D$9)</f>
        <v/>
      </c>
      <c r="F209" s="16" t="str">
        <f>IF('Bulk Order Details'!I219="","",_xlfn.XLOOKUP('Bulk Order Details'!I219,Size[Display],Size[Price]))</f>
        <v/>
      </c>
      <c r="G209" s="16" t="str">
        <f>IF('Bulk Order Details'!J219="","",_xlfn.XLOOKUP('Bulk Order Details'!J219,Length[Display],Length[Price]))</f>
        <v/>
      </c>
      <c r="H209" s="16" t="str">
        <f>IF('Bulk Order Details'!K219="","",_xlfn.XLOOKUP('Bulk Order Details'!K219,Collection[Display],Collection[Price]))</f>
        <v/>
      </c>
      <c r="I209" s="16" t="str">
        <f>IF('Bulk Order Details'!L219="","",_xlfn.XLOOKUP('Bulk Order Details'!L219,Sleeve[Display],Sleeve[Price]))</f>
        <v/>
      </c>
      <c r="J209" s="16" t="str">
        <f>IF('Bulk Order Details'!M219="","",_xlfn.XLOOKUP('Bulk Order Details'!M219,Collar[Display],Collar[Price]))</f>
        <v/>
      </c>
      <c r="K209" s="16" t="str">
        <f>IF('Bulk Order Details'!N219="","",_xlfn.XLOOKUP("Name",Name[Name],Name[Price]))</f>
        <v/>
      </c>
      <c r="L209" s="18" t="str">
        <f>IFERROR(IF('Bulk Order Details'!R219="","",IF(_xlfn.XLOOKUP('Bulk Order Details'!R219,Logos[Display],Logos[Use])="Flat",_xlfn.XLOOKUP('Bulk Order Details'!R219,Logos[Display],Logos[Flat]),ROUND(_xlfn.XLOOKUP('Bulk Order Details'!R219,Logos[Display],Logos[Pct])*$E209,2))),"")</f>
        <v/>
      </c>
      <c r="M209" s="22" t="str">
        <f>IFERROR(IF('Bulk Order Details'!S219="","",IF(_xlfn.XLOOKUP('Bulk Order Details'!S219,Chest[Display],Chest[Use])="Flat",_xlfn.XLOOKUP('Bulk Order Details'!S219,Chest[Display],Chest[Flat]),ROUND(_xlfn.XLOOKUP('Bulk Order Details'!S219,Chest[Display],Chest[Pct])*$E209,2))),"")</f>
        <v/>
      </c>
      <c r="N209" s="22" t="str">
        <f>IFERROR(IF('Bulk Order Details'!T219="","",IF(_xlfn.XLOOKUP('Bulk Order Details'!T219,Chest[Display],Chest[Use])="Flat",_xlfn.XLOOKUP('Bulk Order Details'!T219,Chest[Display],Chest[Flat]),ROUND(_xlfn.XLOOKUP('Bulk Order Details'!T219,Chest[Display],Chest[Pct])*$E209,2))),"")</f>
        <v/>
      </c>
      <c r="O209" s="22" t="str">
        <f>IFERROR(IF('Bulk Order Details'!U219="","",IF(_xlfn.XLOOKUP('Bulk Order Details'!U219,LeftSleeve[Display],LeftSleeve[Use])="Flat",_xlfn.XLOOKUP('Bulk Order Details'!U219,LeftSleeve[Display],LeftSleeve[Flat]),ROUND(_xlfn.XLOOKUP('Bulk Order Details'!U219,LeftSleeve[Display],LeftSleeve[Pct])*$E209,2))),"")</f>
        <v/>
      </c>
      <c r="P209" s="22" t="str">
        <f>IFERROR(IF('Bulk Order Details'!V219="","",IF(_xlfn.XLOOKUP('Bulk Order Details'!V219,RightSleeve[Display],RightSleeve[Use])="Flat",_xlfn.XLOOKUP('Bulk Order Details'!V219,RightSleeve[Display],RightSleeve[Flat]),ROUND(_xlfn.XLOOKUP('Bulk Order Details'!V219,RightSleeve[Display],RightSleeve[Pct])*$E209,2))),"")</f>
        <v/>
      </c>
      <c r="Q209" s="27" t="str">
        <f>IF('Bulk Order Details'!M219="","",SUM(F209:P209))</f>
        <v/>
      </c>
      <c r="R209" s="24" t="str">
        <f t="shared" si="16"/>
        <v/>
      </c>
      <c r="S209" s="23" t="str">
        <f>IFERROR(MIN(IF(Summary!$D$11="Yes",-J209,0),IF(H209&gt;0,-J209,0)),"")</f>
        <v/>
      </c>
      <c r="T209" s="16" t="str">
        <f>IFERROR(IF(Summary!$D$10="Yes",-K209,""),"")</f>
        <v/>
      </c>
      <c r="U209" s="18" t="str">
        <f>IFERROR(IF(Summary!$D$12="Yes",-L209,""),"")</f>
        <v/>
      </c>
      <c r="V209" s="25" t="str">
        <f>IF('Bulk Order Details'!M219="","",SUM(R209:U209))</f>
        <v/>
      </c>
      <c r="W209" s="36" t="str">
        <f>IF('Bulk Order Details'!M219="","",D209+Q209)</f>
        <v/>
      </c>
      <c r="X209" s="37" t="str">
        <f>IF('Bulk Order Details'!M219="","",D209+Q209+V209)</f>
        <v/>
      </c>
      <c r="Y209" s="168" t="str">
        <f t="shared" si="15"/>
        <v/>
      </c>
      <c r="Z209" s="173" t="str">
        <f>IF('Bulk Order Details'!M219="","",MAX(1,'Bulk Order Details'!G219))</f>
        <v/>
      </c>
      <c r="AA209" s="196" t="str">
        <f>IF(Pricing_Details[[#This Row],[Quantity]]="","",Pricing_Details[[#This Row],[Retail Price]]*Pricing_Details[[#This Row],[Quantity]])</f>
        <v/>
      </c>
      <c r="AB209" s="196" t="str">
        <f>IF(Pricing_Details[[#This Row],[Quantity]]="","",Pricing_Details[[#This Row],[Total Discount]]*Pricing_Details[[#This Row],[Quantity]])</f>
        <v/>
      </c>
      <c r="AC209" s="176" t="str">
        <f>IFERROR(ROUND(Pricing_Details[[#This Row],[Actual Price]]*Pricing_Details[[#This Row],[Quantity]],2),"")</f>
        <v/>
      </c>
      <c r="AE209" s="156" t="str">
        <f>IF('Bulk Order Details'!M219="","",VLOOKUP('Bulk Order Details'!K219,Collection[],3)&amp;VLOOKUP('Bulk Order Details'!M219,Collar[],4)&amp;VLOOKUP('Bulk Order Details'!L219,Sleeve[],4))</f>
        <v/>
      </c>
      <c r="AF209" s="156" t="str">
        <f>IF('Bulk Order Details'!M219="","",LOOKUP('Bulk Order Details'!H219,Cut[Display],Cut[Code])&amp;LOOKUP('Bulk Order Details'!I219,#REF!,#REF!)&amp;IF('Bulk Order Details'!J219="","",LOOKUP('Bulk Order Details'!J219,Length[Display],Length[Code])))</f>
        <v/>
      </c>
      <c r="AG209" s="156" t="str">
        <f>IF('Bulk Order Details'!M219="","",IF('Bulk Order Details'!F219="","",'Bulk Order Details'!F219))</f>
        <v/>
      </c>
      <c r="AH209" s="156" t="str">
        <f>IF('Bulk Order Details'!R219="","","-"&amp;LOOKUP('Bulk Order Details'!R219,#REF!,#REF!))</f>
        <v/>
      </c>
      <c r="AI209" s="156" t="str">
        <f>IF('Bulk Order Details'!S219="","","-"&amp;LOOKUP('Bulk Order Details'!S219,#REF!,#REF!))</f>
        <v/>
      </c>
      <c r="AJ209" s="156" t="str">
        <f>IF('Bulk Order Details'!T219="","","-"&amp;LOOKUP('Bulk Order Details'!T219,#REF!,#REF!))</f>
        <v/>
      </c>
      <c r="AK209" s="156" t="str">
        <f>IF('Bulk Order Details'!U219="","","-"&amp;LOOKUP('Bulk Order Details'!U219,#REF!,#REF!))</f>
        <v/>
      </c>
      <c r="AL209" s="156" t="str">
        <f>IF('Bulk Order Details'!V219="","","-"&amp;LOOKUP('Bulk Order Details'!V219,#REF!,#REF!))</f>
        <v/>
      </c>
      <c r="AM209" s="156" t="str">
        <f t="shared" si="17"/>
        <v/>
      </c>
      <c r="AN209" s="156" t="str">
        <f>IF('Bulk Order Details'!N219="","","Na-"&amp;'Bulk Order Details'!N219)</f>
        <v/>
      </c>
      <c r="AO209" s="156" t="str">
        <f>IF('Bulk Order Details'!Q219="","","Fo-"&amp;'Bulk Order Details'!Q219)</f>
        <v/>
      </c>
      <c r="AP209" s="156" t="str">
        <f t="shared" si="18"/>
        <v/>
      </c>
      <c r="AQ209" s="37" t="str">
        <f t="shared" si="19"/>
        <v/>
      </c>
    </row>
    <row r="210" spans="2:43" ht="15" customHeight="1" x14ac:dyDescent="0.2">
      <c r="B210" s="34">
        <f>'Bulk Order Details'!B220</f>
        <v>207</v>
      </c>
      <c r="C210" s="34" t="str">
        <f>IF('Bulk Order Details'!C220="","",'Bulk Order Details'!C220&amp;" "&amp;'Bulk Order Details'!D220)</f>
        <v/>
      </c>
      <c r="D210" s="31" t="str">
        <f>IF('Bulk Order Details'!M220="","",VLOOKUP(1,Price[],3))</f>
        <v/>
      </c>
      <c r="E210" s="29" t="str">
        <f>IF('Bulk Order Details'!M220="","",Summary!$D$9)</f>
        <v/>
      </c>
      <c r="F210" s="16" t="str">
        <f>IF('Bulk Order Details'!I220="","",_xlfn.XLOOKUP('Bulk Order Details'!I220,Size[Display],Size[Price]))</f>
        <v/>
      </c>
      <c r="G210" s="16" t="str">
        <f>IF('Bulk Order Details'!J220="","",_xlfn.XLOOKUP('Bulk Order Details'!J220,Length[Display],Length[Price]))</f>
        <v/>
      </c>
      <c r="H210" s="16" t="str">
        <f>IF('Bulk Order Details'!K220="","",_xlfn.XLOOKUP('Bulk Order Details'!K220,Collection[Display],Collection[Price]))</f>
        <v/>
      </c>
      <c r="I210" s="16" t="str">
        <f>IF('Bulk Order Details'!L220="","",_xlfn.XLOOKUP('Bulk Order Details'!L220,Sleeve[Display],Sleeve[Price]))</f>
        <v/>
      </c>
      <c r="J210" s="16" t="str">
        <f>IF('Bulk Order Details'!M220="","",_xlfn.XLOOKUP('Bulk Order Details'!M220,Collar[Display],Collar[Price]))</f>
        <v/>
      </c>
      <c r="K210" s="16" t="str">
        <f>IF('Bulk Order Details'!N220="","",_xlfn.XLOOKUP("Name",Name[Name],Name[Price]))</f>
        <v/>
      </c>
      <c r="L210" s="18" t="str">
        <f>IFERROR(IF('Bulk Order Details'!R220="","",IF(_xlfn.XLOOKUP('Bulk Order Details'!R220,Logos[Display],Logos[Use])="Flat",_xlfn.XLOOKUP('Bulk Order Details'!R220,Logos[Display],Logos[Flat]),ROUND(_xlfn.XLOOKUP('Bulk Order Details'!R220,Logos[Display],Logos[Pct])*$E210,2))),"")</f>
        <v/>
      </c>
      <c r="M210" s="22" t="str">
        <f>IFERROR(IF('Bulk Order Details'!S220="","",IF(_xlfn.XLOOKUP('Bulk Order Details'!S220,Chest[Display],Chest[Use])="Flat",_xlfn.XLOOKUP('Bulk Order Details'!S220,Chest[Display],Chest[Flat]),ROUND(_xlfn.XLOOKUP('Bulk Order Details'!S220,Chest[Display],Chest[Pct])*$E210,2))),"")</f>
        <v/>
      </c>
      <c r="N210" s="22" t="str">
        <f>IFERROR(IF('Bulk Order Details'!T220="","",IF(_xlfn.XLOOKUP('Bulk Order Details'!T220,Chest[Display],Chest[Use])="Flat",_xlfn.XLOOKUP('Bulk Order Details'!T220,Chest[Display],Chest[Flat]),ROUND(_xlfn.XLOOKUP('Bulk Order Details'!T220,Chest[Display],Chest[Pct])*$E210,2))),"")</f>
        <v/>
      </c>
      <c r="O210" s="22" t="str">
        <f>IFERROR(IF('Bulk Order Details'!U220="","",IF(_xlfn.XLOOKUP('Bulk Order Details'!U220,LeftSleeve[Display],LeftSleeve[Use])="Flat",_xlfn.XLOOKUP('Bulk Order Details'!U220,LeftSleeve[Display],LeftSleeve[Flat]),ROUND(_xlfn.XLOOKUP('Bulk Order Details'!U220,LeftSleeve[Display],LeftSleeve[Pct])*$E210,2))),"")</f>
        <v/>
      </c>
      <c r="P210" s="22" t="str">
        <f>IFERROR(IF('Bulk Order Details'!V220="","",IF(_xlfn.XLOOKUP('Bulk Order Details'!V220,RightSleeve[Display],RightSleeve[Use])="Flat",_xlfn.XLOOKUP('Bulk Order Details'!V220,RightSleeve[Display],RightSleeve[Flat]),ROUND(_xlfn.XLOOKUP('Bulk Order Details'!V220,RightSleeve[Display],RightSleeve[Pct])*$E210,2))),"")</f>
        <v/>
      </c>
      <c r="Q210" s="27" t="str">
        <f>IF('Bulk Order Details'!M220="","",SUM(F210:P210))</f>
        <v/>
      </c>
      <c r="R210" s="24" t="str">
        <f t="shared" si="16"/>
        <v/>
      </c>
      <c r="S210" s="23" t="str">
        <f>IFERROR(MIN(IF(Summary!$D$11="Yes",-J210,0),IF(H210&gt;0,-J210,0)),"")</f>
        <v/>
      </c>
      <c r="T210" s="16" t="str">
        <f>IFERROR(IF(Summary!$D$10="Yes",-K210,""),"")</f>
        <v/>
      </c>
      <c r="U210" s="18" t="str">
        <f>IFERROR(IF(Summary!$D$12="Yes",-L210,""),"")</f>
        <v/>
      </c>
      <c r="V210" s="25" t="str">
        <f>IF('Bulk Order Details'!M220="","",SUM(R210:U210))</f>
        <v/>
      </c>
      <c r="W210" s="36" t="str">
        <f>IF('Bulk Order Details'!M220="","",D210+Q210)</f>
        <v/>
      </c>
      <c r="X210" s="37" t="str">
        <f>IF('Bulk Order Details'!M220="","",D210+Q210+V210)</f>
        <v/>
      </c>
      <c r="Y210" s="168" t="str">
        <f t="shared" si="15"/>
        <v/>
      </c>
      <c r="Z210" s="173" t="str">
        <f>IF('Bulk Order Details'!M220="","",MAX(1,'Bulk Order Details'!G220))</f>
        <v/>
      </c>
      <c r="AA210" s="196" t="str">
        <f>IF(Pricing_Details[[#This Row],[Quantity]]="","",Pricing_Details[[#This Row],[Retail Price]]*Pricing_Details[[#This Row],[Quantity]])</f>
        <v/>
      </c>
      <c r="AB210" s="196" t="str">
        <f>IF(Pricing_Details[[#This Row],[Quantity]]="","",Pricing_Details[[#This Row],[Total Discount]]*Pricing_Details[[#This Row],[Quantity]])</f>
        <v/>
      </c>
      <c r="AC210" s="176" t="str">
        <f>IFERROR(ROUND(Pricing_Details[[#This Row],[Actual Price]]*Pricing_Details[[#This Row],[Quantity]],2),"")</f>
        <v/>
      </c>
      <c r="AE210" s="156" t="str">
        <f>IF('Bulk Order Details'!M220="","",VLOOKUP('Bulk Order Details'!K220,Collection[],3)&amp;VLOOKUP('Bulk Order Details'!M220,Collar[],4)&amp;VLOOKUP('Bulk Order Details'!L220,Sleeve[],4))</f>
        <v/>
      </c>
      <c r="AF210" s="156" t="str">
        <f>IF('Bulk Order Details'!M220="","",LOOKUP('Bulk Order Details'!H220,Cut[Display],Cut[Code])&amp;LOOKUP('Bulk Order Details'!I220,#REF!,#REF!)&amp;IF('Bulk Order Details'!J220="","",LOOKUP('Bulk Order Details'!J220,Length[Display],Length[Code])))</f>
        <v/>
      </c>
      <c r="AG210" s="156" t="str">
        <f>IF('Bulk Order Details'!M220="","",IF('Bulk Order Details'!F220="","",'Bulk Order Details'!F220))</f>
        <v/>
      </c>
      <c r="AH210" s="156" t="str">
        <f>IF('Bulk Order Details'!R220="","","-"&amp;LOOKUP('Bulk Order Details'!R220,#REF!,#REF!))</f>
        <v/>
      </c>
      <c r="AI210" s="156" t="str">
        <f>IF('Bulk Order Details'!S220="","","-"&amp;LOOKUP('Bulk Order Details'!S220,#REF!,#REF!))</f>
        <v/>
      </c>
      <c r="AJ210" s="156" t="str">
        <f>IF('Bulk Order Details'!T220="","","-"&amp;LOOKUP('Bulk Order Details'!T220,#REF!,#REF!))</f>
        <v/>
      </c>
      <c r="AK210" s="156" t="str">
        <f>IF('Bulk Order Details'!U220="","","-"&amp;LOOKUP('Bulk Order Details'!U220,#REF!,#REF!))</f>
        <v/>
      </c>
      <c r="AL210" s="156" t="str">
        <f>IF('Bulk Order Details'!V220="","","-"&amp;LOOKUP('Bulk Order Details'!V220,#REF!,#REF!))</f>
        <v/>
      </c>
      <c r="AM210" s="156" t="str">
        <f t="shared" si="17"/>
        <v/>
      </c>
      <c r="AN210" s="156" t="str">
        <f>IF('Bulk Order Details'!N220="","","Na-"&amp;'Bulk Order Details'!N220)</f>
        <v/>
      </c>
      <c r="AO210" s="156" t="str">
        <f>IF('Bulk Order Details'!Q220="","","Fo-"&amp;'Bulk Order Details'!Q220)</f>
        <v/>
      </c>
      <c r="AP210" s="156" t="str">
        <f t="shared" si="18"/>
        <v/>
      </c>
      <c r="AQ210" s="37" t="str">
        <f t="shared" si="19"/>
        <v/>
      </c>
    </row>
    <row r="211" spans="2:43" ht="15" customHeight="1" x14ac:dyDescent="0.2">
      <c r="B211" s="34">
        <f>'Bulk Order Details'!B221</f>
        <v>208</v>
      </c>
      <c r="C211" s="34" t="str">
        <f>IF('Bulk Order Details'!C221="","",'Bulk Order Details'!C221&amp;" "&amp;'Bulk Order Details'!D221)</f>
        <v/>
      </c>
      <c r="D211" s="31" t="str">
        <f>IF('Bulk Order Details'!M221="","",VLOOKUP(1,Price[],3))</f>
        <v/>
      </c>
      <c r="E211" s="29" t="str">
        <f>IF('Bulk Order Details'!M221="","",Summary!$D$9)</f>
        <v/>
      </c>
      <c r="F211" s="16" t="str">
        <f>IF('Bulk Order Details'!I221="","",_xlfn.XLOOKUP('Bulk Order Details'!I221,Size[Display],Size[Price]))</f>
        <v/>
      </c>
      <c r="G211" s="16" t="str">
        <f>IF('Bulk Order Details'!J221="","",_xlfn.XLOOKUP('Bulk Order Details'!J221,Length[Display],Length[Price]))</f>
        <v/>
      </c>
      <c r="H211" s="16" t="str">
        <f>IF('Bulk Order Details'!K221="","",_xlfn.XLOOKUP('Bulk Order Details'!K221,Collection[Display],Collection[Price]))</f>
        <v/>
      </c>
      <c r="I211" s="16" t="str">
        <f>IF('Bulk Order Details'!L221="","",_xlfn.XLOOKUP('Bulk Order Details'!L221,Sleeve[Display],Sleeve[Price]))</f>
        <v/>
      </c>
      <c r="J211" s="16" t="str">
        <f>IF('Bulk Order Details'!M221="","",_xlfn.XLOOKUP('Bulk Order Details'!M221,Collar[Display],Collar[Price]))</f>
        <v/>
      </c>
      <c r="K211" s="16" t="str">
        <f>IF('Bulk Order Details'!N221="","",_xlfn.XLOOKUP("Name",Name[Name],Name[Price]))</f>
        <v/>
      </c>
      <c r="L211" s="18" t="str">
        <f>IFERROR(IF('Bulk Order Details'!R221="","",IF(_xlfn.XLOOKUP('Bulk Order Details'!R221,Logos[Display],Logos[Use])="Flat",_xlfn.XLOOKUP('Bulk Order Details'!R221,Logos[Display],Logos[Flat]),ROUND(_xlfn.XLOOKUP('Bulk Order Details'!R221,Logos[Display],Logos[Pct])*$E211,2))),"")</f>
        <v/>
      </c>
      <c r="M211" s="22" t="str">
        <f>IFERROR(IF('Bulk Order Details'!S221="","",IF(_xlfn.XLOOKUP('Bulk Order Details'!S221,Chest[Display],Chest[Use])="Flat",_xlfn.XLOOKUP('Bulk Order Details'!S221,Chest[Display],Chest[Flat]),ROUND(_xlfn.XLOOKUP('Bulk Order Details'!S221,Chest[Display],Chest[Pct])*$E211,2))),"")</f>
        <v/>
      </c>
      <c r="N211" s="22" t="str">
        <f>IFERROR(IF('Bulk Order Details'!T221="","",IF(_xlfn.XLOOKUP('Bulk Order Details'!T221,Chest[Display],Chest[Use])="Flat",_xlfn.XLOOKUP('Bulk Order Details'!T221,Chest[Display],Chest[Flat]),ROUND(_xlfn.XLOOKUP('Bulk Order Details'!T221,Chest[Display],Chest[Pct])*$E211,2))),"")</f>
        <v/>
      </c>
      <c r="O211" s="22" t="str">
        <f>IFERROR(IF('Bulk Order Details'!U221="","",IF(_xlfn.XLOOKUP('Bulk Order Details'!U221,LeftSleeve[Display],LeftSleeve[Use])="Flat",_xlfn.XLOOKUP('Bulk Order Details'!U221,LeftSleeve[Display],LeftSleeve[Flat]),ROUND(_xlfn.XLOOKUP('Bulk Order Details'!U221,LeftSleeve[Display],LeftSleeve[Pct])*$E211,2))),"")</f>
        <v/>
      </c>
      <c r="P211" s="22" t="str">
        <f>IFERROR(IF('Bulk Order Details'!V221="","",IF(_xlfn.XLOOKUP('Bulk Order Details'!V221,RightSleeve[Display],RightSleeve[Use])="Flat",_xlfn.XLOOKUP('Bulk Order Details'!V221,RightSleeve[Display],RightSleeve[Flat]),ROUND(_xlfn.XLOOKUP('Bulk Order Details'!V221,RightSleeve[Display],RightSleeve[Pct])*$E211,2))),"")</f>
        <v/>
      </c>
      <c r="Q211" s="27" t="str">
        <f>IF('Bulk Order Details'!M221="","",SUM(F211:P211))</f>
        <v/>
      </c>
      <c r="R211" s="24" t="str">
        <f t="shared" si="16"/>
        <v/>
      </c>
      <c r="S211" s="23" t="str">
        <f>IFERROR(MIN(IF(Summary!$D$11="Yes",-J211,0),IF(H211&gt;0,-J211,0)),"")</f>
        <v/>
      </c>
      <c r="T211" s="16" t="str">
        <f>IFERROR(IF(Summary!$D$10="Yes",-K211,""),"")</f>
        <v/>
      </c>
      <c r="U211" s="18" t="str">
        <f>IFERROR(IF(Summary!$D$12="Yes",-L211,""),"")</f>
        <v/>
      </c>
      <c r="V211" s="25" t="str">
        <f>IF('Bulk Order Details'!M221="","",SUM(R211:U211))</f>
        <v/>
      </c>
      <c r="W211" s="36" t="str">
        <f>IF('Bulk Order Details'!M221="","",D211+Q211)</f>
        <v/>
      </c>
      <c r="X211" s="37" t="str">
        <f>IF('Bulk Order Details'!M221="","",D211+Q211+V211)</f>
        <v/>
      </c>
      <c r="Y211" s="168" t="str">
        <f t="shared" si="15"/>
        <v/>
      </c>
      <c r="Z211" s="173" t="str">
        <f>IF('Bulk Order Details'!M221="","",MAX(1,'Bulk Order Details'!G221))</f>
        <v/>
      </c>
      <c r="AA211" s="196" t="str">
        <f>IF(Pricing_Details[[#This Row],[Quantity]]="","",Pricing_Details[[#This Row],[Retail Price]]*Pricing_Details[[#This Row],[Quantity]])</f>
        <v/>
      </c>
      <c r="AB211" s="196" t="str">
        <f>IF(Pricing_Details[[#This Row],[Quantity]]="","",Pricing_Details[[#This Row],[Total Discount]]*Pricing_Details[[#This Row],[Quantity]])</f>
        <v/>
      </c>
      <c r="AC211" s="176" t="str">
        <f>IFERROR(ROUND(Pricing_Details[[#This Row],[Actual Price]]*Pricing_Details[[#This Row],[Quantity]],2),"")</f>
        <v/>
      </c>
      <c r="AE211" s="156" t="str">
        <f>IF('Bulk Order Details'!M221="","",VLOOKUP('Bulk Order Details'!K221,Collection[],3)&amp;VLOOKUP('Bulk Order Details'!M221,Collar[],4)&amp;VLOOKUP('Bulk Order Details'!L221,Sleeve[],4))</f>
        <v/>
      </c>
      <c r="AF211" s="156" t="str">
        <f>IF('Bulk Order Details'!M221="","",LOOKUP('Bulk Order Details'!H221,Cut[Display],Cut[Code])&amp;LOOKUP('Bulk Order Details'!I221,#REF!,#REF!)&amp;IF('Bulk Order Details'!J221="","",LOOKUP('Bulk Order Details'!J221,Length[Display],Length[Code])))</f>
        <v/>
      </c>
      <c r="AG211" s="156" t="str">
        <f>IF('Bulk Order Details'!M221="","",IF('Bulk Order Details'!F221="","",'Bulk Order Details'!F221))</f>
        <v/>
      </c>
      <c r="AH211" s="156" t="str">
        <f>IF('Bulk Order Details'!R221="","","-"&amp;LOOKUP('Bulk Order Details'!R221,#REF!,#REF!))</f>
        <v/>
      </c>
      <c r="AI211" s="156" t="str">
        <f>IF('Bulk Order Details'!S221="","","-"&amp;LOOKUP('Bulk Order Details'!S221,#REF!,#REF!))</f>
        <v/>
      </c>
      <c r="AJ211" s="156" t="str">
        <f>IF('Bulk Order Details'!T221="","","-"&amp;LOOKUP('Bulk Order Details'!T221,#REF!,#REF!))</f>
        <v/>
      </c>
      <c r="AK211" s="156" t="str">
        <f>IF('Bulk Order Details'!U221="","","-"&amp;LOOKUP('Bulk Order Details'!U221,#REF!,#REF!))</f>
        <v/>
      </c>
      <c r="AL211" s="156" t="str">
        <f>IF('Bulk Order Details'!V221="","","-"&amp;LOOKUP('Bulk Order Details'!V221,#REF!,#REF!))</f>
        <v/>
      </c>
      <c r="AM211" s="156" t="str">
        <f t="shared" si="17"/>
        <v/>
      </c>
      <c r="AN211" s="156" t="str">
        <f>IF('Bulk Order Details'!N221="","","Na-"&amp;'Bulk Order Details'!N221)</f>
        <v/>
      </c>
      <c r="AO211" s="156" t="str">
        <f>IF('Bulk Order Details'!Q221="","","Fo-"&amp;'Bulk Order Details'!Q221)</f>
        <v/>
      </c>
      <c r="AP211" s="156" t="str">
        <f t="shared" si="18"/>
        <v/>
      </c>
      <c r="AQ211" s="37" t="str">
        <f t="shared" si="19"/>
        <v/>
      </c>
    </row>
    <row r="212" spans="2:43" ht="15" customHeight="1" x14ac:dyDescent="0.2">
      <c r="B212" s="34">
        <f>'Bulk Order Details'!B222</f>
        <v>209</v>
      </c>
      <c r="C212" s="34" t="str">
        <f>IF('Bulk Order Details'!C222="","",'Bulk Order Details'!C222&amp;" "&amp;'Bulk Order Details'!D222)</f>
        <v/>
      </c>
      <c r="D212" s="31" t="str">
        <f>IF('Bulk Order Details'!M222="","",VLOOKUP(1,Price[],3))</f>
        <v/>
      </c>
      <c r="E212" s="29" t="str">
        <f>IF('Bulk Order Details'!M222="","",Summary!$D$9)</f>
        <v/>
      </c>
      <c r="F212" s="16" t="str">
        <f>IF('Bulk Order Details'!I222="","",_xlfn.XLOOKUP('Bulk Order Details'!I222,Size[Display],Size[Price]))</f>
        <v/>
      </c>
      <c r="G212" s="16" t="str">
        <f>IF('Bulk Order Details'!J222="","",_xlfn.XLOOKUP('Bulk Order Details'!J222,Length[Display],Length[Price]))</f>
        <v/>
      </c>
      <c r="H212" s="16" t="str">
        <f>IF('Bulk Order Details'!K222="","",_xlfn.XLOOKUP('Bulk Order Details'!K222,Collection[Display],Collection[Price]))</f>
        <v/>
      </c>
      <c r="I212" s="16" t="str">
        <f>IF('Bulk Order Details'!L222="","",_xlfn.XLOOKUP('Bulk Order Details'!L222,Sleeve[Display],Sleeve[Price]))</f>
        <v/>
      </c>
      <c r="J212" s="16" t="str">
        <f>IF('Bulk Order Details'!M222="","",_xlfn.XLOOKUP('Bulk Order Details'!M222,Collar[Display],Collar[Price]))</f>
        <v/>
      </c>
      <c r="K212" s="16" t="str">
        <f>IF('Bulk Order Details'!N222="","",_xlfn.XLOOKUP("Name",Name[Name],Name[Price]))</f>
        <v/>
      </c>
      <c r="L212" s="18" t="str">
        <f>IFERROR(IF('Bulk Order Details'!R222="","",IF(_xlfn.XLOOKUP('Bulk Order Details'!R222,Logos[Display],Logos[Use])="Flat",_xlfn.XLOOKUP('Bulk Order Details'!R222,Logos[Display],Logos[Flat]),ROUND(_xlfn.XLOOKUP('Bulk Order Details'!R222,Logos[Display],Logos[Pct])*$E212,2))),"")</f>
        <v/>
      </c>
      <c r="M212" s="22" t="str">
        <f>IFERROR(IF('Bulk Order Details'!S222="","",IF(_xlfn.XLOOKUP('Bulk Order Details'!S222,Chest[Display],Chest[Use])="Flat",_xlfn.XLOOKUP('Bulk Order Details'!S222,Chest[Display],Chest[Flat]),ROUND(_xlfn.XLOOKUP('Bulk Order Details'!S222,Chest[Display],Chest[Pct])*$E212,2))),"")</f>
        <v/>
      </c>
      <c r="N212" s="22" t="str">
        <f>IFERROR(IF('Bulk Order Details'!T222="","",IF(_xlfn.XLOOKUP('Bulk Order Details'!T222,Chest[Display],Chest[Use])="Flat",_xlfn.XLOOKUP('Bulk Order Details'!T222,Chest[Display],Chest[Flat]),ROUND(_xlfn.XLOOKUP('Bulk Order Details'!T222,Chest[Display],Chest[Pct])*$E212,2))),"")</f>
        <v/>
      </c>
      <c r="O212" s="22" t="str">
        <f>IFERROR(IF('Bulk Order Details'!U222="","",IF(_xlfn.XLOOKUP('Bulk Order Details'!U222,LeftSleeve[Display],LeftSleeve[Use])="Flat",_xlfn.XLOOKUP('Bulk Order Details'!U222,LeftSleeve[Display],LeftSleeve[Flat]),ROUND(_xlfn.XLOOKUP('Bulk Order Details'!U222,LeftSleeve[Display],LeftSleeve[Pct])*$E212,2))),"")</f>
        <v/>
      </c>
      <c r="P212" s="22" t="str">
        <f>IFERROR(IF('Bulk Order Details'!V222="","",IF(_xlfn.XLOOKUP('Bulk Order Details'!V222,RightSleeve[Display],RightSleeve[Use])="Flat",_xlfn.XLOOKUP('Bulk Order Details'!V222,RightSleeve[Display],RightSleeve[Flat]),ROUND(_xlfn.XLOOKUP('Bulk Order Details'!V222,RightSleeve[Display],RightSleeve[Pct])*$E212,2))),"")</f>
        <v/>
      </c>
      <c r="Q212" s="27" t="str">
        <f>IF('Bulk Order Details'!M222="","",SUM(F212:P212))</f>
        <v/>
      </c>
      <c r="R212" s="24" t="str">
        <f t="shared" si="16"/>
        <v/>
      </c>
      <c r="S212" s="23" t="str">
        <f>IFERROR(MIN(IF(Summary!$D$11="Yes",-J212,0),IF(H212&gt;0,-J212,0)),"")</f>
        <v/>
      </c>
      <c r="T212" s="16" t="str">
        <f>IFERROR(IF(Summary!$D$10="Yes",-K212,""),"")</f>
        <v/>
      </c>
      <c r="U212" s="18" t="str">
        <f>IFERROR(IF(Summary!$D$12="Yes",-L212,""),"")</f>
        <v/>
      </c>
      <c r="V212" s="25" t="str">
        <f>IF('Bulk Order Details'!M222="","",SUM(R212:U212))</f>
        <v/>
      </c>
      <c r="W212" s="36" t="str">
        <f>IF('Bulk Order Details'!M222="","",D212+Q212)</f>
        <v/>
      </c>
      <c r="X212" s="37" t="str">
        <f>IF('Bulk Order Details'!M222="","",D212+Q212+V212)</f>
        <v/>
      </c>
      <c r="Y212" s="168" t="str">
        <f t="shared" si="15"/>
        <v/>
      </c>
      <c r="Z212" s="173" t="str">
        <f>IF('Bulk Order Details'!M222="","",MAX(1,'Bulk Order Details'!G222))</f>
        <v/>
      </c>
      <c r="AA212" s="196" t="str">
        <f>IF(Pricing_Details[[#This Row],[Quantity]]="","",Pricing_Details[[#This Row],[Retail Price]]*Pricing_Details[[#This Row],[Quantity]])</f>
        <v/>
      </c>
      <c r="AB212" s="196" t="str">
        <f>IF(Pricing_Details[[#This Row],[Quantity]]="","",Pricing_Details[[#This Row],[Total Discount]]*Pricing_Details[[#This Row],[Quantity]])</f>
        <v/>
      </c>
      <c r="AC212" s="176" t="str">
        <f>IFERROR(ROUND(Pricing_Details[[#This Row],[Actual Price]]*Pricing_Details[[#This Row],[Quantity]],2),"")</f>
        <v/>
      </c>
      <c r="AE212" s="156" t="str">
        <f>IF('Bulk Order Details'!M222="","",VLOOKUP('Bulk Order Details'!K222,Collection[],3)&amp;VLOOKUP('Bulk Order Details'!M222,Collar[],4)&amp;VLOOKUP('Bulk Order Details'!L222,Sleeve[],4))</f>
        <v/>
      </c>
      <c r="AF212" s="156" t="str">
        <f>IF('Bulk Order Details'!M222="","",LOOKUP('Bulk Order Details'!H222,Cut[Display],Cut[Code])&amp;LOOKUP('Bulk Order Details'!I222,#REF!,#REF!)&amp;IF('Bulk Order Details'!J222="","",LOOKUP('Bulk Order Details'!J222,Length[Display],Length[Code])))</f>
        <v/>
      </c>
      <c r="AG212" s="156" t="str">
        <f>IF('Bulk Order Details'!M222="","",IF('Bulk Order Details'!F222="","",'Bulk Order Details'!F222))</f>
        <v/>
      </c>
      <c r="AH212" s="156" t="str">
        <f>IF('Bulk Order Details'!R222="","","-"&amp;LOOKUP('Bulk Order Details'!R222,#REF!,#REF!))</f>
        <v/>
      </c>
      <c r="AI212" s="156" t="str">
        <f>IF('Bulk Order Details'!S222="","","-"&amp;LOOKUP('Bulk Order Details'!S222,#REF!,#REF!))</f>
        <v/>
      </c>
      <c r="AJ212" s="156" t="str">
        <f>IF('Bulk Order Details'!T222="","","-"&amp;LOOKUP('Bulk Order Details'!T222,#REF!,#REF!))</f>
        <v/>
      </c>
      <c r="AK212" s="156" t="str">
        <f>IF('Bulk Order Details'!U222="","","-"&amp;LOOKUP('Bulk Order Details'!U222,#REF!,#REF!))</f>
        <v/>
      </c>
      <c r="AL212" s="156" t="str">
        <f>IF('Bulk Order Details'!V222="","","-"&amp;LOOKUP('Bulk Order Details'!V222,#REF!,#REF!))</f>
        <v/>
      </c>
      <c r="AM212" s="156" t="str">
        <f t="shared" si="17"/>
        <v/>
      </c>
      <c r="AN212" s="156" t="str">
        <f>IF('Bulk Order Details'!N222="","","Na-"&amp;'Bulk Order Details'!N222)</f>
        <v/>
      </c>
      <c r="AO212" s="156" t="str">
        <f>IF('Bulk Order Details'!Q222="","","Fo-"&amp;'Bulk Order Details'!Q222)</f>
        <v/>
      </c>
      <c r="AP212" s="156" t="str">
        <f t="shared" si="18"/>
        <v/>
      </c>
      <c r="AQ212" s="37" t="str">
        <f t="shared" si="19"/>
        <v/>
      </c>
    </row>
    <row r="213" spans="2:43" ht="15" customHeight="1" x14ac:dyDescent="0.2">
      <c r="B213" s="34">
        <f>'Bulk Order Details'!B223</f>
        <v>210</v>
      </c>
      <c r="C213" s="34" t="str">
        <f>IF('Bulk Order Details'!C223="","",'Bulk Order Details'!C223&amp;" "&amp;'Bulk Order Details'!D223)</f>
        <v/>
      </c>
      <c r="D213" s="31" t="str">
        <f>IF('Bulk Order Details'!M223="","",VLOOKUP(1,Price[],3))</f>
        <v/>
      </c>
      <c r="E213" s="29" t="str">
        <f>IF('Bulk Order Details'!M223="","",Summary!$D$9)</f>
        <v/>
      </c>
      <c r="F213" s="16" t="str">
        <f>IF('Bulk Order Details'!I223="","",_xlfn.XLOOKUP('Bulk Order Details'!I223,Size[Display],Size[Price]))</f>
        <v/>
      </c>
      <c r="G213" s="16" t="str">
        <f>IF('Bulk Order Details'!J223="","",_xlfn.XLOOKUP('Bulk Order Details'!J223,Length[Display],Length[Price]))</f>
        <v/>
      </c>
      <c r="H213" s="16" t="str">
        <f>IF('Bulk Order Details'!K223="","",_xlfn.XLOOKUP('Bulk Order Details'!K223,Collection[Display],Collection[Price]))</f>
        <v/>
      </c>
      <c r="I213" s="16" t="str">
        <f>IF('Bulk Order Details'!L223="","",_xlfn.XLOOKUP('Bulk Order Details'!L223,Sleeve[Display],Sleeve[Price]))</f>
        <v/>
      </c>
      <c r="J213" s="16" t="str">
        <f>IF('Bulk Order Details'!M223="","",_xlfn.XLOOKUP('Bulk Order Details'!M223,Collar[Display],Collar[Price]))</f>
        <v/>
      </c>
      <c r="K213" s="16" t="str">
        <f>IF('Bulk Order Details'!N223="","",_xlfn.XLOOKUP("Name",Name[Name],Name[Price]))</f>
        <v/>
      </c>
      <c r="L213" s="18" t="str">
        <f>IFERROR(IF('Bulk Order Details'!R223="","",IF(_xlfn.XLOOKUP('Bulk Order Details'!R223,Logos[Display],Logos[Use])="Flat",_xlfn.XLOOKUP('Bulk Order Details'!R223,Logos[Display],Logos[Flat]),ROUND(_xlfn.XLOOKUP('Bulk Order Details'!R223,Logos[Display],Logos[Pct])*$E213,2))),"")</f>
        <v/>
      </c>
      <c r="M213" s="22" t="str">
        <f>IFERROR(IF('Bulk Order Details'!S223="","",IF(_xlfn.XLOOKUP('Bulk Order Details'!S223,Chest[Display],Chest[Use])="Flat",_xlfn.XLOOKUP('Bulk Order Details'!S223,Chest[Display],Chest[Flat]),ROUND(_xlfn.XLOOKUP('Bulk Order Details'!S223,Chest[Display],Chest[Pct])*$E213,2))),"")</f>
        <v/>
      </c>
      <c r="N213" s="22" t="str">
        <f>IFERROR(IF('Bulk Order Details'!T223="","",IF(_xlfn.XLOOKUP('Bulk Order Details'!T223,Chest[Display],Chest[Use])="Flat",_xlfn.XLOOKUP('Bulk Order Details'!T223,Chest[Display],Chest[Flat]),ROUND(_xlfn.XLOOKUP('Bulk Order Details'!T223,Chest[Display],Chest[Pct])*$E213,2))),"")</f>
        <v/>
      </c>
      <c r="O213" s="22" t="str">
        <f>IFERROR(IF('Bulk Order Details'!U223="","",IF(_xlfn.XLOOKUP('Bulk Order Details'!U223,LeftSleeve[Display],LeftSleeve[Use])="Flat",_xlfn.XLOOKUP('Bulk Order Details'!U223,LeftSleeve[Display],LeftSleeve[Flat]),ROUND(_xlfn.XLOOKUP('Bulk Order Details'!U223,LeftSleeve[Display],LeftSleeve[Pct])*$E213,2))),"")</f>
        <v/>
      </c>
      <c r="P213" s="22" t="str">
        <f>IFERROR(IF('Bulk Order Details'!V223="","",IF(_xlfn.XLOOKUP('Bulk Order Details'!V223,RightSleeve[Display],RightSleeve[Use])="Flat",_xlfn.XLOOKUP('Bulk Order Details'!V223,RightSleeve[Display],RightSleeve[Flat]),ROUND(_xlfn.XLOOKUP('Bulk Order Details'!V223,RightSleeve[Display],RightSleeve[Pct])*$E213,2))),"")</f>
        <v/>
      </c>
      <c r="Q213" s="27" t="str">
        <f>IF('Bulk Order Details'!M223="","",SUM(F213:P213))</f>
        <v/>
      </c>
      <c r="R213" s="24" t="str">
        <f t="shared" si="16"/>
        <v/>
      </c>
      <c r="S213" s="23" t="str">
        <f>IFERROR(MIN(IF(Summary!$D$11="Yes",-J213,0),IF(H213&gt;0,-J213,0)),"")</f>
        <v/>
      </c>
      <c r="T213" s="16" t="str">
        <f>IFERROR(IF(Summary!$D$10="Yes",-K213,""),"")</f>
        <v/>
      </c>
      <c r="U213" s="18" t="str">
        <f>IFERROR(IF(Summary!$D$12="Yes",-L213,""),"")</f>
        <v/>
      </c>
      <c r="V213" s="25" t="str">
        <f>IF('Bulk Order Details'!M223="","",SUM(R213:U213))</f>
        <v/>
      </c>
      <c r="W213" s="36" t="str">
        <f>IF('Bulk Order Details'!M223="","",D213+Q213)</f>
        <v/>
      </c>
      <c r="X213" s="37" t="str">
        <f>IF('Bulk Order Details'!M223="","",D213+Q213+V213)</f>
        <v/>
      </c>
      <c r="Y213" s="168" t="str">
        <f t="shared" si="15"/>
        <v/>
      </c>
      <c r="Z213" s="173" t="str">
        <f>IF('Bulk Order Details'!M223="","",MAX(1,'Bulk Order Details'!G223))</f>
        <v/>
      </c>
      <c r="AA213" s="196" t="str">
        <f>IF(Pricing_Details[[#This Row],[Quantity]]="","",Pricing_Details[[#This Row],[Retail Price]]*Pricing_Details[[#This Row],[Quantity]])</f>
        <v/>
      </c>
      <c r="AB213" s="196" t="str">
        <f>IF(Pricing_Details[[#This Row],[Quantity]]="","",Pricing_Details[[#This Row],[Total Discount]]*Pricing_Details[[#This Row],[Quantity]])</f>
        <v/>
      </c>
      <c r="AC213" s="176" t="str">
        <f>IFERROR(ROUND(Pricing_Details[[#This Row],[Actual Price]]*Pricing_Details[[#This Row],[Quantity]],2),"")</f>
        <v/>
      </c>
      <c r="AE213" s="156" t="str">
        <f>IF('Bulk Order Details'!M223="","",VLOOKUP('Bulk Order Details'!K223,Collection[],3)&amp;VLOOKUP('Bulk Order Details'!M223,Collar[],4)&amp;VLOOKUP('Bulk Order Details'!L223,Sleeve[],4))</f>
        <v/>
      </c>
      <c r="AF213" s="156" t="str">
        <f>IF('Bulk Order Details'!M223="","",LOOKUP('Bulk Order Details'!H223,Cut[Display],Cut[Code])&amp;LOOKUP('Bulk Order Details'!I223,#REF!,#REF!)&amp;IF('Bulk Order Details'!J223="","",LOOKUP('Bulk Order Details'!J223,Length[Display],Length[Code])))</f>
        <v/>
      </c>
      <c r="AG213" s="156" t="str">
        <f>IF('Bulk Order Details'!M223="","",IF('Bulk Order Details'!F223="","",'Bulk Order Details'!F223))</f>
        <v/>
      </c>
      <c r="AH213" s="156" t="str">
        <f>IF('Bulk Order Details'!R223="","","-"&amp;LOOKUP('Bulk Order Details'!R223,#REF!,#REF!))</f>
        <v/>
      </c>
      <c r="AI213" s="156" t="str">
        <f>IF('Bulk Order Details'!S223="","","-"&amp;LOOKUP('Bulk Order Details'!S223,#REF!,#REF!))</f>
        <v/>
      </c>
      <c r="AJ213" s="156" t="str">
        <f>IF('Bulk Order Details'!T223="","","-"&amp;LOOKUP('Bulk Order Details'!T223,#REF!,#REF!))</f>
        <v/>
      </c>
      <c r="AK213" s="156" t="str">
        <f>IF('Bulk Order Details'!U223="","","-"&amp;LOOKUP('Bulk Order Details'!U223,#REF!,#REF!))</f>
        <v/>
      </c>
      <c r="AL213" s="156" t="str">
        <f>IF('Bulk Order Details'!V223="","","-"&amp;LOOKUP('Bulk Order Details'!V223,#REF!,#REF!))</f>
        <v/>
      </c>
      <c r="AM213" s="156" t="str">
        <f t="shared" si="17"/>
        <v/>
      </c>
      <c r="AN213" s="156" t="str">
        <f>IF('Bulk Order Details'!N223="","","Na-"&amp;'Bulk Order Details'!N223)</f>
        <v/>
      </c>
      <c r="AO213" s="156" t="str">
        <f>IF('Bulk Order Details'!Q223="","","Fo-"&amp;'Bulk Order Details'!Q223)</f>
        <v/>
      </c>
      <c r="AP213" s="156" t="str">
        <f t="shared" si="18"/>
        <v/>
      </c>
      <c r="AQ213" s="37" t="str">
        <f t="shared" si="19"/>
        <v/>
      </c>
    </row>
    <row r="214" spans="2:43" ht="15" customHeight="1" x14ac:dyDescent="0.2">
      <c r="B214" s="34">
        <f>'Bulk Order Details'!B224</f>
        <v>211</v>
      </c>
      <c r="C214" s="34" t="str">
        <f>IF('Bulk Order Details'!C224="","",'Bulk Order Details'!C224&amp;" "&amp;'Bulk Order Details'!D224)</f>
        <v/>
      </c>
      <c r="D214" s="31" t="str">
        <f>IF('Bulk Order Details'!M224="","",VLOOKUP(1,Price[],3))</f>
        <v/>
      </c>
      <c r="E214" s="29" t="str">
        <f>IF('Bulk Order Details'!M224="","",Summary!$D$9)</f>
        <v/>
      </c>
      <c r="F214" s="16" t="str">
        <f>IF('Bulk Order Details'!I224="","",_xlfn.XLOOKUP('Bulk Order Details'!I224,Size[Display],Size[Price]))</f>
        <v/>
      </c>
      <c r="G214" s="16" t="str">
        <f>IF('Bulk Order Details'!J224="","",_xlfn.XLOOKUP('Bulk Order Details'!J224,Length[Display],Length[Price]))</f>
        <v/>
      </c>
      <c r="H214" s="16" t="str">
        <f>IF('Bulk Order Details'!K224="","",_xlfn.XLOOKUP('Bulk Order Details'!K224,Collection[Display],Collection[Price]))</f>
        <v/>
      </c>
      <c r="I214" s="16" t="str">
        <f>IF('Bulk Order Details'!L224="","",_xlfn.XLOOKUP('Bulk Order Details'!L224,Sleeve[Display],Sleeve[Price]))</f>
        <v/>
      </c>
      <c r="J214" s="16" t="str">
        <f>IF('Bulk Order Details'!M224="","",_xlfn.XLOOKUP('Bulk Order Details'!M224,Collar[Display],Collar[Price]))</f>
        <v/>
      </c>
      <c r="K214" s="16" t="str">
        <f>IF('Bulk Order Details'!N224="","",_xlfn.XLOOKUP("Name",Name[Name],Name[Price]))</f>
        <v/>
      </c>
      <c r="L214" s="18" t="str">
        <f>IFERROR(IF('Bulk Order Details'!R224="","",IF(_xlfn.XLOOKUP('Bulk Order Details'!R224,Logos[Display],Logos[Use])="Flat",_xlfn.XLOOKUP('Bulk Order Details'!R224,Logos[Display],Logos[Flat]),ROUND(_xlfn.XLOOKUP('Bulk Order Details'!R224,Logos[Display],Logos[Pct])*$E214,2))),"")</f>
        <v/>
      </c>
      <c r="M214" s="22" t="str">
        <f>IFERROR(IF('Bulk Order Details'!S224="","",IF(_xlfn.XLOOKUP('Bulk Order Details'!S224,Chest[Display],Chest[Use])="Flat",_xlfn.XLOOKUP('Bulk Order Details'!S224,Chest[Display],Chest[Flat]),ROUND(_xlfn.XLOOKUP('Bulk Order Details'!S224,Chest[Display],Chest[Pct])*$E214,2))),"")</f>
        <v/>
      </c>
      <c r="N214" s="22" t="str">
        <f>IFERROR(IF('Bulk Order Details'!T224="","",IF(_xlfn.XLOOKUP('Bulk Order Details'!T224,Chest[Display],Chest[Use])="Flat",_xlfn.XLOOKUP('Bulk Order Details'!T224,Chest[Display],Chest[Flat]),ROUND(_xlfn.XLOOKUP('Bulk Order Details'!T224,Chest[Display],Chest[Pct])*$E214,2))),"")</f>
        <v/>
      </c>
      <c r="O214" s="22" t="str">
        <f>IFERROR(IF('Bulk Order Details'!U224="","",IF(_xlfn.XLOOKUP('Bulk Order Details'!U224,LeftSleeve[Display],LeftSleeve[Use])="Flat",_xlfn.XLOOKUP('Bulk Order Details'!U224,LeftSleeve[Display],LeftSleeve[Flat]),ROUND(_xlfn.XLOOKUP('Bulk Order Details'!U224,LeftSleeve[Display],LeftSleeve[Pct])*$E214,2))),"")</f>
        <v/>
      </c>
      <c r="P214" s="22" t="str">
        <f>IFERROR(IF('Bulk Order Details'!V224="","",IF(_xlfn.XLOOKUP('Bulk Order Details'!V224,RightSleeve[Display],RightSleeve[Use])="Flat",_xlfn.XLOOKUP('Bulk Order Details'!V224,RightSleeve[Display],RightSleeve[Flat]),ROUND(_xlfn.XLOOKUP('Bulk Order Details'!V224,RightSleeve[Display],RightSleeve[Pct])*$E214,2))),"")</f>
        <v/>
      </c>
      <c r="Q214" s="27" t="str">
        <f>IF('Bulk Order Details'!M224="","",SUM(F214:P214))</f>
        <v/>
      </c>
      <c r="R214" s="24" t="str">
        <f t="shared" si="16"/>
        <v/>
      </c>
      <c r="S214" s="23" t="str">
        <f>IFERROR(MIN(IF(Summary!$D$11="Yes",-J214,0),IF(H214&gt;0,-J214,0)),"")</f>
        <v/>
      </c>
      <c r="T214" s="16" t="str">
        <f>IFERROR(IF(Summary!$D$10="Yes",-K214,""),"")</f>
        <v/>
      </c>
      <c r="U214" s="18" t="str">
        <f>IFERROR(IF(Summary!$D$12="Yes",-L214,""),"")</f>
        <v/>
      </c>
      <c r="V214" s="25" t="str">
        <f>IF('Bulk Order Details'!M224="","",SUM(R214:U214))</f>
        <v/>
      </c>
      <c r="W214" s="36" t="str">
        <f>IF('Bulk Order Details'!M224="","",D214+Q214)</f>
        <v/>
      </c>
      <c r="X214" s="37" t="str">
        <f>IF('Bulk Order Details'!M224="","",D214+Q214+V214)</f>
        <v/>
      </c>
      <c r="Y214" s="168" t="str">
        <f t="shared" si="15"/>
        <v/>
      </c>
      <c r="Z214" s="173" t="str">
        <f>IF('Bulk Order Details'!M224="","",MAX(1,'Bulk Order Details'!G224))</f>
        <v/>
      </c>
      <c r="AA214" s="196" t="str">
        <f>IF(Pricing_Details[[#This Row],[Quantity]]="","",Pricing_Details[[#This Row],[Retail Price]]*Pricing_Details[[#This Row],[Quantity]])</f>
        <v/>
      </c>
      <c r="AB214" s="196" t="str">
        <f>IF(Pricing_Details[[#This Row],[Quantity]]="","",Pricing_Details[[#This Row],[Total Discount]]*Pricing_Details[[#This Row],[Quantity]])</f>
        <v/>
      </c>
      <c r="AC214" s="176" t="str">
        <f>IFERROR(ROUND(Pricing_Details[[#This Row],[Actual Price]]*Pricing_Details[[#This Row],[Quantity]],2),"")</f>
        <v/>
      </c>
      <c r="AE214" s="156" t="str">
        <f>IF('Bulk Order Details'!M224="","",VLOOKUP('Bulk Order Details'!K224,Collection[],3)&amp;VLOOKUP('Bulk Order Details'!M224,Collar[],4)&amp;VLOOKUP('Bulk Order Details'!L224,Sleeve[],4))</f>
        <v/>
      </c>
      <c r="AF214" s="156" t="str">
        <f>IF('Bulk Order Details'!M224="","",LOOKUP('Bulk Order Details'!H224,Cut[Display],Cut[Code])&amp;LOOKUP('Bulk Order Details'!I224,#REF!,#REF!)&amp;IF('Bulk Order Details'!J224="","",LOOKUP('Bulk Order Details'!J224,Length[Display],Length[Code])))</f>
        <v/>
      </c>
      <c r="AG214" s="156" t="str">
        <f>IF('Bulk Order Details'!M224="","",IF('Bulk Order Details'!F224="","",'Bulk Order Details'!F224))</f>
        <v/>
      </c>
      <c r="AH214" s="156" t="str">
        <f>IF('Bulk Order Details'!R224="","","-"&amp;LOOKUP('Bulk Order Details'!R224,#REF!,#REF!))</f>
        <v/>
      </c>
      <c r="AI214" s="156" t="str">
        <f>IF('Bulk Order Details'!S224="","","-"&amp;LOOKUP('Bulk Order Details'!S224,#REF!,#REF!))</f>
        <v/>
      </c>
      <c r="AJ214" s="156" t="str">
        <f>IF('Bulk Order Details'!T224="","","-"&amp;LOOKUP('Bulk Order Details'!T224,#REF!,#REF!))</f>
        <v/>
      </c>
      <c r="AK214" s="156" t="str">
        <f>IF('Bulk Order Details'!U224="","","-"&amp;LOOKUP('Bulk Order Details'!U224,#REF!,#REF!))</f>
        <v/>
      </c>
      <c r="AL214" s="156" t="str">
        <f>IF('Bulk Order Details'!V224="","","-"&amp;LOOKUP('Bulk Order Details'!V224,#REF!,#REF!))</f>
        <v/>
      </c>
      <c r="AM214" s="156" t="str">
        <f t="shared" si="17"/>
        <v/>
      </c>
      <c r="AN214" s="156" t="str">
        <f>IF('Bulk Order Details'!N224="","","Na-"&amp;'Bulk Order Details'!N224)</f>
        <v/>
      </c>
      <c r="AO214" s="156" t="str">
        <f>IF('Bulk Order Details'!Q224="","","Fo-"&amp;'Bulk Order Details'!Q224)</f>
        <v/>
      </c>
      <c r="AP214" s="156" t="str">
        <f t="shared" si="18"/>
        <v/>
      </c>
      <c r="AQ214" s="37" t="str">
        <f t="shared" si="19"/>
        <v/>
      </c>
    </row>
    <row r="215" spans="2:43" ht="15" customHeight="1" x14ac:dyDescent="0.2">
      <c r="B215" s="34">
        <f>'Bulk Order Details'!B225</f>
        <v>212</v>
      </c>
      <c r="C215" s="34" t="str">
        <f>IF('Bulk Order Details'!C225="","",'Bulk Order Details'!C225&amp;" "&amp;'Bulk Order Details'!D225)</f>
        <v/>
      </c>
      <c r="D215" s="31" t="str">
        <f>IF('Bulk Order Details'!M225="","",VLOOKUP(1,Price[],3))</f>
        <v/>
      </c>
      <c r="E215" s="29" t="str">
        <f>IF('Bulk Order Details'!M225="","",Summary!$D$9)</f>
        <v/>
      </c>
      <c r="F215" s="16" t="str">
        <f>IF('Bulk Order Details'!I225="","",_xlfn.XLOOKUP('Bulk Order Details'!I225,Size[Display],Size[Price]))</f>
        <v/>
      </c>
      <c r="G215" s="16" t="str">
        <f>IF('Bulk Order Details'!J225="","",_xlfn.XLOOKUP('Bulk Order Details'!J225,Length[Display],Length[Price]))</f>
        <v/>
      </c>
      <c r="H215" s="16" t="str">
        <f>IF('Bulk Order Details'!K225="","",_xlfn.XLOOKUP('Bulk Order Details'!K225,Collection[Display],Collection[Price]))</f>
        <v/>
      </c>
      <c r="I215" s="16" t="str">
        <f>IF('Bulk Order Details'!L225="","",_xlfn.XLOOKUP('Bulk Order Details'!L225,Sleeve[Display],Sleeve[Price]))</f>
        <v/>
      </c>
      <c r="J215" s="16" t="str">
        <f>IF('Bulk Order Details'!M225="","",_xlfn.XLOOKUP('Bulk Order Details'!M225,Collar[Display],Collar[Price]))</f>
        <v/>
      </c>
      <c r="K215" s="16" t="str">
        <f>IF('Bulk Order Details'!N225="","",_xlfn.XLOOKUP("Name",Name[Name],Name[Price]))</f>
        <v/>
      </c>
      <c r="L215" s="18" t="str">
        <f>IFERROR(IF('Bulk Order Details'!R225="","",IF(_xlfn.XLOOKUP('Bulk Order Details'!R225,Logos[Display],Logos[Use])="Flat",_xlfn.XLOOKUP('Bulk Order Details'!R225,Logos[Display],Logos[Flat]),ROUND(_xlfn.XLOOKUP('Bulk Order Details'!R225,Logos[Display],Logos[Pct])*$E215,2))),"")</f>
        <v/>
      </c>
      <c r="M215" s="22" t="str">
        <f>IFERROR(IF('Bulk Order Details'!S225="","",IF(_xlfn.XLOOKUP('Bulk Order Details'!S225,Chest[Display],Chest[Use])="Flat",_xlfn.XLOOKUP('Bulk Order Details'!S225,Chest[Display],Chest[Flat]),ROUND(_xlfn.XLOOKUP('Bulk Order Details'!S225,Chest[Display],Chest[Pct])*$E215,2))),"")</f>
        <v/>
      </c>
      <c r="N215" s="22" t="str">
        <f>IFERROR(IF('Bulk Order Details'!T225="","",IF(_xlfn.XLOOKUP('Bulk Order Details'!T225,Chest[Display],Chest[Use])="Flat",_xlfn.XLOOKUP('Bulk Order Details'!T225,Chest[Display],Chest[Flat]),ROUND(_xlfn.XLOOKUP('Bulk Order Details'!T225,Chest[Display],Chest[Pct])*$E215,2))),"")</f>
        <v/>
      </c>
      <c r="O215" s="22" t="str">
        <f>IFERROR(IF('Bulk Order Details'!U225="","",IF(_xlfn.XLOOKUP('Bulk Order Details'!U225,LeftSleeve[Display],LeftSleeve[Use])="Flat",_xlfn.XLOOKUP('Bulk Order Details'!U225,LeftSleeve[Display],LeftSleeve[Flat]),ROUND(_xlfn.XLOOKUP('Bulk Order Details'!U225,LeftSleeve[Display],LeftSleeve[Pct])*$E215,2))),"")</f>
        <v/>
      </c>
      <c r="P215" s="22" t="str">
        <f>IFERROR(IF('Bulk Order Details'!V225="","",IF(_xlfn.XLOOKUP('Bulk Order Details'!V225,RightSleeve[Display],RightSleeve[Use])="Flat",_xlfn.XLOOKUP('Bulk Order Details'!V225,RightSleeve[Display],RightSleeve[Flat]),ROUND(_xlfn.XLOOKUP('Bulk Order Details'!V225,RightSleeve[Display],RightSleeve[Pct])*$E215,2))),"")</f>
        <v/>
      </c>
      <c r="Q215" s="27" t="str">
        <f>IF('Bulk Order Details'!M225="","",SUM(F215:P215))</f>
        <v/>
      </c>
      <c r="R215" s="24" t="str">
        <f t="shared" si="16"/>
        <v/>
      </c>
      <c r="S215" s="23" t="str">
        <f>IFERROR(MIN(IF(Summary!$D$11="Yes",-J215,0),IF(H215&gt;0,-J215,0)),"")</f>
        <v/>
      </c>
      <c r="T215" s="16" t="str">
        <f>IFERROR(IF(Summary!$D$10="Yes",-K215,""),"")</f>
        <v/>
      </c>
      <c r="U215" s="18" t="str">
        <f>IFERROR(IF(Summary!$D$12="Yes",-L215,""),"")</f>
        <v/>
      </c>
      <c r="V215" s="25" t="str">
        <f>IF('Bulk Order Details'!M225="","",SUM(R215:U215))</f>
        <v/>
      </c>
      <c r="W215" s="36" t="str">
        <f>IF('Bulk Order Details'!M225="","",D215+Q215)</f>
        <v/>
      </c>
      <c r="X215" s="37" t="str">
        <f>IF('Bulk Order Details'!M225="","",D215+Q215+V215)</f>
        <v/>
      </c>
      <c r="Y215" s="168" t="str">
        <f t="shared" si="15"/>
        <v/>
      </c>
      <c r="Z215" s="173" t="str">
        <f>IF('Bulk Order Details'!M225="","",MAX(1,'Bulk Order Details'!G225))</f>
        <v/>
      </c>
      <c r="AA215" s="196" t="str">
        <f>IF(Pricing_Details[[#This Row],[Quantity]]="","",Pricing_Details[[#This Row],[Retail Price]]*Pricing_Details[[#This Row],[Quantity]])</f>
        <v/>
      </c>
      <c r="AB215" s="196" t="str">
        <f>IF(Pricing_Details[[#This Row],[Quantity]]="","",Pricing_Details[[#This Row],[Total Discount]]*Pricing_Details[[#This Row],[Quantity]])</f>
        <v/>
      </c>
      <c r="AC215" s="176" t="str">
        <f>IFERROR(ROUND(Pricing_Details[[#This Row],[Actual Price]]*Pricing_Details[[#This Row],[Quantity]],2),"")</f>
        <v/>
      </c>
      <c r="AE215" s="156" t="str">
        <f>IF('Bulk Order Details'!M225="","",VLOOKUP('Bulk Order Details'!K225,Collection[],3)&amp;VLOOKUP('Bulk Order Details'!M225,Collar[],4)&amp;VLOOKUP('Bulk Order Details'!L225,Sleeve[],4))</f>
        <v/>
      </c>
      <c r="AF215" s="156" t="str">
        <f>IF('Bulk Order Details'!M225="","",LOOKUP('Bulk Order Details'!H225,Cut[Display],Cut[Code])&amp;LOOKUP('Bulk Order Details'!I225,#REF!,#REF!)&amp;IF('Bulk Order Details'!J225="","",LOOKUP('Bulk Order Details'!J225,Length[Display],Length[Code])))</f>
        <v/>
      </c>
      <c r="AG215" s="156" t="str">
        <f>IF('Bulk Order Details'!M225="","",IF('Bulk Order Details'!F225="","",'Bulk Order Details'!F225))</f>
        <v/>
      </c>
      <c r="AH215" s="156" t="str">
        <f>IF('Bulk Order Details'!R225="","","-"&amp;LOOKUP('Bulk Order Details'!R225,#REF!,#REF!))</f>
        <v/>
      </c>
      <c r="AI215" s="156" t="str">
        <f>IF('Bulk Order Details'!S225="","","-"&amp;LOOKUP('Bulk Order Details'!S225,#REF!,#REF!))</f>
        <v/>
      </c>
      <c r="AJ215" s="156" t="str">
        <f>IF('Bulk Order Details'!T225="","","-"&amp;LOOKUP('Bulk Order Details'!T225,#REF!,#REF!))</f>
        <v/>
      </c>
      <c r="AK215" s="156" t="str">
        <f>IF('Bulk Order Details'!U225="","","-"&amp;LOOKUP('Bulk Order Details'!U225,#REF!,#REF!))</f>
        <v/>
      </c>
      <c r="AL215" s="156" t="str">
        <f>IF('Bulk Order Details'!V225="","","-"&amp;LOOKUP('Bulk Order Details'!V225,#REF!,#REF!))</f>
        <v/>
      </c>
      <c r="AM215" s="156" t="str">
        <f t="shared" si="17"/>
        <v/>
      </c>
      <c r="AN215" s="156" t="str">
        <f>IF('Bulk Order Details'!N225="","","Na-"&amp;'Bulk Order Details'!N225)</f>
        <v/>
      </c>
      <c r="AO215" s="156" t="str">
        <f>IF('Bulk Order Details'!Q225="","","Fo-"&amp;'Bulk Order Details'!Q225)</f>
        <v/>
      </c>
      <c r="AP215" s="156" t="str">
        <f t="shared" si="18"/>
        <v/>
      </c>
      <c r="AQ215" s="37" t="str">
        <f t="shared" si="19"/>
        <v/>
      </c>
    </row>
    <row r="216" spans="2:43" ht="15" customHeight="1" x14ac:dyDescent="0.2">
      <c r="B216" s="34">
        <f>'Bulk Order Details'!B226</f>
        <v>213</v>
      </c>
      <c r="C216" s="34" t="str">
        <f>IF('Bulk Order Details'!C226="","",'Bulk Order Details'!C226&amp;" "&amp;'Bulk Order Details'!D226)</f>
        <v/>
      </c>
      <c r="D216" s="31" t="str">
        <f>IF('Bulk Order Details'!M226="","",VLOOKUP(1,Price[],3))</f>
        <v/>
      </c>
      <c r="E216" s="29" t="str">
        <f>IF('Bulk Order Details'!M226="","",Summary!$D$9)</f>
        <v/>
      </c>
      <c r="F216" s="16" t="str">
        <f>IF('Bulk Order Details'!I226="","",_xlfn.XLOOKUP('Bulk Order Details'!I226,Size[Display],Size[Price]))</f>
        <v/>
      </c>
      <c r="G216" s="16" t="str">
        <f>IF('Bulk Order Details'!J226="","",_xlfn.XLOOKUP('Bulk Order Details'!J226,Length[Display],Length[Price]))</f>
        <v/>
      </c>
      <c r="H216" s="16" t="str">
        <f>IF('Bulk Order Details'!K226="","",_xlfn.XLOOKUP('Bulk Order Details'!K226,Collection[Display],Collection[Price]))</f>
        <v/>
      </c>
      <c r="I216" s="16" t="str">
        <f>IF('Bulk Order Details'!L226="","",_xlfn.XLOOKUP('Bulk Order Details'!L226,Sleeve[Display],Sleeve[Price]))</f>
        <v/>
      </c>
      <c r="J216" s="16" t="str">
        <f>IF('Bulk Order Details'!M226="","",_xlfn.XLOOKUP('Bulk Order Details'!M226,Collar[Display],Collar[Price]))</f>
        <v/>
      </c>
      <c r="K216" s="16" t="str">
        <f>IF('Bulk Order Details'!N226="","",_xlfn.XLOOKUP("Name",Name[Name],Name[Price]))</f>
        <v/>
      </c>
      <c r="L216" s="18" t="str">
        <f>IFERROR(IF('Bulk Order Details'!R226="","",IF(_xlfn.XLOOKUP('Bulk Order Details'!R226,Logos[Display],Logos[Use])="Flat",_xlfn.XLOOKUP('Bulk Order Details'!R226,Logos[Display],Logos[Flat]),ROUND(_xlfn.XLOOKUP('Bulk Order Details'!R226,Logos[Display],Logos[Pct])*$E216,2))),"")</f>
        <v/>
      </c>
      <c r="M216" s="22" t="str">
        <f>IFERROR(IF('Bulk Order Details'!S226="","",IF(_xlfn.XLOOKUP('Bulk Order Details'!S226,Chest[Display],Chest[Use])="Flat",_xlfn.XLOOKUP('Bulk Order Details'!S226,Chest[Display],Chest[Flat]),ROUND(_xlfn.XLOOKUP('Bulk Order Details'!S226,Chest[Display],Chest[Pct])*$E216,2))),"")</f>
        <v/>
      </c>
      <c r="N216" s="22" t="str">
        <f>IFERROR(IF('Bulk Order Details'!T226="","",IF(_xlfn.XLOOKUP('Bulk Order Details'!T226,Chest[Display],Chest[Use])="Flat",_xlfn.XLOOKUP('Bulk Order Details'!T226,Chest[Display],Chest[Flat]),ROUND(_xlfn.XLOOKUP('Bulk Order Details'!T226,Chest[Display],Chest[Pct])*$E216,2))),"")</f>
        <v/>
      </c>
      <c r="O216" s="22" t="str">
        <f>IFERROR(IF('Bulk Order Details'!U226="","",IF(_xlfn.XLOOKUP('Bulk Order Details'!U226,LeftSleeve[Display],LeftSleeve[Use])="Flat",_xlfn.XLOOKUP('Bulk Order Details'!U226,LeftSleeve[Display],LeftSleeve[Flat]),ROUND(_xlfn.XLOOKUP('Bulk Order Details'!U226,LeftSleeve[Display],LeftSleeve[Pct])*$E216,2))),"")</f>
        <v/>
      </c>
      <c r="P216" s="22" t="str">
        <f>IFERROR(IF('Bulk Order Details'!V226="","",IF(_xlfn.XLOOKUP('Bulk Order Details'!V226,RightSleeve[Display],RightSleeve[Use])="Flat",_xlfn.XLOOKUP('Bulk Order Details'!V226,RightSleeve[Display],RightSleeve[Flat]),ROUND(_xlfn.XLOOKUP('Bulk Order Details'!V226,RightSleeve[Display],RightSleeve[Pct])*$E216,2))),"")</f>
        <v/>
      </c>
      <c r="Q216" s="27" t="str">
        <f>IF('Bulk Order Details'!M226="","",SUM(F216:P216))</f>
        <v/>
      </c>
      <c r="R216" s="24" t="str">
        <f t="shared" si="16"/>
        <v/>
      </c>
      <c r="S216" s="23" t="str">
        <f>IFERROR(MIN(IF(Summary!$D$11="Yes",-J216,0),IF(H216&gt;0,-J216,0)),"")</f>
        <v/>
      </c>
      <c r="T216" s="16" t="str">
        <f>IFERROR(IF(Summary!$D$10="Yes",-K216,""),"")</f>
        <v/>
      </c>
      <c r="U216" s="18" t="str">
        <f>IFERROR(IF(Summary!$D$12="Yes",-L216,""),"")</f>
        <v/>
      </c>
      <c r="V216" s="25" t="str">
        <f>IF('Bulk Order Details'!M226="","",SUM(R216:U216))</f>
        <v/>
      </c>
      <c r="W216" s="36" t="str">
        <f>IF('Bulk Order Details'!M226="","",D216+Q216)</f>
        <v/>
      </c>
      <c r="X216" s="37" t="str">
        <f>IF('Bulk Order Details'!M226="","",D216+Q216+V216)</f>
        <v/>
      </c>
      <c r="Y216" s="168" t="str">
        <f t="shared" si="15"/>
        <v/>
      </c>
      <c r="Z216" s="173" t="str">
        <f>IF('Bulk Order Details'!M226="","",MAX(1,'Bulk Order Details'!G226))</f>
        <v/>
      </c>
      <c r="AA216" s="196" t="str">
        <f>IF(Pricing_Details[[#This Row],[Quantity]]="","",Pricing_Details[[#This Row],[Retail Price]]*Pricing_Details[[#This Row],[Quantity]])</f>
        <v/>
      </c>
      <c r="AB216" s="196" t="str">
        <f>IF(Pricing_Details[[#This Row],[Quantity]]="","",Pricing_Details[[#This Row],[Total Discount]]*Pricing_Details[[#This Row],[Quantity]])</f>
        <v/>
      </c>
      <c r="AC216" s="176" t="str">
        <f>IFERROR(ROUND(Pricing_Details[[#This Row],[Actual Price]]*Pricing_Details[[#This Row],[Quantity]],2),"")</f>
        <v/>
      </c>
      <c r="AE216" s="156" t="str">
        <f>IF('Bulk Order Details'!M226="","",VLOOKUP('Bulk Order Details'!K226,Collection[],3)&amp;VLOOKUP('Bulk Order Details'!M226,Collar[],4)&amp;VLOOKUP('Bulk Order Details'!L226,Sleeve[],4))</f>
        <v/>
      </c>
      <c r="AF216" s="156" t="str">
        <f>IF('Bulk Order Details'!M226="","",LOOKUP('Bulk Order Details'!H226,Cut[Display],Cut[Code])&amp;LOOKUP('Bulk Order Details'!I226,#REF!,#REF!)&amp;IF('Bulk Order Details'!J226="","",LOOKUP('Bulk Order Details'!J226,Length[Display],Length[Code])))</f>
        <v/>
      </c>
      <c r="AG216" s="156" t="str">
        <f>IF('Bulk Order Details'!M226="","",IF('Bulk Order Details'!F226="","",'Bulk Order Details'!F226))</f>
        <v/>
      </c>
      <c r="AH216" s="156" t="str">
        <f>IF('Bulk Order Details'!R226="","","-"&amp;LOOKUP('Bulk Order Details'!R226,#REF!,#REF!))</f>
        <v/>
      </c>
      <c r="AI216" s="156" t="str">
        <f>IF('Bulk Order Details'!S226="","","-"&amp;LOOKUP('Bulk Order Details'!S226,#REF!,#REF!))</f>
        <v/>
      </c>
      <c r="AJ216" s="156" t="str">
        <f>IF('Bulk Order Details'!T226="","","-"&amp;LOOKUP('Bulk Order Details'!T226,#REF!,#REF!))</f>
        <v/>
      </c>
      <c r="AK216" s="156" t="str">
        <f>IF('Bulk Order Details'!U226="","","-"&amp;LOOKUP('Bulk Order Details'!U226,#REF!,#REF!))</f>
        <v/>
      </c>
      <c r="AL216" s="156" t="str">
        <f>IF('Bulk Order Details'!V226="","","-"&amp;LOOKUP('Bulk Order Details'!V226,#REF!,#REF!))</f>
        <v/>
      </c>
      <c r="AM216" s="156" t="str">
        <f t="shared" si="17"/>
        <v/>
      </c>
      <c r="AN216" s="156" t="str">
        <f>IF('Bulk Order Details'!N226="","","Na-"&amp;'Bulk Order Details'!N226)</f>
        <v/>
      </c>
      <c r="AO216" s="156" t="str">
        <f>IF('Bulk Order Details'!Q226="","","Fo-"&amp;'Bulk Order Details'!Q226)</f>
        <v/>
      </c>
      <c r="AP216" s="156" t="str">
        <f t="shared" si="18"/>
        <v/>
      </c>
      <c r="AQ216" s="37" t="str">
        <f t="shared" si="19"/>
        <v/>
      </c>
    </row>
    <row r="217" spans="2:43" ht="15" customHeight="1" x14ac:dyDescent="0.2">
      <c r="B217" s="34">
        <f>'Bulk Order Details'!B227</f>
        <v>214</v>
      </c>
      <c r="C217" s="34" t="str">
        <f>IF('Bulk Order Details'!C227="","",'Bulk Order Details'!C227&amp;" "&amp;'Bulk Order Details'!D227)</f>
        <v/>
      </c>
      <c r="D217" s="31" t="str">
        <f>IF('Bulk Order Details'!M227="","",VLOOKUP(1,Price[],3))</f>
        <v/>
      </c>
      <c r="E217" s="29" t="str">
        <f>IF('Bulk Order Details'!M227="","",Summary!$D$9)</f>
        <v/>
      </c>
      <c r="F217" s="16" t="str">
        <f>IF('Bulk Order Details'!I227="","",_xlfn.XLOOKUP('Bulk Order Details'!I227,Size[Display],Size[Price]))</f>
        <v/>
      </c>
      <c r="G217" s="16" t="str">
        <f>IF('Bulk Order Details'!J227="","",_xlfn.XLOOKUP('Bulk Order Details'!J227,Length[Display],Length[Price]))</f>
        <v/>
      </c>
      <c r="H217" s="16" t="str">
        <f>IF('Bulk Order Details'!K227="","",_xlfn.XLOOKUP('Bulk Order Details'!K227,Collection[Display],Collection[Price]))</f>
        <v/>
      </c>
      <c r="I217" s="16" t="str">
        <f>IF('Bulk Order Details'!L227="","",_xlfn.XLOOKUP('Bulk Order Details'!L227,Sleeve[Display],Sleeve[Price]))</f>
        <v/>
      </c>
      <c r="J217" s="16" t="str">
        <f>IF('Bulk Order Details'!M227="","",_xlfn.XLOOKUP('Bulk Order Details'!M227,Collar[Display],Collar[Price]))</f>
        <v/>
      </c>
      <c r="K217" s="16" t="str">
        <f>IF('Bulk Order Details'!N227="","",_xlfn.XLOOKUP("Name",Name[Name],Name[Price]))</f>
        <v/>
      </c>
      <c r="L217" s="18" t="str">
        <f>IFERROR(IF('Bulk Order Details'!R227="","",IF(_xlfn.XLOOKUP('Bulk Order Details'!R227,Logos[Display],Logos[Use])="Flat",_xlfn.XLOOKUP('Bulk Order Details'!R227,Logos[Display],Logos[Flat]),ROUND(_xlfn.XLOOKUP('Bulk Order Details'!R227,Logos[Display],Logos[Pct])*$E217,2))),"")</f>
        <v/>
      </c>
      <c r="M217" s="22" t="str">
        <f>IFERROR(IF('Bulk Order Details'!S227="","",IF(_xlfn.XLOOKUP('Bulk Order Details'!S227,Chest[Display],Chest[Use])="Flat",_xlfn.XLOOKUP('Bulk Order Details'!S227,Chest[Display],Chest[Flat]),ROUND(_xlfn.XLOOKUP('Bulk Order Details'!S227,Chest[Display],Chest[Pct])*$E217,2))),"")</f>
        <v/>
      </c>
      <c r="N217" s="22" t="str">
        <f>IFERROR(IF('Bulk Order Details'!T227="","",IF(_xlfn.XLOOKUP('Bulk Order Details'!T227,Chest[Display],Chest[Use])="Flat",_xlfn.XLOOKUP('Bulk Order Details'!T227,Chest[Display],Chest[Flat]),ROUND(_xlfn.XLOOKUP('Bulk Order Details'!T227,Chest[Display],Chest[Pct])*$E217,2))),"")</f>
        <v/>
      </c>
      <c r="O217" s="22" t="str">
        <f>IFERROR(IF('Bulk Order Details'!U227="","",IF(_xlfn.XLOOKUP('Bulk Order Details'!U227,LeftSleeve[Display],LeftSleeve[Use])="Flat",_xlfn.XLOOKUP('Bulk Order Details'!U227,LeftSleeve[Display],LeftSleeve[Flat]),ROUND(_xlfn.XLOOKUP('Bulk Order Details'!U227,LeftSleeve[Display],LeftSleeve[Pct])*$E217,2))),"")</f>
        <v/>
      </c>
      <c r="P217" s="22" t="str">
        <f>IFERROR(IF('Bulk Order Details'!V227="","",IF(_xlfn.XLOOKUP('Bulk Order Details'!V227,RightSleeve[Display],RightSleeve[Use])="Flat",_xlfn.XLOOKUP('Bulk Order Details'!V227,RightSleeve[Display],RightSleeve[Flat]),ROUND(_xlfn.XLOOKUP('Bulk Order Details'!V227,RightSleeve[Display],RightSleeve[Pct])*$E217,2))),"")</f>
        <v/>
      </c>
      <c r="Q217" s="27" t="str">
        <f>IF('Bulk Order Details'!M227="","",SUM(F217:P217))</f>
        <v/>
      </c>
      <c r="R217" s="24" t="str">
        <f t="shared" si="16"/>
        <v/>
      </c>
      <c r="S217" s="23" t="str">
        <f>IFERROR(MIN(IF(Summary!$D$11="Yes",-J217,0),IF(H217&gt;0,-J217,0)),"")</f>
        <v/>
      </c>
      <c r="T217" s="16" t="str">
        <f>IFERROR(IF(Summary!$D$10="Yes",-K217,""),"")</f>
        <v/>
      </c>
      <c r="U217" s="18" t="str">
        <f>IFERROR(IF(Summary!$D$12="Yes",-L217,""),"")</f>
        <v/>
      </c>
      <c r="V217" s="25" t="str">
        <f>IF('Bulk Order Details'!M227="","",SUM(R217:U217))</f>
        <v/>
      </c>
      <c r="W217" s="36" t="str">
        <f>IF('Bulk Order Details'!M227="","",D217+Q217)</f>
        <v/>
      </c>
      <c r="X217" s="37" t="str">
        <f>IF('Bulk Order Details'!M227="","",D217+Q217+V217)</f>
        <v/>
      </c>
      <c r="Y217" s="168" t="str">
        <f t="shared" si="15"/>
        <v/>
      </c>
      <c r="Z217" s="173" t="str">
        <f>IF('Bulk Order Details'!M227="","",MAX(1,'Bulk Order Details'!G227))</f>
        <v/>
      </c>
      <c r="AA217" s="196" t="str">
        <f>IF(Pricing_Details[[#This Row],[Quantity]]="","",Pricing_Details[[#This Row],[Retail Price]]*Pricing_Details[[#This Row],[Quantity]])</f>
        <v/>
      </c>
      <c r="AB217" s="196" t="str">
        <f>IF(Pricing_Details[[#This Row],[Quantity]]="","",Pricing_Details[[#This Row],[Total Discount]]*Pricing_Details[[#This Row],[Quantity]])</f>
        <v/>
      </c>
      <c r="AC217" s="176" t="str">
        <f>IFERROR(ROUND(Pricing_Details[[#This Row],[Actual Price]]*Pricing_Details[[#This Row],[Quantity]],2),"")</f>
        <v/>
      </c>
      <c r="AE217" s="156" t="str">
        <f>IF('Bulk Order Details'!M227="","",VLOOKUP('Bulk Order Details'!K227,Collection[],3)&amp;VLOOKUP('Bulk Order Details'!M227,Collar[],4)&amp;VLOOKUP('Bulk Order Details'!L227,Sleeve[],4))</f>
        <v/>
      </c>
      <c r="AF217" s="156" t="str">
        <f>IF('Bulk Order Details'!M227="","",LOOKUP('Bulk Order Details'!H227,Cut[Display],Cut[Code])&amp;LOOKUP('Bulk Order Details'!I227,#REF!,#REF!)&amp;IF('Bulk Order Details'!J227="","",LOOKUP('Bulk Order Details'!J227,Length[Display],Length[Code])))</f>
        <v/>
      </c>
      <c r="AG217" s="156" t="str">
        <f>IF('Bulk Order Details'!M227="","",IF('Bulk Order Details'!F227="","",'Bulk Order Details'!F227))</f>
        <v/>
      </c>
      <c r="AH217" s="156" t="str">
        <f>IF('Bulk Order Details'!R227="","","-"&amp;LOOKUP('Bulk Order Details'!R227,#REF!,#REF!))</f>
        <v/>
      </c>
      <c r="AI217" s="156" t="str">
        <f>IF('Bulk Order Details'!S227="","","-"&amp;LOOKUP('Bulk Order Details'!S227,#REF!,#REF!))</f>
        <v/>
      </c>
      <c r="AJ217" s="156" t="str">
        <f>IF('Bulk Order Details'!T227="","","-"&amp;LOOKUP('Bulk Order Details'!T227,#REF!,#REF!))</f>
        <v/>
      </c>
      <c r="AK217" s="156" t="str">
        <f>IF('Bulk Order Details'!U227="","","-"&amp;LOOKUP('Bulk Order Details'!U227,#REF!,#REF!))</f>
        <v/>
      </c>
      <c r="AL217" s="156" t="str">
        <f>IF('Bulk Order Details'!V227="","","-"&amp;LOOKUP('Bulk Order Details'!V227,#REF!,#REF!))</f>
        <v/>
      </c>
      <c r="AM217" s="156" t="str">
        <f t="shared" si="17"/>
        <v/>
      </c>
      <c r="AN217" s="156" t="str">
        <f>IF('Bulk Order Details'!N227="","","Na-"&amp;'Bulk Order Details'!N227)</f>
        <v/>
      </c>
      <c r="AO217" s="156" t="str">
        <f>IF('Bulk Order Details'!Q227="","","Fo-"&amp;'Bulk Order Details'!Q227)</f>
        <v/>
      </c>
      <c r="AP217" s="156" t="str">
        <f t="shared" si="18"/>
        <v/>
      </c>
      <c r="AQ217" s="37" t="str">
        <f t="shared" si="19"/>
        <v/>
      </c>
    </row>
    <row r="218" spans="2:43" ht="15" customHeight="1" x14ac:dyDescent="0.2">
      <c r="B218" s="34">
        <f>'Bulk Order Details'!B228</f>
        <v>215</v>
      </c>
      <c r="C218" s="34" t="str">
        <f>IF('Bulk Order Details'!C228="","",'Bulk Order Details'!C228&amp;" "&amp;'Bulk Order Details'!D228)</f>
        <v/>
      </c>
      <c r="D218" s="31" t="str">
        <f>IF('Bulk Order Details'!M228="","",VLOOKUP(1,Price[],3))</f>
        <v/>
      </c>
      <c r="E218" s="29" t="str">
        <f>IF('Bulk Order Details'!M228="","",Summary!$D$9)</f>
        <v/>
      </c>
      <c r="F218" s="16" t="str">
        <f>IF('Bulk Order Details'!I228="","",_xlfn.XLOOKUP('Bulk Order Details'!I228,Size[Display],Size[Price]))</f>
        <v/>
      </c>
      <c r="G218" s="16" t="str">
        <f>IF('Bulk Order Details'!J228="","",_xlfn.XLOOKUP('Bulk Order Details'!J228,Length[Display],Length[Price]))</f>
        <v/>
      </c>
      <c r="H218" s="16" t="str">
        <f>IF('Bulk Order Details'!K228="","",_xlfn.XLOOKUP('Bulk Order Details'!K228,Collection[Display],Collection[Price]))</f>
        <v/>
      </c>
      <c r="I218" s="16" t="str">
        <f>IF('Bulk Order Details'!L228="","",_xlfn.XLOOKUP('Bulk Order Details'!L228,Sleeve[Display],Sleeve[Price]))</f>
        <v/>
      </c>
      <c r="J218" s="16" t="str">
        <f>IF('Bulk Order Details'!M228="","",_xlfn.XLOOKUP('Bulk Order Details'!M228,Collar[Display],Collar[Price]))</f>
        <v/>
      </c>
      <c r="K218" s="16" t="str">
        <f>IF('Bulk Order Details'!N228="","",_xlfn.XLOOKUP("Name",Name[Name],Name[Price]))</f>
        <v/>
      </c>
      <c r="L218" s="18" t="str">
        <f>IFERROR(IF('Bulk Order Details'!R228="","",IF(_xlfn.XLOOKUP('Bulk Order Details'!R228,Logos[Display],Logos[Use])="Flat",_xlfn.XLOOKUP('Bulk Order Details'!R228,Logos[Display],Logos[Flat]),ROUND(_xlfn.XLOOKUP('Bulk Order Details'!R228,Logos[Display],Logos[Pct])*$E218,2))),"")</f>
        <v/>
      </c>
      <c r="M218" s="22" t="str">
        <f>IFERROR(IF('Bulk Order Details'!S228="","",IF(_xlfn.XLOOKUP('Bulk Order Details'!S228,Chest[Display],Chest[Use])="Flat",_xlfn.XLOOKUP('Bulk Order Details'!S228,Chest[Display],Chest[Flat]),ROUND(_xlfn.XLOOKUP('Bulk Order Details'!S228,Chest[Display],Chest[Pct])*$E218,2))),"")</f>
        <v/>
      </c>
      <c r="N218" s="22" t="str">
        <f>IFERROR(IF('Bulk Order Details'!T228="","",IF(_xlfn.XLOOKUP('Bulk Order Details'!T228,Chest[Display],Chest[Use])="Flat",_xlfn.XLOOKUP('Bulk Order Details'!T228,Chest[Display],Chest[Flat]),ROUND(_xlfn.XLOOKUP('Bulk Order Details'!T228,Chest[Display],Chest[Pct])*$E218,2))),"")</f>
        <v/>
      </c>
      <c r="O218" s="22" t="str">
        <f>IFERROR(IF('Bulk Order Details'!U228="","",IF(_xlfn.XLOOKUP('Bulk Order Details'!U228,LeftSleeve[Display],LeftSleeve[Use])="Flat",_xlfn.XLOOKUP('Bulk Order Details'!U228,LeftSleeve[Display],LeftSleeve[Flat]),ROUND(_xlfn.XLOOKUP('Bulk Order Details'!U228,LeftSleeve[Display],LeftSleeve[Pct])*$E218,2))),"")</f>
        <v/>
      </c>
      <c r="P218" s="22" t="str">
        <f>IFERROR(IF('Bulk Order Details'!V228="","",IF(_xlfn.XLOOKUP('Bulk Order Details'!V228,RightSleeve[Display],RightSleeve[Use])="Flat",_xlfn.XLOOKUP('Bulk Order Details'!V228,RightSleeve[Display],RightSleeve[Flat]),ROUND(_xlfn.XLOOKUP('Bulk Order Details'!V228,RightSleeve[Display],RightSleeve[Pct])*$E218,2))),"")</f>
        <v/>
      </c>
      <c r="Q218" s="27" t="str">
        <f>IF('Bulk Order Details'!M228="","",SUM(F218:P218))</f>
        <v/>
      </c>
      <c r="R218" s="24" t="str">
        <f t="shared" si="16"/>
        <v/>
      </c>
      <c r="S218" s="23" t="str">
        <f>IFERROR(MIN(IF(Summary!$D$11="Yes",-J218,0),IF(H218&gt;0,-J218,0)),"")</f>
        <v/>
      </c>
      <c r="T218" s="16" t="str">
        <f>IFERROR(IF(Summary!$D$10="Yes",-K218,""),"")</f>
        <v/>
      </c>
      <c r="U218" s="18" t="str">
        <f>IFERROR(IF(Summary!$D$12="Yes",-L218,""),"")</f>
        <v/>
      </c>
      <c r="V218" s="25" t="str">
        <f>IF('Bulk Order Details'!M228="","",SUM(R218:U218))</f>
        <v/>
      </c>
      <c r="W218" s="36" t="str">
        <f>IF('Bulk Order Details'!M228="","",D218+Q218)</f>
        <v/>
      </c>
      <c r="X218" s="37" t="str">
        <f>IF('Bulk Order Details'!M228="","",D218+Q218+V218)</f>
        <v/>
      </c>
      <c r="Y218" s="168" t="str">
        <f t="shared" si="15"/>
        <v/>
      </c>
      <c r="Z218" s="173" t="str">
        <f>IF('Bulk Order Details'!M228="","",MAX(1,'Bulk Order Details'!G228))</f>
        <v/>
      </c>
      <c r="AA218" s="196" t="str">
        <f>IF(Pricing_Details[[#This Row],[Quantity]]="","",Pricing_Details[[#This Row],[Retail Price]]*Pricing_Details[[#This Row],[Quantity]])</f>
        <v/>
      </c>
      <c r="AB218" s="196" t="str">
        <f>IF(Pricing_Details[[#This Row],[Quantity]]="","",Pricing_Details[[#This Row],[Total Discount]]*Pricing_Details[[#This Row],[Quantity]])</f>
        <v/>
      </c>
      <c r="AC218" s="176" t="str">
        <f>IFERROR(ROUND(Pricing_Details[[#This Row],[Actual Price]]*Pricing_Details[[#This Row],[Quantity]],2),"")</f>
        <v/>
      </c>
      <c r="AE218" s="156" t="str">
        <f>IF('Bulk Order Details'!M228="","",VLOOKUP('Bulk Order Details'!K228,Collection[],3)&amp;VLOOKUP('Bulk Order Details'!M228,Collar[],4)&amp;VLOOKUP('Bulk Order Details'!L228,Sleeve[],4))</f>
        <v/>
      </c>
      <c r="AF218" s="156" t="str">
        <f>IF('Bulk Order Details'!M228="","",LOOKUP('Bulk Order Details'!H228,Cut[Display],Cut[Code])&amp;LOOKUP('Bulk Order Details'!I228,#REF!,#REF!)&amp;IF('Bulk Order Details'!J228="","",LOOKUP('Bulk Order Details'!J228,Length[Display],Length[Code])))</f>
        <v/>
      </c>
      <c r="AG218" s="156" t="str">
        <f>IF('Bulk Order Details'!M228="","",IF('Bulk Order Details'!F228="","",'Bulk Order Details'!F228))</f>
        <v/>
      </c>
      <c r="AH218" s="156" t="str">
        <f>IF('Bulk Order Details'!R228="","","-"&amp;LOOKUP('Bulk Order Details'!R228,#REF!,#REF!))</f>
        <v/>
      </c>
      <c r="AI218" s="156" t="str">
        <f>IF('Bulk Order Details'!S228="","","-"&amp;LOOKUP('Bulk Order Details'!S228,#REF!,#REF!))</f>
        <v/>
      </c>
      <c r="AJ218" s="156" t="str">
        <f>IF('Bulk Order Details'!T228="","","-"&amp;LOOKUP('Bulk Order Details'!T228,#REF!,#REF!))</f>
        <v/>
      </c>
      <c r="AK218" s="156" t="str">
        <f>IF('Bulk Order Details'!U228="","","-"&amp;LOOKUP('Bulk Order Details'!U228,#REF!,#REF!))</f>
        <v/>
      </c>
      <c r="AL218" s="156" t="str">
        <f>IF('Bulk Order Details'!V228="","","-"&amp;LOOKUP('Bulk Order Details'!V228,#REF!,#REF!))</f>
        <v/>
      </c>
      <c r="AM218" s="156" t="str">
        <f t="shared" si="17"/>
        <v/>
      </c>
      <c r="AN218" s="156" t="str">
        <f>IF('Bulk Order Details'!N228="","","Na-"&amp;'Bulk Order Details'!N228)</f>
        <v/>
      </c>
      <c r="AO218" s="156" t="str">
        <f>IF('Bulk Order Details'!Q228="","","Fo-"&amp;'Bulk Order Details'!Q228)</f>
        <v/>
      </c>
      <c r="AP218" s="156" t="str">
        <f t="shared" si="18"/>
        <v/>
      </c>
      <c r="AQ218" s="37" t="str">
        <f t="shared" si="19"/>
        <v/>
      </c>
    </row>
    <row r="219" spans="2:43" ht="15" customHeight="1" x14ac:dyDescent="0.2">
      <c r="B219" s="34">
        <f>'Bulk Order Details'!B229</f>
        <v>216</v>
      </c>
      <c r="C219" s="34" t="str">
        <f>IF('Bulk Order Details'!C229="","",'Bulk Order Details'!C229&amp;" "&amp;'Bulk Order Details'!D229)</f>
        <v/>
      </c>
      <c r="D219" s="31" t="str">
        <f>IF('Bulk Order Details'!M229="","",VLOOKUP(1,Price[],3))</f>
        <v/>
      </c>
      <c r="E219" s="29" t="str">
        <f>IF('Bulk Order Details'!M229="","",Summary!$D$9)</f>
        <v/>
      </c>
      <c r="F219" s="16" t="str">
        <f>IF('Bulk Order Details'!I229="","",_xlfn.XLOOKUP('Bulk Order Details'!I229,Size[Display],Size[Price]))</f>
        <v/>
      </c>
      <c r="G219" s="16" t="str">
        <f>IF('Bulk Order Details'!J229="","",_xlfn.XLOOKUP('Bulk Order Details'!J229,Length[Display],Length[Price]))</f>
        <v/>
      </c>
      <c r="H219" s="16" t="str">
        <f>IF('Bulk Order Details'!K229="","",_xlfn.XLOOKUP('Bulk Order Details'!K229,Collection[Display],Collection[Price]))</f>
        <v/>
      </c>
      <c r="I219" s="16" t="str">
        <f>IF('Bulk Order Details'!L229="","",_xlfn.XLOOKUP('Bulk Order Details'!L229,Sleeve[Display],Sleeve[Price]))</f>
        <v/>
      </c>
      <c r="J219" s="16" t="str">
        <f>IF('Bulk Order Details'!M229="","",_xlfn.XLOOKUP('Bulk Order Details'!M229,Collar[Display],Collar[Price]))</f>
        <v/>
      </c>
      <c r="K219" s="16" t="str">
        <f>IF('Bulk Order Details'!N229="","",_xlfn.XLOOKUP("Name",Name[Name],Name[Price]))</f>
        <v/>
      </c>
      <c r="L219" s="18" t="str">
        <f>IFERROR(IF('Bulk Order Details'!R229="","",IF(_xlfn.XLOOKUP('Bulk Order Details'!R229,Logos[Display],Logos[Use])="Flat",_xlfn.XLOOKUP('Bulk Order Details'!R229,Logos[Display],Logos[Flat]),ROUND(_xlfn.XLOOKUP('Bulk Order Details'!R229,Logos[Display],Logos[Pct])*$E219,2))),"")</f>
        <v/>
      </c>
      <c r="M219" s="22" t="str">
        <f>IFERROR(IF('Bulk Order Details'!S229="","",IF(_xlfn.XLOOKUP('Bulk Order Details'!S229,Chest[Display],Chest[Use])="Flat",_xlfn.XLOOKUP('Bulk Order Details'!S229,Chest[Display],Chest[Flat]),ROUND(_xlfn.XLOOKUP('Bulk Order Details'!S229,Chest[Display],Chest[Pct])*$E219,2))),"")</f>
        <v/>
      </c>
      <c r="N219" s="22" t="str">
        <f>IFERROR(IF('Bulk Order Details'!T229="","",IF(_xlfn.XLOOKUP('Bulk Order Details'!T229,Chest[Display],Chest[Use])="Flat",_xlfn.XLOOKUP('Bulk Order Details'!T229,Chest[Display],Chest[Flat]),ROUND(_xlfn.XLOOKUP('Bulk Order Details'!T229,Chest[Display],Chest[Pct])*$E219,2))),"")</f>
        <v/>
      </c>
      <c r="O219" s="22" t="str">
        <f>IFERROR(IF('Bulk Order Details'!U229="","",IF(_xlfn.XLOOKUP('Bulk Order Details'!U229,LeftSleeve[Display],LeftSleeve[Use])="Flat",_xlfn.XLOOKUP('Bulk Order Details'!U229,LeftSleeve[Display],LeftSleeve[Flat]),ROUND(_xlfn.XLOOKUP('Bulk Order Details'!U229,LeftSleeve[Display],LeftSleeve[Pct])*$E219,2))),"")</f>
        <v/>
      </c>
      <c r="P219" s="22" t="str">
        <f>IFERROR(IF('Bulk Order Details'!V229="","",IF(_xlfn.XLOOKUP('Bulk Order Details'!V229,RightSleeve[Display],RightSleeve[Use])="Flat",_xlfn.XLOOKUP('Bulk Order Details'!V229,RightSleeve[Display],RightSleeve[Flat]),ROUND(_xlfn.XLOOKUP('Bulk Order Details'!V229,RightSleeve[Display],RightSleeve[Pct])*$E219,2))),"")</f>
        <v/>
      </c>
      <c r="Q219" s="27" t="str">
        <f>IF('Bulk Order Details'!M229="","",SUM(F219:P219))</f>
        <v/>
      </c>
      <c r="R219" s="24" t="str">
        <f t="shared" si="16"/>
        <v/>
      </c>
      <c r="S219" s="23" t="str">
        <f>IFERROR(MIN(IF(Summary!$D$11="Yes",-J219,0),IF(H219&gt;0,-J219,0)),"")</f>
        <v/>
      </c>
      <c r="T219" s="16" t="str">
        <f>IFERROR(IF(Summary!$D$10="Yes",-K219,""),"")</f>
        <v/>
      </c>
      <c r="U219" s="18" t="str">
        <f>IFERROR(IF(Summary!$D$12="Yes",-L219,""),"")</f>
        <v/>
      </c>
      <c r="V219" s="25" t="str">
        <f>IF('Bulk Order Details'!M229="","",SUM(R219:U219))</f>
        <v/>
      </c>
      <c r="W219" s="36" t="str">
        <f>IF('Bulk Order Details'!M229="","",D219+Q219)</f>
        <v/>
      </c>
      <c r="X219" s="37" t="str">
        <f>IF('Bulk Order Details'!M229="","",D219+Q219+V219)</f>
        <v/>
      </c>
      <c r="Y219" s="168" t="str">
        <f t="shared" si="15"/>
        <v/>
      </c>
      <c r="Z219" s="173" t="str">
        <f>IF('Bulk Order Details'!M229="","",MAX(1,'Bulk Order Details'!G229))</f>
        <v/>
      </c>
      <c r="AA219" s="196" t="str">
        <f>IF(Pricing_Details[[#This Row],[Quantity]]="","",Pricing_Details[[#This Row],[Retail Price]]*Pricing_Details[[#This Row],[Quantity]])</f>
        <v/>
      </c>
      <c r="AB219" s="196" t="str">
        <f>IF(Pricing_Details[[#This Row],[Quantity]]="","",Pricing_Details[[#This Row],[Total Discount]]*Pricing_Details[[#This Row],[Quantity]])</f>
        <v/>
      </c>
      <c r="AC219" s="176" t="str">
        <f>IFERROR(ROUND(Pricing_Details[[#This Row],[Actual Price]]*Pricing_Details[[#This Row],[Quantity]],2),"")</f>
        <v/>
      </c>
      <c r="AE219" s="156" t="str">
        <f>IF('Bulk Order Details'!M229="","",VLOOKUP('Bulk Order Details'!K229,Collection[],3)&amp;VLOOKUP('Bulk Order Details'!M229,Collar[],4)&amp;VLOOKUP('Bulk Order Details'!L229,Sleeve[],4))</f>
        <v/>
      </c>
      <c r="AF219" s="156" t="str">
        <f>IF('Bulk Order Details'!M229="","",LOOKUP('Bulk Order Details'!H229,Cut[Display],Cut[Code])&amp;LOOKUP('Bulk Order Details'!I229,#REF!,#REF!)&amp;IF('Bulk Order Details'!J229="","",LOOKUP('Bulk Order Details'!J229,Length[Display],Length[Code])))</f>
        <v/>
      </c>
      <c r="AG219" s="156" t="str">
        <f>IF('Bulk Order Details'!M229="","",IF('Bulk Order Details'!F229="","",'Bulk Order Details'!F229))</f>
        <v/>
      </c>
      <c r="AH219" s="156" t="str">
        <f>IF('Bulk Order Details'!R229="","","-"&amp;LOOKUP('Bulk Order Details'!R229,#REF!,#REF!))</f>
        <v/>
      </c>
      <c r="AI219" s="156" t="str">
        <f>IF('Bulk Order Details'!S229="","","-"&amp;LOOKUP('Bulk Order Details'!S229,#REF!,#REF!))</f>
        <v/>
      </c>
      <c r="AJ219" s="156" t="str">
        <f>IF('Bulk Order Details'!T229="","","-"&amp;LOOKUP('Bulk Order Details'!T229,#REF!,#REF!))</f>
        <v/>
      </c>
      <c r="AK219" s="156" t="str">
        <f>IF('Bulk Order Details'!U229="","","-"&amp;LOOKUP('Bulk Order Details'!U229,#REF!,#REF!))</f>
        <v/>
      </c>
      <c r="AL219" s="156" t="str">
        <f>IF('Bulk Order Details'!V229="","","-"&amp;LOOKUP('Bulk Order Details'!V229,#REF!,#REF!))</f>
        <v/>
      </c>
      <c r="AM219" s="156" t="str">
        <f t="shared" si="17"/>
        <v/>
      </c>
      <c r="AN219" s="156" t="str">
        <f>IF('Bulk Order Details'!N229="","","Na-"&amp;'Bulk Order Details'!N229)</f>
        <v/>
      </c>
      <c r="AO219" s="156" t="str">
        <f>IF('Bulk Order Details'!Q229="","","Fo-"&amp;'Bulk Order Details'!Q229)</f>
        <v/>
      </c>
      <c r="AP219" s="156" t="str">
        <f t="shared" si="18"/>
        <v/>
      </c>
      <c r="AQ219" s="37" t="str">
        <f t="shared" si="19"/>
        <v/>
      </c>
    </row>
    <row r="220" spans="2:43" ht="15" customHeight="1" x14ac:dyDescent="0.2">
      <c r="B220" s="34">
        <f>'Bulk Order Details'!B230</f>
        <v>217</v>
      </c>
      <c r="C220" s="34" t="str">
        <f>IF('Bulk Order Details'!C230="","",'Bulk Order Details'!C230&amp;" "&amp;'Bulk Order Details'!D230)</f>
        <v/>
      </c>
      <c r="D220" s="31" t="str">
        <f>IF('Bulk Order Details'!M230="","",VLOOKUP(1,Price[],3))</f>
        <v/>
      </c>
      <c r="E220" s="29" t="str">
        <f>IF('Bulk Order Details'!M230="","",Summary!$D$9)</f>
        <v/>
      </c>
      <c r="F220" s="16" t="str">
        <f>IF('Bulk Order Details'!I230="","",_xlfn.XLOOKUP('Bulk Order Details'!I230,Size[Display],Size[Price]))</f>
        <v/>
      </c>
      <c r="G220" s="16" t="str">
        <f>IF('Bulk Order Details'!J230="","",_xlfn.XLOOKUP('Bulk Order Details'!J230,Length[Display],Length[Price]))</f>
        <v/>
      </c>
      <c r="H220" s="16" t="str">
        <f>IF('Bulk Order Details'!K230="","",_xlfn.XLOOKUP('Bulk Order Details'!K230,Collection[Display],Collection[Price]))</f>
        <v/>
      </c>
      <c r="I220" s="16" t="str">
        <f>IF('Bulk Order Details'!L230="","",_xlfn.XLOOKUP('Bulk Order Details'!L230,Sleeve[Display],Sleeve[Price]))</f>
        <v/>
      </c>
      <c r="J220" s="16" t="str">
        <f>IF('Bulk Order Details'!M230="","",_xlfn.XLOOKUP('Bulk Order Details'!M230,Collar[Display],Collar[Price]))</f>
        <v/>
      </c>
      <c r="K220" s="16" t="str">
        <f>IF('Bulk Order Details'!N230="","",_xlfn.XLOOKUP("Name",Name[Name],Name[Price]))</f>
        <v/>
      </c>
      <c r="L220" s="18" t="str">
        <f>IFERROR(IF('Bulk Order Details'!R230="","",IF(_xlfn.XLOOKUP('Bulk Order Details'!R230,Logos[Display],Logos[Use])="Flat",_xlfn.XLOOKUP('Bulk Order Details'!R230,Logos[Display],Logos[Flat]),ROUND(_xlfn.XLOOKUP('Bulk Order Details'!R230,Logos[Display],Logos[Pct])*$E220,2))),"")</f>
        <v/>
      </c>
      <c r="M220" s="22" t="str">
        <f>IFERROR(IF('Bulk Order Details'!S230="","",IF(_xlfn.XLOOKUP('Bulk Order Details'!S230,Chest[Display],Chest[Use])="Flat",_xlfn.XLOOKUP('Bulk Order Details'!S230,Chest[Display],Chest[Flat]),ROUND(_xlfn.XLOOKUP('Bulk Order Details'!S230,Chest[Display],Chest[Pct])*$E220,2))),"")</f>
        <v/>
      </c>
      <c r="N220" s="22" t="str">
        <f>IFERROR(IF('Bulk Order Details'!T230="","",IF(_xlfn.XLOOKUP('Bulk Order Details'!T230,Chest[Display],Chest[Use])="Flat",_xlfn.XLOOKUP('Bulk Order Details'!T230,Chest[Display],Chest[Flat]),ROUND(_xlfn.XLOOKUP('Bulk Order Details'!T230,Chest[Display],Chest[Pct])*$E220,2))),"")</f>
        <v/>
      </c>
      <c r="O220" s="22" t="str">
        <f>IFERROR(IF('Bulk Order Details'!U230="","",IF(_xlfn.XLOOKUP('Bulk Order Details'!U230,LeftSleeve[Display],LeftSleeve[Use])="Flat",_xlfn.XLOOKUP('Bulk Order Details'!U230,LeftSleeve[Display],LeftSleeve[Flat]),ROUND(_xlfn.XLOOKUP('Bulk Order Details'!U230,LeftSleeve[Display],LeftSleeve[Pct])*$E220,2))),"")</f>
        <v/>
      </c>
      <c r="P220" s="22" t="str">
        <f>IFERROR(IF('Bulk Order Details'!V230="","",IF(_xlfn.XLOOKUP('Bulk Order Details'!V230,RightSleeve[Display],RightSleeve[Use])="Flat",_xlfn.XLOOKUP('Bulk Order Details'!V230,RightSleeve[Display],RightSleeve[Flat]),ROUND(_xlfn.XLOOKUP('Bulk Order Details'!V230,RightSleeve[Display],RightSleeve[Pct])*$E220,2))),"")</f>
        <v/>
      </c>
      <c r="Q220" s="27" t="str">
        <f>IF('Bulk Order Details'!M230="","",SUM(F220:P220))</f>
        <v/>
      </c>
      <c r="R220" s="24" t="str">
        <f t="shared" si="16"/>
        <v/>
      </c>
      <c r="S220" s="23" t="str">
        <f>IFERROR(MIN(IF(Summary!$D$11="Yes",-J220,0),IF(H220&gt;0,-J220,0)),"")</f>
        <v/>
      </c>
      <c r="T220" s="16" t="str">
        <f>IFERROR(IF(Summary!$D$10="Yes",-K220,""),"")</f>
        <v/>
      </c>
      <c r="U220" s="18" t="str">
        <f>IFERROR(IF(Summary!$D$12="Yes",-L220,""),"")</f>
        <v/>
      </c>
      <c r="V220" s="25" t="str">
        <f>IF('Bulk Order Details'!M230="","",SUM(R220:U220))</f>
        <v/>
      </c>
      <c r="W220" s="36" t="str">
        <f>IF('Bulk Order Details'!M230="","",D220+Q220)</f>
        <v/>
      </c>
      <c r="X220" s="37" t="str">
        <f>IF('Bulk Order Details'!M230="","",D220+Q220+V220)</f>
        <v/>
      </c>
      <c r="Y220" s="168" t="str">
        <f t="shared" si="15"/>
        <v/>
      </c>
      <c r="Z220" s="173" t="str">
        <f>IF('Bulk Order Details'!M230="","",MAX(1,'Bulk Order Details'!G230))</f>
        <v/>
      </c>
      <c r="AA220" s="196" t="str">
        <f>IF(Pricing_Details[[#This Row],[Quantity]]="","",Pricing_Details[[#This Row],[Retail Price]]*Pricing_Details[[#This Row],[Quantity]])</f>
        <v/>
      </c>
      <c r="AB220" s="196" t="str">
        <f>IF(Pricing_Details[[#This Row],[Quantity]]="","",Pricing_Details[[#This Row],[Total Discount]]*Pricing_Details[[#This Row],[Quantity]])</f>
        <v/>
      </c>
      <c r="AC220" s="176" t="str">
        <f>IFERROR(ROUND(Pricing_Details[[#This Row],[Actual Price]]*Pricing_Details[[#This Row],[Quantity]],2),"")</f>
        <v/>
      </c>
      <c r="AE220" s="156" t="str">
        <f>IF('Bulk Order Details'!M230="","",VLOOKUP('Bulk Order Details'!K230,Collection[],3)&amp;VLOOKUP('Bulk Order Details'!M230,Collar[],4)&amp;VLOOKUP('Bulk Order Details'!L230,Sleeve[],4))</f>
        <v/>
      </c>
      <c r="AF220" s="156" t="str">
        <f>IF('Bulk Order Details'!M230="","",LOOKUP('Bulk Order Details'!H230,Cut[Display],Cut[Code])&amp;LOOKUP('Bulk Order Details'!I230,#REF!,#REF!)&amp;IF('Bulk Order Details'!J230="","",LOOKUP('Bulk Order Details'!J230,Length[Display],Length[Code])))</f>
        <v/>
      </c>
      <c r="AG220" s="156" t="str">
        <f>IF('Bulk Order Details'!M230="","",IF('Bulk Order Details'!F230="","",'Bulk Order Details'!F230))</f>
        <v/>
      </c>
      <c r="AH220" s="156" t="str">
        <f>IF('Bulk Order Details'!R230="","","-"&amp;LOOKUP('Bulk Order Details'!R230,#REF!,#REF!))</f>
        <v/>
      </c>
      <c r="AI220" s="156" t="str">
        <f>IF('Bulk Order Details'!S230="","","-"&amp;LOOKUP('Bulk Order Details'!S230,#REF!,#REF!))</f>
        <v/>
      </c>
      <c r="AJ220" s="156" t="str">
        <f>IF('Bulk Order Details'!T230="","","-"&amp;LOOKUP('Bulk Order Details'!T230,#REF!,#REF!))</f>
        <v/>
      </c>
      <c r="AK220" s="156" t="str">
        <f>IF('Bulk Order Details'!U230="","","-"&amp;LOOKUP('Bulk Order Details'!U230,#REF!,#REF!))</f>
        <v/>
      </c>
      <c r="AL220" s="156" t="str">
        <f>IF('Bulk Order Details'!V230="","","-"&amp;LOOKUP('Bulk Order Details'!V230,#REF!,#REF!))</f>
        <v/>
      </c>
      <c r="AM220" s="156" t="str">
        <f t="shared" si="17"/>
        <v/>
      </c>
      <c r="AN220" s="156" t="str">
        <f>IF('Bulk Order Details'!N230="","","Na-"&amp;'Bulk Order Details'!N230)</f>
        <v/>
      </c>
      <c r="AO220" s="156" t="str">
        <f>IF('Bulk Order Details'!Q230="","","Fo-"&amp;'Bulk Order Details'!Q230)</f>
        <v/>
      </c>
      <c r="AP220" s="156" t="str">
        <f t="shared" si="18"/>
        <v/>
      </c>
      <c r="AQ220" s="37" t="str">
        <f t="shared" si="19"/>
        <v/>
      </c>
    </row>
    <row r="221" spans="2:43" ht="15" customHeight="1" x14ac:dyDescent="0.2">
      <c r="B221" s="34">
        <f>'Bulk Order Details'!B231</f>
        <v>218</v>
      </c>
      <c r="C221" s="34" t="str">
        <f>IF('Bulk Order Details'!C231="","",'Bulk Order Details'!C231&amp;" "&amp;'Bulk Order Details'!D231)</f>
        <v/>
      </c>
      <c r="D221" s="31" t="str">
        <f>IF('Bulk Order Details'!M231="","",VLOOKUP(1,Price[],3))</f>
        <v/>
      </c>
      <c r="E221" s="29" t="str">
        <f>IF('Bulk Order Details'!M231="","",Summary!$D$9)</f>
        <v/>
      </c>
      <c r="F221" s="16" t="str">
        <f>IF('Bulk Order Details'!I231="","",_xlfn.XLOOKUP('Bulk Order Details'!I231,Size[Display],Size[Price]))</f>
        <v/>
      </c>
      <c r="G221" s="16" t="str">
        <f>IF('Bulk Order Details'!J231="","",_xlfn.XLOOKUP('Bulk Order Details'!J231,Length[Display],Length[Price]))</f>
        <v/>
      </c>
      <c r="H221" s="16" t="str">
        <f>IF('Bulk Order Details'!K231="","",_xlfn.XLOOKUP('Bulk Order Details'!K231,Collection[Display],Collection[Price]))</f>
        <v/>
      </c>
      <c r="I221" s="16" t="str">
        <f>IF('Bulk Order Details'!L231="","",_xlfn.XLOOKUP('Bulk Order Details'!L231,Sleeve[Display],Sleeve[Price]))</f>
        <v/>
      </c>
      <c r="J221" s="16" t="str">
        <f>IF('Bulk Order Details'!M231="","",_xlfn.XLOOKUP('Bulk Order Details'!M231,Collar[Display],Collar[Price]))</f>
        <v/>
      </c>
      <c r="K221" s="16" t="str">
        <f>IF('Bulk Order Details'!N231="","",_xlfn.XLOOKUP("Name",Name[Name],Name[Price]))</f>
        <v/>
      </c>
      <c r="L221" s="18" t="str">
        <f>IFERROR(IF('Bulk Order Details'!R231="","",IF(_xlfn.XLOOKUP('Bulk Order Details'!R231,Logos[Display],Logos[Use])="Flat",_xlfn.XLOOKUP('Bulk Order Details'!R231,Logos[Display],Logos[Flat]),ROUND(_xlfn.XLOOKUP('Bulk Order Details'!R231,Logos[Display],Logos[Pct])*$E221,2))),"")</f>
        <v/>
      </c>
      <c r="M221" s="22" t="str">
        <f>IFERROR(IF('Bulk Order Details'!S231="","",IF(_xlfn.XLOOKUP('Bulk Order Details'!S231,Chest[Display],Chest[Use])="Flat",_xlfn.XLOOKUP('Bulk Order Details'!S231,Chest[Display],Chest[Flat]),ROUND(_xlfn.XLOOKUP('Bulk Order Details'!S231,Chest[Display],Chest[Pct])*$E221,2))),"")</f>
        <v/>
      </c>
      <c r="N221" s="22" t="str">
        <f>IFERROR(IF('Bulk Order Details'!T231="","",IF(_xlfn.XLOOKUP('Bulk Order Details'!T231,Chest[Display],Chest[Use])="Flat",_xlfn.XLOOKUP('Bulk Order Details'!T231,Chest[Display],Chest[Flat]),ROUND(_xlfn.XLOOKUP('Bulk Order Details'!T231,Chest[Display],Chest[Pct])*$E221,2))),"")</f>
        <v/>
      </c>
      <c r="O221" s="22" t="str">
        <f>IFERROR(IF('Bulk Order Details'!U231="","",IF(_xlfn.XLOOKUP('Bulk Order Details'!U231,LeftSleeve[Display],LeftSleeve[Use])="Flat",_xlfn.XLOOKUP('Bulk Order Details'!U231,LeftSleeve[Display],LeftSleeve[Flat]),ROUND(_xlfn.XLOOKUP('Bulk Order Details'!U231,LeftSleeve[Display],LeftSleeve[Pct])*$E221,2))),"")</f>
        <v/>
      </c>
      <c r="P221" s="22" t="str">
        <f>IFERROR(IF('Bulk Order Details'!V231="","",IF(_xlfn.XLOOKUP('Bulk Order Details'!V231,RightSleeve[Display],RightSleeve[Use])="Flat",_xlfn.XLOOKUP('Bulk Order Details'!V231,RightSleeve[Display],RightSleeve[Flat]),ROUND(_xlfn.XLOOKUP('Bulk Order Details'!V231,RightSleeve[Display],RightSleeve[Pct])*$E221,2))),"")</f>
        <v/>
      </c>
      <c r="Q221" s="27" t="str">
        <f>IF('Bulk Order Details'!M231="","",SUM(F221:P221))</f>
        <v/>
      </c>
      <c r="R221" s="24" t="str">
        <f t="shared" si="16"/>
        <v/>
      </c>
      <c r="S221" s="23" t="str">
        <f>IFERROR(MIN(IF(Summary!$D$11="Yes",-J221,0),IF(H221&gt;0,-J221,0)),"")</f>
        <v/>
      </c>
      <c r="T221" s="16" t="str">
        <f>IFERROR(IF(Summary!$D$10="Yes",-K221,""),"")</f>
        <v/>
      </c>
      <c r="U221" s="18" t="str">
        <f>IFERROR(IF(Summary!$D$12="Yes",-L221,""),"")</f>
        <v/>
      </c>
      <c r="V221" s="25" t="str">
        <f>IF('Bulk Order Details'!M231="","",SUM(R221:U221))</f>
        <v/>
      </c>
      <c r="W221" s="36" t="str">
        <f>IF('Bulk Order Details'!M231="","",D221+Q221)</f>
        <v/>
      </c>
      <c r="X221" s="37" t="str">
        <f>IF('Bulk Order Details'!M231="","",D221+Q221+V221)</f>
        <v/>
      </c>
      <c r="Y221" s="168" t="str">
        <f t="shared" si="15"/>
        <v/>
      </c>
      <c r="Z221" s="173" t="str">
        <f>IF('Bulk Order Details'!M231="","",MAX(1,'Bulk Order Details'!G231))</f>
        <v/>
      </c>
      <c r="AA221" s="196" t="str">
        <f>IF(Pricing_Details[[#This Row],[Quantity]]="","",Pricing_Details[[#This Row],[Retail Price]]*Pricing_Details[[#This Row],[Quantity]])</f>
        <v/>
      </c>
      <c r="AB221" s="196" t="str">
        <f>IF(Pricing_Details[[#This Row],[Quantity]]="","",Pricing_Details[[#This Row],[Total Discount]]*Pricing_Details[[#This Row],[Quantity]])</f>
        <v/>
      </c>
      <c r="AC221" s="176" t="str">
        <f>IFERROR(ROUND(Pricing_Details[[#This Row],[Actual Price]]*Pricing_Details[[#This Row],[Quantity]],2),"")</f>
        <v/>
      </c>
      <c r="AE221" s="156" t="str">
        <f>IF('Bulk Order Details'!M231="","",VLOOKUP('Bulk Order Details'!K231,Collection[],3)&amp;VLOOKUP('Bulk Order Details'!M231,Collar[],4)&amp;VLOOKUP('Bulk Order Details'!L231,Sleeve[],4))</f>
        <v/>
      </c>
      <c r="AF221" s="156" t="str">
        <f>IF('Bulk Order Details'!M231="","",LOOKUP('Bulk Order Details'!H231,Cut[Display],Cut[Code])&amp;LOOKUP('Bulk Order Details'!I231,#REF!,#REF!)&amp;IF('Bulk Order Details'!J231="","",LOOKUP('Bulk Order Details'!J231,Length[Display],Length[Code])))</f>
        <v/>
      </c>
      <c r="AG221" s="156" t="str">
        <f>IF('Bulk Order Details'!M231="","",IF('Bulk Order Details'!F231="","",'Bulk Order Details'!F231))</f>
        <v/>
      </c>
      <c r="AH221" s="156" t="str">
        <f>IF('Bulk Order Details'!R231="","","-"&amp;LOOKUP('Bulk Order Details'!R231,#REF!,#REF!))</f>
        <v/>
      </c>
      <c r="AI221" s="156" t="str">
        <f>IF('Bulk Order Details'!S231="","","-"&amp;LOOKUP('Bulk Order Details'!S231,#REF!,#REF!))</f>
        <v/>
      </c>
      <c r="AJ221" s="156" t="str">
        <f>IF('Bulk Order Details'!T231="","","-"&amp;LOOKUP('Bulk Order Details'!T231,#REF!,#REF!))</f>
        <v/>
      </c>
      <c r="AK221" s="156" t="str">
        <f>IF('Bulk Order Details'!U231="","","-"&amp;LOOKUP('Bulk Order Details'!U231,#REF!,#REF!))</f>
        <v/>
      </c>
      <c r="AL221" s="156" t="str">
        <f>IF('Bulk Order Details'!V231="","","-"&amp;LOOKUP('Bulk Order Details'!V231,#REF!,#REF!))</f>
        <v/>
      </c>
      <c r="AM221" s="156" t="str">
        <f t="shared" si="17"/>
        <v/>
      </c>
      <c r="AN221" s="156" t="str">
        <f>IF('Bulk Order Details'!N231="","","Na-"&amp;'Bulk Order Details'!N231)</f>
        <v/>
      </c>
      <c r="AO221" s="156" t="str">
        <f>IF('Bulk Order Details'!Q231="","","Fo-"&amp;'Bulk Order Details'!Q231)</f>
        <v/>
      </c>
      <c r="AP221" s="156" t="str">
        <f t="shared" si="18"/>
        <v/>
      </c>
      <c r="AQ221" s="37" t="str">
        <f t="shared" si="19"/>
        <v/>
      </c>
    </row>
    <row r="222" spans="2:43" ht="15" customHeight="1" x14ac:dyDescent="0.2">
      <c r="B222" s="34">
        <f>'Bulk Order Details'!B232</f>
        <v>219</v>
      </c>
      <c r="C222" s="34" t="str">
        <f>IF('Bulk Order Details'!C232="","",'Bulk Order Details'!C232&amp;" "&amp;'Bulk Order Details'!D232)</f>
        <v/>
      </c>
      <c r="D222" s="31" t="str">
        <f>IF('Bulk Order Details'!M232="","",VLOOKUP(1,Price[],3))</f>
        <v/>
      </c>
      <c r="E222" s="29" t="str">
        <f>IF('Bulk Order Details'!M232="","",Summary!$D$9)</f>
        <v/>
      </c>
      <c r="F222" s="16" t="str">
        <f>IF('Bulk Order Details'!I232="","",_xlfn.XLOOKUP('Bulk Order Details'!I232,Size[Display],Size[Price]))</f>
        <v/>
      </c>
      <c r="G222" s="16" t="str">
        <f>IF('Bulk Order Details'!J232="","",_xlfn.XLOOKUP('Bulk Order Details'!J232,Length[Display],Length[Price]))</f>
        <v/>
      </c>
      <c r="H222" s="16" t="str">
        <f>IF('Bulk Order Details'!K232="","",_xlfn.XLOOKUP('Bulk Order Details'!K232,Collection[Display],Collection[Price]))</f>
        <v/>
      </c>
      <c r="I222" s="16" t="str">
        <f>IF('Bulk Order Details'!L232="","",_xlfn.XLOOKUP('Bulk Order Details'!L232,Sleeve[Display],Sleeve[Price]))</f>
        <v/>
      </c>
      <c r="J222" s="16" t="str">
        <f>IF('Bulk Order Details'!M232="","",_xlfn.XLOOKUP('Bulk Order Details'!M232,Collar[Display],Collar[Price]))</f>
        <v/>
      </c>
      <c r="K222" s="16" t="str">
        <f>IF('Bulk Order Details'!N232="","",_xlfn.XLOOKUP("Name",Name[Name],Name[Price]))</f>
        <v/>
      </c>
      <c r="L222" s="18" t="str">
        <f>IFERROR(IF('Bulk Order Details'!R232="","",IF(_xlfn.XLOOKUP('Bulk Order Details'!R232,Logos[Display],Logos[Use])="Flat",_xlfn.XLOOKUP('Bulk Order Details'!R232,Logos[Display],Logos[Flat]),ROUND(_xlfn.XLOOKUP('Bulk Order Details'!R232,Logos[Display],Logos[Pct])*$E222,2))),"")</f>
        <v/>
      </c>
      <c r="M222" s="22" t="str">
        <f>IFERROR(IF('Bulk Order Details'!S232="","",IF(_xlfn.XLOOKUP('Bulk Order Details'!S232,Chest[Display],Chest[Use])="Flat",_xlfn.XLOOKUP('Bulk Order Details'!S232,Chest[Display],Chest[Flat]),ROUND(_xlfn.XLOOKUP('Bulk Order Details'!S232,Chest[Display],Chest[Pct])*$E222,2))),"")</f>
        <v/>
      </c>
      <c r="N222" s="22" t="str">
        <f>IFERROR(IF('Bulk Order Details'!T232="","",IF(_xlfn.XLOOKUP('Bulk Order Details'!T232,Chest[Display],Chest[Use])="Flat",_xlfn.XLOOKUP('Bulk Order Details'!T232,Chest[Display],Chest[Flat]),ROUND(_xlfn.XLOOKUP('Bulk Order Details'!T232,Chest[Display],Chest[Pct])*$E222,2))),"")</f>
        <v/>
      </c>
      <c r="O222" s="22" t="str">
        <f>IFERROR(IF('Bulk Order Details'!U232="","",IF(_xlfn.XLOOKUP('Bulk Order Details'!U232,LeftSleeve[Display],LeftSleeve[Use])="Flat",_xlfn.XLOOKUP('Bulk Order Details'!U232,LeftSleeve[Display],LeftSleeve[Flat]),ROUND(_xlfn.XLOOKUP('Bulk Order Details'!U232,LeftSleeve[Display],LeftSleeve[Pct])*$E222,2))),"")</f>
        <v/>
      </c>
      <c r="P222" s="22" t="str">
        <f>IFERROR(IF('Bulk Order Details'!V232="","",IF(_xlfn.XLOOKUP('Bulk Order Details'!V232,RightSleeve[Display],RightSleeve[Use])="Flat",_xlfn.XLOOKUP('Bulk Order Details'!V232,RightSleeve[Display],RightSleeve[Flat]),ROUND(_xlfn.XLOOKUP('Bulk Order Details'!V232,RightSleeve[Display],RightSleeve[Pct])*$E222,2))),"")</f>
        <v/>
      </c>
      <c r="Q222" s="27" t="str">
        <f>IF('Bulk Order Details'!M232="","",SUM(F222:P222))</f>
        <v/>
      </c>
      <c r="R222" s="24" t="str">
        <f t="shared" si="16"/>
        <v/>
      </c>
      <c r="S222" s="23" t="str">
        <f>IFERROR(MIN(IF(Summary!$D$11="Yes",-J222,0),IF(H222&gt;0,-J222,0)),"")</f>
        <v/>
      </c>
      <c r="T222" s="16" t="str">
        <f>IFERROR(IF(Summary!$D$10="Yes",-K222,""),"")</f>
        <v/>
      </c>
      <c r="U222" s="18" t="str">
        <f>IFERROR(IF(Summary!$D$12="Yes",-L222,""),"")</f>
        <v/>
      </c>
      <c r="V222" s="25" t="str">
        <f>IF('Bulk Order Details'!M232="","",SUM(R222:U222))</f>
        <v/>
      </c>
      <c r="W222" s="36" t="str">
        <f>IF('Bulk Order Details'!M232="","",D222+Q222)</f>
        <v/>
      </c>
      <c r="X222" s="37" t="str">
        <f>IF('Bulk Order Details'!M232="","",D222+Q222+V222)</f>
        <v/>
      </c>
      <c r="Y222" s="168" t="str">
        <f t="shared" si="15"/>
        <v/>
      </c>
      <c r="Z222" s="173" t="str">
        <f>IF('Bulk Order Details'!M232="","",MAX(1,'Bulk Order Details'!G232))</f>
        <v/>
      </c>
      <c r="AA222" s="196" t="str">
        <f>IF(Pricing_Details[[#This Row],[Quantity]]="","",Pricing_Details[[#This Row],[Retail Price]]*Pricing_Details[[#This Row],[Quantity]])</f>
        <v/>
      </c>
      <c r="AB222" s="196" t="str">
        <f>IF(Pricing_Details[[#This Row],[Quantity]]="","",Pricing_Details[[#This Row],[Total Discount]]*Pricing_Details[[#This Row],[Quantity]])</f>
        <v/>
      </c>
      <c r="AC222" s="176" t="str">
        <f>IFERROR(ROUND(Pricing_Details[[#This Row],[Actual Price]]*Pricing_Details[[#This Row],[Quantity]],2),"")</f>
        <v/>
      </c>
      <c r="AE222" s="156" t="str">
        <f>IF('Bulk Order Details'!M232="","",VLOOKUP('Bulk Order Details'!K232,Collection[],3)&amp;VLOOKUP('Bulk Order Details'!M232,Collar[],4)&amp;VLOOKUP('Bulk Order Details'!L232,Sleeve[],4))</f>
        <v/>
      </c>
      <c r="AF222" s="156" t="str">
        <f>IF('Bulk Order Details'!M232="","",LOOKUP('Bulk Order Details'!H232,Cut[Display],Cut[Code])&amp;LOOKUP('Bulk Order Details'!I232,#REF!,#REF!)&amp;IF('Bulk Order Details'!J232="","",LOOKUP('Bulk Order Details'!J232,Length[Display],Length[Code])))</f>
        <v/>
      </c>
      <c r="AG222" s="156" t="str">
        <f>IF('Bulk Order Details'!M232="","",IF('Bulk Order Details'!F232="","",'Bulk Order Details'!F232))</f>
        <v/>
      </c>
      <c r="AH222" s="156" t="str">
        <f>IF('Bulk Order Details'!R232="","","-"&amp;LOOKUP('Bulk Order Details'!R232,#REF!,#REF!))</f>
        <v/>
      </c>
      <c r="AI222" s="156" t="str">
        <f>IF('Bulk Order Details'!S232="","","-"&amp;LOOKUP('Bulk Order Details'!S232,#REF!,#REF!))</f>
        <v/>
      </c>
      <c r="AJ222" s="156" t="str">
        <f>IF('Bulk Order Details'!T232="","","-"&amp;LOOKUP('Bulk Order Details'!T232,#REF!,#REF!))</f>
        <v/>
      </c>
      <c r="AK222" s="156" t="str">
        <f>IF('Bulk Order Details'!U232="","","-"&amp;LOOKUP('Bulk Order Details'!U232,#REF!,#REF!))</f>
        <v/>
      </c>
      <c r="AL222" s="156" t="str">
        <f>IF('Bulk Order Details'!V232="","","-"&amp;LOOKUP('Bulk Order Details'!V232,#REF!,#REF!))</f>
        <v/>
      </c>
      <c r="AM222" s="156" t="str">
        <f t="shared" si="17"/>
        <v/>
      </c>
      <c r="AN222" s="156" t="str">
        <f>IF('Bulk Order Details'!N232="","","Na-"&amp;'Bulk Order Details'!N232)</f>
        <v/>
      </c>
      <c r="AO222" s="156" t="str">
        <f>IF('Bulk Order Details'!Q232="","","Fo-"&amp;'Bulk Order Details'!Q232)</f>
        <v/>
      </c>
      <c r="AP222" s="156" t="str">
        <f t="shared" si="18"/>
        <v/>
      </c>
      <c r="AQ222" s="37" t="str">
        <f t="shared" si="19"/>
        <v/>
      </c>
    </row>
    <row r="223" spans="2:43" ht="15" customHeight="1" x14ac:dyDescent="0.2">
      <c r="B223" s="34">
        <f>'Bulk Order Details'!B233</f>
        <v>220</v>
      </c>
      <c r="C223" s="34" t="str">
        <f>IF('Bulk Order Details'!C233="","",'Bulk Order Details'!C233&amp;" "&amp;'Bulk Order Details'!D233)</f>
        <v/>
      </c>
      <c r="D223" s="31" t="str">
        <f>IF('Bulk Order Details'!M233="","",VLOOKUP(1,Price[],3))</f>
        <v/>
      </c>
      <c r="E223" s="29" t="str">
        <f>IF('Bulk Order Details'!M233="","",Summary!$D$9)</f>
        <v/>
      </c>
      <c r="F223" s="16" t="str">
        <f>IF('Bulk Order Details'!I233="","",_xlfn.XLOOKUP('Bulk Order Details'!I233,Size[Display],Size[Price]))</f>
        <v/>
      </c>
      <c r="G223" s="16" t="str">
        <f>IF('Bulk Order Details'!J233="","",_xlfn.XLOOKUP('Bulk Order Details'!J233,Length[Display],Length[Price]))</f>
        <v/>
      </c>
      <c r="H223" s="16" t="str">
        <f>IF('Bulk Order Details'!K233="","",_xlfn.XLOOKUP('Bulk Order Details'!K233,Collection[Display],Collection[Price]))</f>
        <v/>
      </c>
      <c r="I223" s="16" t="str">
        <f>IF('Bulk Order Details'!L233="","",_xlfn.XLOOKUP('Bulk Order Details'!L233,Sleeve[Display],Sleeve[Price]))</f>
        <v/>
      </c>
      <c r="J223" s="16" t="str">
        <f>IF('Bulk Order Details'!M233="","",_xlfn.XLOOKUP('Bulk Order Details'!M233,Collar[Display],Collar[Price]))</f>
        <v/>
      </c>
      <c r="K223" s="16" t="str">
        <f>IF('Bulk Order Details'!N233="","",_xlfn.XLOOKUP("Name",Name[Name],Name[Price]))</f>
        <v/>
      </c>
      <c r="L223" s="18" t="str">
        <f>IFERROR(IF('Bulk Order Details'!R233="","",IF(_xlfn.XLOOKUP('Bulk Order Details'!R233,Logos[Display],Logos[Use])="Flat",_xlfn.XLOOKUP('Bulk Order Details'!R233,Logos[Display],Logos[Flat]),ROUND(_xlfn.XLOOKUP('Bulk Order Details'!R233,Logos[Display],Logos[Pct])*$E223,2))),"")</f>
        <v/>
      </c>
      <c r="M223" s="22" t="str">
        <f>IFERROR(IF('Bulk Order Details'!S233="","",IF(_xlfn.XLOOKUP('Bulk Order Details'!S233,Chest[Display],Chest[Use])="Flat",_xlfn.XLOOKUP('Bulk Order Details'!S233,Chest[Display],Chest[Flat]),ROUND(_xlfn.XLOOKUP('Bulk Order Details'!S233,Chest[Display],Chest[Pct])*$E223,2))),"")</f>
        <v/>
      </c>
      <c r="N223" s="22" t="str">
        <f>IFERROR(IF('Bulk Order Details'!T233="","",IF(_xlfn.XLOOKUP('Bulk Order Details'!T233,Chest[Display],Chest[Use])="Flat",_xlfn.XLOOKUP('Bulk Order Details'!T233,Chest[Display],Chest[Flat]),ROUND(_xlfn.XLOOKUP('Bulk Order Details'!T233,Chest[Display],Chest[Pct])*$E223,2))),"")</f>
        <v/>
      </c>
      <c r="O223" s="22" t="str">
        <f>IFERROR(IF('Bulk Order Details'!U233="","",IF(_xlfn.XLOOKUP('Bulk Order Details'!U233,LeftSleeve[Display],LeftSleeve[Use])="Flat",_xlfn.XLOOKUP('Bulk Order Details'!U233,LeftSleeve[Display],LeftSleeve[Flat]),ROUND(_xlfn.XLOOKUP('Bulk Order Details'!U233,LeftSleeve[Display],LeftSleeve[Pct])*$E223,2))),"")</f>
        <v/>
      </c>
      <c r="P223" s="22" t="str">
        <f>IFERROR(IF('Bulk Order Details'!V233="","",IF(_xlfn.XLOOKUP('Bulk Order Details'!V233,RightSleeve[Display],RightSleeve[Use])="Flat",_xlfn.XLOOKUP('Bulk Order Details'!V233,RightSleeve[Display],RightSleeve[Flat]),ROUND(_xlfn.XLOOKUP('Bulk Order Details'!V233,RightSleeve[Display],RightSleeve[Pct])*$E223,2))),"")</f>
        <v/>
      </c>
      <c r="Q223" s="27" t="str">
        <f>IF('Bulk Order Details'!M233="","",SUM(F223:P223))</f>
        <v/>
      </c>
      <c r="R223" s="24" t="str">
        <f t="shared" si="16"/>
        <v/>
      </c>
      <c r="S223" s="23" t="str">
        <f>IFERROR(MIN(IF(Summary!$D$11="Yes",-J223,0),IF(H223&gt;0,-J223,0)),"")</f>
        <v/>
      </c>
      <c r="T223" s="16" t="str">
        <f>IFERROR(IF(Summary!$D$10="Yes",-K223,""),"")</f>
        <v/>
      </c>
      <c r="U223" s="18" t="str">
        <f>IFERROR(IF(Summary!$D$12="Yes",-L223,""),"")</f>
        <v/>
      </c>
      <c r="V223" s="25" t="str">
        <f>IF('Bulk Order Details'!M233="","",SUM(R223:U223))</f>
        <v/>
      </c>
      <c r="W223" s="36" t="str">
        <f>IF('Bulk Order Details'!M233="","",D223+Q223)</f>
        <v/>
      </c>
      <c r="X223" s="37" t="str">
        <f>IF('Bulk Order Details'!M233="","",D223+Q223+V223)</f>
        <v/>
      </c>
      <c r="Y223" s="168" t="str">
        <f t="shared" si="15"/>
        <v/>
      </c>
      <c r="Z223" s="173" t="str">
        <f>IF('Bulk Order Details'!M233="","",MAX(1,'Bulk Order Details'!G233))</f>
        <v/>
      </c>
      <c r="AA223" s="196" t="str">
        <f>IF(Pricing_Details[[#This Row],[Quantity]]="","",Pricing_Details[[#This Row],[Retail Price]]*Pricing_Details[[#This Row],[Quantity]])</f>
        <v/>
      </c>
      <c r="AB223" s="196" t="str">
        <f>IF(Pricing_Details[[#This Row],[Quantity]]="","",Pricing_Details[[#This Row],[Total Discount]]*Pricing_Details[[#This Row],[Quantity]])</f>
        <v/>
      </c>
      <c r="AC223" s="176" t="str">
        <f>IFERROR(ROUND(Pricing_Details[[#This Row],[Actual Price]]*Pricing_Details[[#This Row],[Quantity]],2),"")</f>
        <v/>
      </c>
      <c r="AE223" s="156" t="str">
        <f>IF('Bulk Order Details'!M233="","",VLOOKUP('Bulk Order Details'!K233,Collection[],3)&amp;VLOOKUP('Bulk Order Details'!M233,Collar[],4)&amp;VLOOKUP('Bulk Order Details'!L233,Sleeve[],4))</f>
        <v/>
      </c>
      <c r="AF223" s="156" t="str">
        <f>IF('Bulk Order Details'!M233="","",LOOKUP('Bulk Order Details'!H233,Cut[Display],Cut[Code])&amp;LOOKUP('Bulk Order Details'!I233,#REF!,#REF!)&amp;IF('Bulk Order Details'!J233="","",LOOKUP('Bulk Order Details'!J233,Length[Display],Length[Code])))</f>
        <v/>
      </c>
      <c r="AG223" s="156" t="str">
        <f>IF('Bulk Order Details'!M233="","",IF('Bulk Order Details'!F233="","",'Bulk Order Details'!F233))</f>
        <v/>
      </c>
      <c r="AH223" s="156" t="str">
        <f>IF('Bulk Order Details'!R233="","","-"&amp;LOOKUP('Bulk Order Details'!R233,#REF!,#REF!))</f>
        <v/>
      </c>
      <c r="AI223" s="156" t="str">
        <f>IF('Bulk Order Details'!S233="","","-"&amp;LOOKUP('Bulk Order Details'!S233,#REF!,#REF!))</f>
        <v/>
      </c>
      <c r="AJ223" s="156" t="str">
        <f>IF('Bulk Order Details'!T233="","","-"&amp;LOOKUP('Bulk Order Details'!T233,#REF!,#REF!))</f>
        <v/>
      </c>
      <c r="AK223" s="156" t="str">
        <f>IF('Bulk Order Details'!U233="","","-"&amp;LOOKUP('Bulk Order Details'!U233,#REF!,#REF!))</f>
        <v/>
      </c>
      <c r="AL223" s="156" t="str">
        <f>IF('Bulk Order Details'!V233="","","-"&amp;LOOKUP('Bulk Order Details'!V233,#REF!,#REF!))</f>
        <v/>
      </c>
      <c r="AM223" s="156" t="str">
        <f t="shared" si="17"/>
        <v/>
      </c>
      <c r="AN223" s="156" t="str">
        <f>IF('Bulk Order Details'!N233="","","Na-"&amp;'Bulk Order Details'!N233)</f>
        <v/>
      </c>
      <c r="AO223" s="156" t="str">
        <f>IF('Bulk Order Details'!Q233="","","Fo-"&amp;'Bulk Order Details'!Q233)</f>
        <v/>
      </c>
      <c r="AP223" s="156" t="str">
        <f t="shared" si="18"/>
        <v/>
      </c>
      <c r="AQ223" s="37" t="str">
        <f t="shared" si="19"/>
        <v/>
      </c>
    </row>
    <row r="224" spans="2:43" ht="15" customHeight="1" x14ac:dyDescent="0.2">
      <c r="B224" s="34">
        <f>'Bulk Order Details'!B234</f>
        <v>221</v>
      </c>
      <c r="C224" s="34" t="str">
        <f>IF('Bulk Order Details'!C234="","",'Bulk Order Details'!C234&amp;" "&amp;'Bulk Order Details'!D234)</f>
        <v/>
      </c>
      <c r="D224" s="31" t="str">
        <f>IF('Bulk Order Details'!M234="","",VLOOKUP(1,Price[],3))</f>
        <v/>
      </c>
      <c r="E224" s="29" t="str">
        <f>IF('Bulk Order Details'!M234="","",Summary!$D$9)</f>
        <v/>
      </c>
      <c r="F224" s="16" t="str">
        <f>IF('Bulk Order Details'!I234="","",_xlfn.XLOOKUP('Bulk Order Details'!I234,Size[Display],Size[Price]))</f>
        <v/>
      </c>
      <c r="G224" s="16" t="str">
        <f>IF('Bulk Order Details'!J234="","",_xlfn.XLOOKUP('Bulk Order Details'!J234,Length[Display],Length[Price]))</f>
        <v/>
      </c>
      <c r="H224" s="16" t="str">
        <f>IF('Bulk Order Details'!K234="","",_xlfn.XLOOKUP('Bulk Order Details'!K234,Collection[Display],Collection[Price]))</f>
        <v/>
      </c>
      <c r="I224" s="16" t="str">
        <f>IF('Bulk Order Details'!L234="","",_xlfn.XLOOKUP('Bulk Order Details'!L234,Sleeve[Display],Sleeve[Price]))</f>
        <v/>
      </c>
      <c r="J224" s="16" t="str">
        <f>IF('Bulk Order Details'!M234="","",_xlfn.XLOOKUP('Bulk Order Details'!M234,Collar[Display],Collar[Price]))</f>
        <v/>
      </c>
      <c r="K224" s="16" t="str">
        <f>IF('Bulk Order Details'!N234="","",_xlfn.XLOOKUP("Name",Name[Name],Name[Price]))</f>
        <v/>
      </c>
      <c r="L224" s="18" t="str">
        <f>IFERROR(IF('Bulk Order Details'!R234="","",IF(_xlfn.XLOOKUP('Bulk Order Details'!R234,Logos[Display],Logos[Use])="Flat",_xlfn.XLOOKUP('Bulk Order Details'!R234,Logos[Display],Logos[Flat]),ROUND(_xlfn.XLOOKUP('Bulk Order Details'!R234,Logos[Display],Logos[Pct])*$E224,2))),"")</f>
        <v/>
      </c>
      <c r="M224" s="22" t="str">
        <f>IFERROR(IF('Bulk Order Details'!S234="","",IF(_xlfn.XLOOKUP('Bulk Order Details'!S234,Chest[Display],Chest[Use])="Flat",_xlfn.XLOOKUP('Bulk Order Details'!S234,Chest[Display],Chest[Flat]),ROUND(_xlfn.XLOOKUP('Bulk Order Details'!S234,Chest[Display],Chest[Pct])*$E224,2))),"")</f>
        <v/>
      </c>
      <c r="N224" s="22" t="str">
        <f>IFERROR(IF('Bulk Order Details'!T234="","",IF(_xlfn.XLOOKUP('Bulk Order Details'!T234,Chest[Display],Chest[Use])="Flat",_xlfn.XLOOKUP('Bulk Order Details'!T234,Chest[Display],Chest[Flat]),ROUND(_xlfn.XLOOKUP('Bulk Order Details'!T234,Chest[Display],Chest[Pct])*$E224,2))),"")</f>
        <v/>
      </c>
      <c r="O224" s="22" t="str">
        <f>IFERROR(IF('Bulk Order Details'!U234="","",IF(_xlfn.XLOOKUP('Bulk Order Details'!U234,LeftSleeve[Display],LeftSleeve[Use])="Flat",_xlfn.XLOOKUP('Bulk Order Details'!U234,LeftSleeve[Display],LeftSleeve[Flat]),ROUND(_xlfn.XLOOKUP('Bulk Order Details'!U234,LeftSleeve[Display],LeftSleeve[Pct])*$E224,2))),"")</f>
        <v/>
      </c>
      <c r="P224" s="22" t="str">
        <f>IFERROR(IF('Bulk Order Details'!V234="","",IF(_xlfn.XLOOKUP('Bulk Order Details'!V234,RightSleeve[Display],RightSleeve[Use])="Flat",_xlfn.XLOOKUP('Bulk Order Details'!V234,RightSleeve[Display],RightSleeve[Flat]),ROUND(_xlfn.XLOOKUP('Bulk Order Details'!V234,RightSleeve[Display],RightSleeve[Pct])*$E224,2))),"")</f>
        <v/>
      </c>
      <c r="Q224" s="27" t="str">
        <f>IF('Bulk Order Details'!M234="","",SUM(F224:P224))</f>
        <v/>
      </c>
      <c r="R224" s="24" t="str">
        <f t="shared" si="16"/>
        <v/>
      </c>
      <c r="S224" s="23" t="str">
        <f>IFERROR(MIN(IF(Summary!$D$11="Yes",-J224,0),IF(H224&gt;0,-J224,0)),"")</f>
        <v/>
      </c>
      <c r="T224" s="16" t="str">
        <f>IFERROR(IF(Summary!$D$10="Yes",-K224,""),"")</f>
        <v/>
      </c>
      <c r="U224" s="18" t="str">
        <f>IFERROR(IF(Summary!$D$12="Yes",-L224,""),"")</f>
        <v/>
      </c>
      <c r="V224" s="25" t="str">
        <f>IF('Bulk Order Details'!M234="","",SUM(R224:U224))</f>
        <v/>
      </c>
      <c r="W224" s="36" t="str">
        <f>IF('Bulk Order Details'!M234="","",D224+Q224)</f>
        <v/>
      </c>
      <c r="X224" s="37" t="str">
        <f>IF('Bulk Order Details'!M234="","",D224+Q224+V224)</f>
        <v/>
      </c>
      <c r="Y224" s="168" t="str">
        <f t="shared" si="15"/>
        <v/>
      </c>
      <c r="Z224" s="173" t="str">
        <f>IF('Bulk Order Details'!M234="","",MAX(1,'Bulk Order Details'!G234))</f>
        <v/>
      </c>
      <c r="AA224" s="196" t="str">
        <f>IF(Pricing_Details[[#This Row],[Quantity]]="","",Pricing_Details[[#This Row],[Retail Price]]*Pricing_Details[[#This Row],[Quantity]])</f>
        <v/>
      </c>
      <c r="AB224" s="196" t="str">
        <f>IF(Pricing_Details[[#This Row],[Quantity]]="","",Pricing_Details[[#This Row],[Total Discount]]*Pricing_Details[[#This Row],[Quantity]])</f>
        <v/>
      </c>
      <c r="AC224" s="176" t="str">
        <f>IFERROR(ROUND(Pricing_Details[[#This Row],[Actual Price]]*Pricing_Details[[#This Row],[Quantity]],2),"")</f>
        <v/>
      </c>
      <c r="AE224" s="156" t="str">
        <f>IF('Bulk Order Details'!M234="","",VLOOKUP('Bulk Order Details'!K234,Collection[],3)&amp;VLOOKUP('Bulk Order Details'!M234,Collar[],4)&amp;VLOOKUP('Bulk Order Details'!L234,Sleeve[],4))</f>
        <v/>
      </c>
      <c r="AF224" s="156" t="str">
        <f>IF('Bulk Order Details'!M234="","",LOOKUP('Bulk Order Details'!H234,Cut[Display],Cut[Code])&amp;LOOKUP('Bulk Order Details'!I234,#REF!,#REF!)&amp;IF('Bulk Order Details'!J234="","",LOOKUP('Bulk Order Details'!J234,Length[Display],Length[Code])))</f>
        <v/>
      </c>
      <c r="AG224" s="156" t="str">
        <f>IF('Bulk Order Details'!M234="","",IF('Bulk Order Details'!F234="","",'Bulk Order Details'!F234))</f>
        <v/>
      </c>
      <c r="AH224" s="156" t="str">
        <f>IF('Bulk Order Details'!R234="","","-"&amp;LOOKUP('Bulk Order Details'!R234,#REF!,#REF!))</f>
        <v/>
      </c>
      <c r="AI224" s="156" t="str">
        <f>IF('Bulk Order Details'!S234="","","-"&amp;LOOKUP('Bulk Order Details'!S234,#REF!,#REF!))</f>
        <v/>
      </c>
      <c r="AJ224" s="156" t="str">
        <f>IF('Bulk Order Details'!T234="","","-"&amp;LOOKUP('Bulk Order Details'!T234,#REF!,#REF!))</f>
        <v/>
      </c>
      <c r="AK224" s="156" t="str">
        <f>IF('Bulk Order Details'!U234="","","-"&amp;LOOKUP('Bulk Order Details'!U234,#REF!,#REF!))</f>
        <v/>
      </c>
      <c r="AL224" s="156" t="str">
        <f>IF('Bulk Order Details'!V234="","","-"&amp;LOOKUP('Bulk Order Details'!V234,#REF!,#REF!))</f>
        <v/>
      </c>
      <c r="AM224" s="156" t="str">
        <f t="shared" si="17"/>
        <v/>
      </c>
      <c r="AN224" s="156" t="str">
        <f>IF('Bulk Order Details'!N234="","","Na-"&amp;'Bulk Order Details'!N234)</f>
        <v/>
      </c>
      <c r="AO224" s="156" t="str">
        <f>IF('Bulk Order Details'!Q234="","","Fo-"&amp;'Bulk Order Details'!Q234)</f>
        <v/>
      </c>
      <c r="AP224" s="156" t="str">
        <f t="shared" si="18"/>
        <v/>
      </c>
      <c r="AQ224" s="37" t="str">
        <f t="shared" si="19"/>
        <v/>
      </c>
    </row>
    <row r="225" spans="2:43" ht="15" customHeight="1" x14ac:dyDescent="0.2">
      <c r="B225" s="34">
        <f>'Bulk Order Details'!B235</f>
        <v>222</v>
      </c>
      <c r="C225" s="34" t="str">
        <f>IF('Bulk Order Details'!C235="","",'Bulk Order Details'!C235&amp;" "&amp;'Bulk Order Details'!D235)</f>
        <v/>
      </c>
      <c r="D225" s="31" t="str">
        <f>IF('Bulk Order Details'!M235="","",VLOOKUP(1,Price[],3))</f>
        <v/>
      </c>
      <c r="E225" s="29" t="str">
        <f>IF('Bulk Order Details'!M235="","",Summary!$D$9)</f>
        <v/>
      </c>
      <c r="F225" s="16" t="str">
        <f>IF('Bulk Order Details'!I235="","",_xlfn.XLOOKUP('Bulk Order Details'!I235,Size[Display],Size[Price]))</f>
        <v/>
      </c>
      <c r="G225" s="16" t="str">
        <f>IF('Bulk Order Details'!J235="","",_xlfn.XLOOKUP('Bulk Order Details'!J235,Length[Display],Length[Price]))</f>
        <v/>
      </c>
      <c r="H225" s="16" t="str">
        <f>IF('Bulk Order Details'!K235="","",_xlfn.XLOOKUP('Bulk Order Details'!K235,Collection[Display],Collection[Price]))</f>
        <v/>
      </c>
      <c r="I225" s="16" t="str">
        <f>IF('Bulk Order Details'!L235="","",_xlfn.XLOOKUP('Bulk Order Details'!L235,Sleeve[Display],Sleeve[Price]))</f>
        <v/>
      </c>
      <c r="J225" s="16" t="str">
        <f>IF('Bulk Order Details'!M235="","",_xlfn.XLOOKUP('Bulk Order Details'!M235,Collar[Display],Collar[Price]))</f>
        <v/>
      </c>
      <c r="K225" s="16" t="str">
        <f>IF('Bulk Order Details'!N235="","",_xlfn.XLOOKUP("Name",Name[Name],Name[Price]))</f>
        <v/>
      </c>
      <c r="L225" s="18" t="str">
        <f>IFERROR(IF('Bulk Order Details'!R235="","",IF(_xlfn.XLOOKUP('Bulk Order Details'!R235,Logos[Display],Logos[Use])="Flat",_xlfn.XLOOKUP('Bulk Order Details'!R235,Logos[Display],Logos[Flat]),ROUND(_xlfn.XLOOKUP('Bulk Order Details'!R235,Logos[Display],Logos[Pct])*$E225,2))),"")</f>
        <v/>
      </c>
      <c r="M225" s="22" t="str">
        <f>IFERROR(IF('Bulk Order Details'!S235="","",IF(_xlfn.XLOOKUP('Bulk Order Details'!S235,Chest[Display],Chest[Use])="Flat",_xlfn.XLOOKUP('Bulk Order Details'!S235,Chest[Display],Chest[Flat]),ROUND(_xlfn.XLOOKUP('Bulk Order Details'!S235,Chest[Display],Chest[Pct])*$E225,2))),"")</f>
        <v/>
      </c>
      <c r="N225" s="22" t="str">
        <f>IFERROR(IF('Bulk Order Details'!T235="","",IF(_xlfn.XLOOKUP('Bulk Order Details'!T235,Chest[Display],Chest[Use])="Flat",_xlfn.XLOOKUP('Bulk Order Details'!T235,Chest[Display],Chest[Flat]),ROUND(_xlfn.XLOOKUP('Bulk Order Details'!T235,Chest[Display],Chest[Pct])*$E225,2))),"")</f>
        <v/>
      </c>
      <c r="O225" s="22" t="str">
        <f>IFERROR(IF('Bulk Order Details'!U235="","",IF(_xlfn.XLOOKUP('Bulk Order Details'!U235,LeftSleeve[Display],LeftSleeve[Use])="Flat",_xlfn.XLOOKUP('Bulk Order Details'!U235,LeftSleeve[Display],LeftSleeve[Flat]),ROUND(_xlfn.XLOOKUP('Bulk Order Details'!U235,LeftSleeve[Display],LeftSleeve[Pct])*$E225,2))),"")</f>
        <v/>
      </c>
      <c r="P225" s="22" t="str">
        <f>IFERROR(IF('Bulk Order Details'!V235="","",IF(_xlfn.XLOOKUP('Bulk Order Details'!V235,RightSleeve[Display],RightSleeve[Use])="Flat",_xlfn.XLOOKUP('Bulk Order Details'!V235,RightSleeve[Display],RightSleeve[Flat]),ROUND(_xlfn.XLOOKUP('Bulk Order Details'!V235,RightSleeve[Display],RightSleeve[Pct])*$E225,2))),"")</f>
        <v/>
      </c>
      <c r="Q225" s="27" t="str">
        <f>IF('Bulk Order Details'!M235="","",SUM(F225:P225))</f>
        <v/>
      </c>
      <c r="R225" s="24" t="str">
        <f t="shared" si="16"/>
        <v/>
      </c>
      <c r="S225" s="23" t="str">
        <f>IFERROR(MIN(IF(Summary!$D$11="Yes",-J225,0),IF(H225&gt;0,-J225,0)),"")</f>
        <v/>
      </c>
      <c r="T225" s="16" t="str">
        <f>IFERROR(IF(Summary!$D$10="Yes",-K225,""),"")</f>
        <v/>
      </c>
      <c r="U225" s="18" t="str">
        <f>IFERROR(IF(Summary!$D$12="Yes",-L225,""),"")</f>
        <v/>
      </c>
      <c r="V225" s="25" t="str">
        <f>IF('Bulk Order Details'!M235="","",SUM(R225:U225))</f>
        <v/>
      </c>
      <c r="W225" s="36" t="str">
        <f>IF('Bulk Order Details'!M235="","",D225+Q225)</f>
        <v/>
      </c>
      <c r="X225" s="37" t="str">
        <f>IF('Bulk Order Details'!M235="","",D225+Q225+V225)</f>
        <v/>
      </c>
      <c r="Y225" s="168" t="str">
        <f t="shared" si="15"/>
        <v/>
      </c>
      <c r="Z225" s="173" t="str">
        <f>IF('Bulk Order Details'!M235="","",MAX(1,'Bulk Order Details'!G235))</f>
        <v/>
      </c>
      <c r="AA225" s="196" t="str">
        <f>IF(Pricing_Details[[#This Row],[Quantity]]="","",Pricing_Details[[#This Row],[Retail Price]]*Pricing_Details[[#This Row],[Quantity]])</f>
        <v/>
      </c>
      <c r="AB225" s="196" t="str">
        <f>IF(Pricing_Details[[#This Row],[Quantity]]="","",Pricing_Details[[#This Row],[Total Discount]]*Pricing_Details[[#This Row],[Quantity]])</f>
        <v/>
      </c>
      <c r="AC225" s="176" t="str">
        <f>IFERROR(ROUND(Pricing_Details[[#This Row],[Actual Price]]*Pricing_Details[[#This Row],[Quantity]],2),"")</f>
        <v/>
      </c>
      <c r="AE225" s="156" t="str">
        <f>IF('Bulk Order Details'!M235="","",VLOOKUP('Bulk Order Details'!K235,Collection[],3)&amp;VLOOKUP('Bulk Order Details'!M235,Collar[],4)&amp;VLOOKUP('Bulk Order Details'!L235,Sleeve[],4))</f>
        <v/>
      </c>
      <c r="AF225" s="156" t="str">
        <f>IF('Bulk Order Details'!M235="","",LOOKUP('Bulk Order Details'!H235,Cut[Display],Cut[Code])&amp;LOOKUP('Bulk Order Details'!I235,#REF!,#REF!)&amp;IF('Bulk Order Details'!J235="","",LOOKUP('Bulk Order Details'!J235,Length[Display],Length[Code])))</f>
        <v/>
      </c>
      <c r="AG225" s="156" t="str">
        <f>IF('Bulk Order Details'!M235="","",IF('Bulk Order Details'!F235="","",'Bulk Order Details'!F235))</f>
        <v/>
      </c>
      <c r="AH225" s="156" t="str">
        <f>IF('Bulk Order Details'!R235="","","-"&amp;LOOKUP('Bulk Order Details'!R235,#REF!,#REF!))</f>
        <v/>
      </c>
      <c r="AI225" s="156" t="str">
        <f>IF('Bulk Order Details'!S235="","","-"&amp;LOOKUP('Bulk Order Details'!S235,#REF!,#REF!))</f>
        <v/>
      </c>
      <c r="AJ225" s="156" t="str">
        <f>IF('Bulk Order Details'!T235="","","-"&amp;LOOKUP('Bulk Order Details'!T235,#REF!,#REF!))</f>
        <v/>
      </c>
      <c r="AK225" s="156" t="str">
        <f>IF('Bulk Order Details'!U235="","","-"&amp;LOOKUP('Bulk Order Details'!U235,#REF!,#REF!))</f>
        <v/>
      </c>
      <c r="AL225" s="156" t="str">
        <f>IF('Bulk Order Details'!V235="","","-"&amp;LOOKUP('Bulk Order Details'!V235,#REF!,#REF!))</f>
        <v/>
      </c>
      <c r="AM225" s="156" t="str">
        <f t="shared" si="17"/>
        <v/>
      </c>
      <c r="AN225" s="156" t="str">
        <f>IF('Bulk Order Details'!N235="","","Na-"&amp;'Bulk Order Details'!N235)</f>
        <v/>
      </c>
      <c r="AO225" s="156" t="str">
        <f>IF('Bulk Order Details'!Q235="","","Fo-"&amp;'Bulk Order Details'!Q235)</f>
        <v/>
      </c>
      <c r="AP225" s="156" t="str">
        <f t="shared" si="18"/>
        <v/>
      </c>
      <c r="AQ225" s="37" t="str">
        <f t="shared" si="19"/>
        <v/>
      </c>
    </row>
    <row r="226" spans="2:43" ht="15" customHeight="1" x14ac:dyDescent="0.2">
      <c r="B226" s="34">
        <f>'Bulk Order Details'!B236</f>
        <v>223</v>
      </c>
      <c r="C226" s="34" t="str">
        <f>IF('Bulk Order Details'!C236="","",'Bulk Order Details'!C236&amp;" "&amp;'Bulk Order Details'!D236)</f>
        <v/>
      </c>
      <c r="D226" s="31" t="str">
        <f>IF('Bulk Order Details'!M236="","",VLOOKUP(1,Price[],3))</f>
        <v/>
      </c>
      <c r="E226" s="29" t="str">
        <f>IF('Bulk Order Details'!M236="","",Summary!$D$9)</f>
        <v/>
      </c>
      <c r="F226" s="16" t="str">
        <f>IF('Bulk Order Details'!I236="","",_xlfn.XLOOKUP('Bulk Order Details'!I236,Size[Display],Size[Price]))</f>
        <v/>
      </c>
      <c r="G226" s="16" t="str">
        <f>IF('Bulk Order Details'!J236="","",_xlfn.XLOOKUP('Bulk Order Details'!J236,Length[Display],Length[Price]))</f>
        <v/>
      </c>
      <c r="H226" s="16" t="str">
        <f>IF('Bulk Order Details'!K236="","",_xlfn.XLOOKUP('Bulk Order Details'!K236,Collection[Display],Collection[Price]))</f>
        <v/>
      </c>
      <c r="I226" s="16" t="str">
        <f>IF('Bulk Order Details'!L236="","",_xlfn.XLOOKUP('Bulk Order Details'!L236,Sleeve[Display],Sleeve[Price]))</f>
        <v/>
      </c>
      <c r="J226" s="16" t="str">
        <f>IF('Bulk Order Details'!M236="","",_xlfn.XLOOKUP('Bulk Order Details'!M236,Collar[Display],Collar[Price]))</f>
        <v/>
      </c>
      <c r="K226" s="16" t="str">
        <f>IF('Bulk Order Details'!N236="","",_xlfn.XLOOKUP("Name",Name[Name],Name[Price]))</f>
        <v/>
      </c>
      <c r="L226" s="18" t="str">
        <f>IFERROR(IF('Bulk Order Details'!R236="","",IF(_xlfn.XLOOKUP('Bulk Order Details'!R236,Logos[Display],Logos[Use])="Flat",_xlfn.XLOOKUP('Bulk Order Details'!R236,Logos[Display],Logos[Flat]),ROUND(_xlfn.XLOOKUP('Bulk Order Details'!R236,Logos[Display],Logos[Pct])*$E226,2))),"")</f>
        <v/>
      </c>
      <c r="M226" s="22" t="str">
        <f>IFERROR(IF('Bulk Order Details'!S236="","",IF(_xlfn.XLOOKUP('Bulk Order Details'!S236,Chest[Display],Chest[Use])="Flat",_xlfn.XLOOKUP('Bulk Order Details'!S236,Chest[Display],Chest[Flat]),ROUND(_xlfn.XLOOKUP('Bulk Order Details'!S236,Chest[Display],Chest[Pct])*$E226,2))),"")</f>
        <v/>
      </c>
      <c r="N226" s="22" t="str">
        <f>IFERROR(IF('Bulk Order Details'!T236="","",IF(_xlfn.XLOOKUP('Bulk Order Details'!T236,Chest[Display],Chest[Use])="Flat",_xlfn.XLOOKUP('Bulk Order Details'!T236,Chest[Display],Chest[Flat]),ROUND(_xlfn.XLOOKUP('Bulk Order Details'!T236,Chest[Display],Chest[Pct])*$E226,2))),"")</f>
        <v/>
      </c>
      <c r="O226" s="22" t="str">
        <f>IFERROR(IF('Bulk Order Details'!U236="","",IF(_xlfn.XLOOKUP('Bulk Order Details'!U236,LeftSleeve[Display],LeftSleeve[Use])="Flat",_xlfn.XLOOKUP('Bulk Order Details'!U236,LeftSleeve[Display],LeftSleeve[Flat]),ROUND(_xlfn.XLOOKUP('Bulk Order Details'!U236,LeftSleeve[Display],LeftSleeve[Pct])*$E226,2))),"")</f>
        <v/>
      </c>
      <c r="P226" s="22" t="str">
        <f>IFERROR(IF('Bulk Order Details'!V236="","",IF(_xlfn.XLOOKUP('Bulk Order Details'!V236,RightSleeve[Display],RightSleeve[Use])="Flat",_xlfn.XLOOKUP('Bulk Order Details'!V236,RightSleeve[Display],RightSleeve[Flat]),ROUND(_xlfn.XLOOKUP('Bulk Order Details'!V236,RightSleeve[Display],RightSleeve[Pct])*$E226,2))),"")</f>
        <v/>
      </c>
      <c r="Q226" s="27" t="str">
        <f>IF('Bulk Order Details'!M236="","",SUM(F226:P226))</f>
        <v/>
      </c>
      <c r="R226" s="24" t="str">
        <f t="shared" si="16"/>
        <v/>
      </c>
      <c r="S226" s="23" t="str">
        <f>IFERROR(MIN(IF(Summary!$D$11="Yes",-J226,0),IF(H226&gt;0,-J226,0)),"")</f>
        <v/>
      </c>
      <c r="T226" s="16" t="str">
        <f>IFERROR(IF(Summary!$D$10="Yes",-K226,""),"")</f>
        <v/>
      </c>
      <c r="U226" s="18" t="str">
        <f>IFERROR(IF(Summary!$D$12="Yes",-L226,""),"")</f>
        <v/>
      </c>
      <c r="V226" s="25" t="str">
        <f>IF('Bulk Order Details'!M236="","",SUM(R226:U226))</f>
        <v/>
      </c>
      <c r="W226" s="36" t="str">
        <f>IF('Bulk Order Details'!M236="","",D226+Q226)</f>
        <v/>
      </c>
      <c r="X226" s="37" t="str">
        <f>IF('Bulk Order Details'!M236="","",D226+Q226+V226)</f>
        <v/>
      </c>
      <c r="Y226" s="168" t="str">
        <f t="shared" si="15"/>
        <v/>
      </c>
      <c r="Z226" s="173" t="str">
        <f>IF('Bulk Order Details'!M236="","",MAX(1,'Bulk Order Details'!G236))</f>
        <v/>
      </c>
      <c r="AA226" s="196" t="str">
        <f>IF(Pricing_Details[[#This Row],[Quantity]]="","",Pricing_Details[[#This Row],[Retail Price]]*Pricing_Details[[#This Row],[Quantity]])</f>
        <v/>
      </c>
      <c r="AB226" s="196" t="str">
        <f>IF(Pricing_Details[[#This Row],[Quantity]]="","",Pricing_Details[[#This Row],[Total Discount]]*Pricing_Details[[#This Row],[Quantity]])</f>
        <v/>
      </c>
      <c r="AC226" s="176" t="str">
        <f>IFERROR(ROUND(Pricing_Details[[#This Row],[Actual Price]]*Pricing_Details[[#This Row],[Quantity]],2),"")</f>
        <v/>
      </c>
      <c r="AE226" s="156" t="str">
        <f>IF('Bulk Order Details'!M236="","",VLOOKUP('Bulk Order Details'!K236,Collection[],3)&amp;VLOOKUP('Bulk Order Details'!M236,Collar[],4)&amp;VLOOKUP('Bulk Order Details'!L236,Sleeve[],4))</f>
        <v/>
      </c>
      <c r="AF226" s="156" t="str">
        <f>IF('Bulk Order Details'!M236="","",LOOKUP('Bulk Order Details'!H236,Cut[Display],Cut[Code])&amp;LOOKUP('Bulk Order Details'!I236,#REF!,#REF!)&amp;IF('Bulk Order Details'!J236="","",LOOKUP('Bulk Order Details'!J236,Length[Display],Length[Code])))</f>
        <v/>
      </c>
      <c r="AG226" s="156" t="str">
        <f>IF('Bulk Order Details'!M236="","",IF('Bulk Order Details'!F236="","",'Bulk Order Details'!F236))</f>
        <v/>
      </c>
      <c r="AH226" s="156" t="str">
        <f>IF('Bulk Order Details'!R236="","","-"&amp;LOOKUP('Bulk Order Details'!R236,#REF!,#REF!))</f>
        <v/>
      </c>
      <c r="AI226" s="156" t="str">
        <f>IF('Bulk Order Details'!S236="","","-"&amp;LOOKUP('Bulk Order Details'!S236,#REF!,#REF!))</f>
        <v/>
      </c>
      <c r="AJ226" s="156" t="str">
        <f>IF('Bulk Order Details'!T236="","","-"&amp;LOOKUP('Bulk Order Details'!T236,#REF!,#REF!))</f>
        <v/>
      </c>
      <c r="AK226" s="156" t="str">
        <f>IF('Bulk Order Details'!U236="","","-"&amp;LOOKUP('Bulk Order Details'!U236,#REF!,#REF!))</f>
        <v/>
      </c>
      <c r="AL226" s="156" t="str">
        <f>IF('Bulk Order Details'!V236="","","-"&amp;LOOKUP('Bulk Order Details'!V236,#REF!,#REF!))</f>
        <v/>
      </c>
      <c r="AM226" s="156" t="str">
        <f t="shared" si="17"/>
        <v/>
      </c>
      <c r="AN226" s="156" t="str">
        <f>IF('Bulk Order Details'!N236="","","Na-"&amp;'Bulk Order Details'!N236)</f>
        <v/>
      </c>
      <c r="AO226" s="156" t="str">
        <f>IF('Bulk Order Details'!Q236="","","Fo-"&amp;'Bulk Order Details'!Q236)</f>
        <v/>
      </c>
      <c r="AP226" s="156" t="str">
        <f t="shared" si="18"/>
        <v/>
      </c>
      <c r="AQ226" s="37" t="str">
        <f t="shared" si="19"/>
        <v/>
      </c>
    </row>
    <row r="227" spans="2:43" ht="15" customHeight="1" x14ac:dyDescent="0.2">
      <c r="B227" s="34">
        <f>'Bulk Order Details'!B237</f>
        <v>224</v>
      </c>
      <c r="C227" s="34" t="str">
        <f>IF('Bulk Order Details'!C237="","",'Bulk Order Details'!C237&amp;" "&amp;'Bulk Order Details'!D237)</f>
        <v/>
      </c>
      <c r="D227" s="31" t="str">
        <f>IF('Bulk Order Details'!M237="","",VLOOKUP(1,Price[],3))</f>
        <v/>
      </c>
      <c r="E227" s="29" t="str">
        <f>IF('Bulk Order Details'!M237="","",Summary!$D$9)</f>
        <v/>
      </c>
      <c r="F227" s="16" t="str">
        <f>IF('Bulk Order Details'!I237="","",_xlfn.XLOOKUP('Bulk Order Details'!I237,Size[Display],Size[Price]))</f>
        <v/>
      </c>
      <c r="G227" s="16" t="str">
        <f>IF('Bulk Order Details'!J237="","",_xlfn.XLOOKUP('Bulk Order Details'!J237,Length[Display],Length[Price]))</f>
        <v/>
      </c>
      <c r="H227" s="16" t="str">
        <f>IF('Bulk Order Details'!K237="","",_xlfn.XLOOKUP('Bulk Order Details'!K237,Collection[Display],Collection[Price]))</f>
        <v/>
      </c>
      <c r="I227" s="16" t="str">
        <f>IF('Bulk Order Details'!L237="","",_xlfn.XLOOKUP('Bulk Order Details'!L237,Sleeve[Display],Sleeve[Price]))</f>
        <v/>
      </c>
      <c r="J227" s="16" t="str">
        <f>IF('Bulk Order Details'!M237="","",_xlfn.XLOOKUP('Bulk Order Details'!M237,Collar[Display],Collar[Price]))</f>
        <v/>
      </c>
      <c r="K227" s="16" t="str">
        <f>IF('Bulk Order Details'!N237="","",_xlfn.XLOOKUP("Name",Name[Name],Name[Price]))</f>
        <v/>
      </c>
      <c r="L227" s="18" t="str">
        <f>IFERROR(IF('Bulk Order Details'!R237="","",IF(_xlfn.XLOOKUP('Bulk Order Details'!R237,Logos[Display],Logos[Use])="Flat",_xlfn.XLOOKUP('Bulk Order Details'!R237,Logos[Display],Logos[Flat]),ROUND(_xlfn.XLOOKUP('Bulk Order Details'!R237,Logos[Display],Logos[Pct])*$E227,2))),"")</f>
        <v/>
      </c>
      <c r="M227" s="22" t="str">
        <f>IFERROR(IF('Bulk Order Details'!S237="","",IF(_xlfn.XLOOKUP('Bulk Order Details'!S237,Chest[Display],Chest[Use])="Flat",_xlfn.XLOOKUP('Bulk Order Details'!S237,Chest[Display],Chest[Flat]),ROUND(_xlfn.XLOOKUP('Bulk Order Details'!S237,Chest[Display],Chest[Pct])*$E227,2))),"")</f>
        <v/>
      </c>
      <c r="N227" s="22" t="str">
        <f>IFERROR(IF('Bulk Order Details'!T237="","",IF(_xlfn.XLOOKUP('Bulk Order Details'!T237,Chest[Display],Chest[Use])="Flat",_xlfn.XLOOKUP('Bulk Order Details'!T237,Chest[Display],Chest[Flat]),ROUND(_xlfn.XLOOKUP('Bulk Order Details'!T237,Chest[Display],Chest[Pct])*$E227,2))),"")</f>
        <v/>
      </c>
      <c r="O227" s="22" t="str">
        <f>IFERROR(IF('Bulk Order Details'!U237="","",IF(_xlfn.XLOOKUP('Bulk Order Details'!U237,LeftSleeve[Display],LeftSleeve[Use])="Flat",_xlfn.XLOOKUP('Bulk Order Details'!U237,LeftSleeve[Display],LeftSleeve[Flat]),ROUND(_xlfn.XLOOKUP('Bulk Order Details'!U237,LeftSleeve[Display],LeftSleeve[Pct])*$E227,2))),"")</f>
        <v/>
      </c>
      <c r="P227" s="22" t="str">
        <f>IFERROR(IF('Bulk Order Details'!V237="","",IF(_xlfn.XLOOKUP('Bulk Order Details'!V237,RightSleeve[Display],RightSleeve[Use])="Flat",_xlfn.XLOOKUP('Bulk Order Details'!V237,RightSleeve[Display],RightSleeve[Flat]),ROUND(_xlfn.XLOOKUP('Bulk Order Details'!V237,RightSleeve[Display],RightSleeve[Pct])*$E227,2))),"")</f>
        <v/>
      </c>
      <c r="Q227" s="27" t="str">
        <f>IF('Bulk Order Details'!M237="","",SUM(F227:P227))</f>
        <v/>
      </c>
      <c r="R227" s="24" t="str">
        <f t="shared" si="16"/>
        <v/>
      </c>
      <c r="S227" s="23" t="str">
        <f>IFERROR(MIN(IF(Summary!$D$11="Yes",-J227,0),IF(H227&gt;0,-J227,0)),"")</f>
        <v/>
      </c>
      <c r="T227" s="16" t="str">
        <f>IFERROR(IF(Summary!$D$10="Yes",-K227,""),"")</f>
        <v/>
      </c>
      <c r="U227" s="18" t="str">
        <f>IFERROR(IF(Summary!$D$12="Yes",-L227,""),"")</f>
        <v/>
      </c>
      <c r="V227" s="25" t="str">
        <f>IF('Bulk Order Details'!M237="","",SUM(R227:U227))</f>
        <v/>
      </c>
      <c r="W227" s="36" t="str">
        <f>IF('Bulk Order Details'!M237="","",D227+Q227)</f>
        <v/>
      </c>
      <c r="X227" s="37" t="str">
        <f>IF('Bulk Order Details'!M237="","",D227+Q227+V227)</f>
        <v/>
      </c>
      <c r="Y227" s="168" t="str">
        <f t="shared" si="15"/>
        <v/>
      </c>
      <c r="Z227" s="173" t="str">
        <f>IF('Bulk Order Details'!M237="","",MAX(1,'Bulk Order Details'!G237))</f>
        <v/>
      </c>
      <c r="AA227" s="196" t="str">
        <f>IF(Pricing_Details[[#This Row],[Quantity]]="","",Pricing_Details[[#This Row],[Retail Price]]*Pricing_Details[[#This Row],[Quantity]])</f>
        <v/>
      </c>
      <c r="AB227" s="196" t="str">
        <f>IF(Pricing_Details[[#This Row],[Quantity]]="","",Pricing_Details[[#This Row],[Total Discount]]*Pricing_Details[[#This Row],[Quantity]])</f>
        <v/>
      </c>
      <c r="AC227" s="176" t="str">
        <f>IFERROR(ROUND(Pricing_Details[[#This Row],[Actual Price]]*Pricing_Details[[#This Row],[Quantity]],2),"")</f>
        <v/>
      </c>
      <c r="AE227" s="156" t="str">
        <f>IF('Bulk Order Details'!M237="","",VLOOKUP('Bulk Order Details'!K237,Collection[],3)&amp;VLOOKUP('Bulk Order Details'!M237,Collar[],4)&amp;VLOOKUP('Bulk Order Details'!L237,Sleeve[],4))</f>
        <v/>
      </c>
      <c r="AF227" s="156" t="str">
        <f>IF('Bulk Order Details'!M237="","",LOOKUP('Bulk Order Details'!H237,Cut[Display],Cut[Code])&amp;LOOKUP('Bulk Order Details'!I237,#REF!,#REF!)&amp;IF('Bulk Order Details'!J237="","",LOOKUP('Bulk Order Details'!J237,Length[Display],Length[Code])))</f>
        <v/>
      </c>
      <c r="AG227" s="156" t="str">
        <f>IF('Bulk Order Details'!M237="","",IF('Bulk Order Details'!F237="","",'Bulk Order Details'!F237))</f>
        <v/>
      </c>
      <c r="AH227" s="156" t="str">
        <f>IF('Bulk Order Details'!R237="","","-"&amp;LOOKUP('Bulk Order Details'!R237,#REF!,#REF!))</f>
        <v/>
      </c>
      <c r="AI227" s="156" t="str">
        <f>IF('Bulk Order Details'!S237="","","-"&amp;LOOKUP('Bulk Order Details'!S237,#REF!,#REF!))</f>
        <v/>
      </c>
      <c r="AJ227" s="156" t="str">
        <f>IF('Bulk Order Details'!T237="","","-"&amp;LOOKUP('Bulk Order Details'!T237,#REF!,#REF!))</f>
        <v/>
      </c>
      <c r="AK227" s="156" t="str">
        <f>IF('Bulk Order Details'!U237="","","-"&amp;LOOKUP('Bulk Order Details'!U237,#REF!,#REF!))</f>
        <v/>
      </c>
      <c r="AL227" s="156" t="str">
        <f>IF('Bulk Order Details'!V237="","","-"&amp;LOOKUP('Bulk Order Details'!V237,#REF!,#REF!))</f>
        <v/>
      </c>
      <c r="AM227" s="156" t="str">
        <f t="shared" si="17"/>
        <v/>
      </c>
      <c r="AN227" s="156" t="str">
        <f>IF('Bulk Order Details'!N237="","","Na-"&amp;'Bulk Order Details'!N237)</f>
        <v/>
      </c>
      <c r="AO227" s="156" t="str">
        <f>IF('Bulk Order Details'!Q237="","","Fo-"&amp;'Bulk Order Details'!Q237)</f>
        <v/>
      </c>
      <c r="AP227" s="156" t="str">
        <f t="shared" si="18"/>
        <v/>
      </c>
      <c r="AQ227" s="37" t="str">
        <f t="shared" si="19"/>
        <v/>
      </c>
    </row>
    <row r="228" spans="2:43" ht="15" customHeight="1" x14ac:dyDescent="0.2">
      <c r="B228" s="34">
        <f>'Bulk Order Details'!B238</f>
        <v>225</v>
      </c>
      <c r="C228" s="34" t="str">
        <f>IF('Bulk Order Details'!C238="","",'Bulk Order Details'!C238&amp;" "&amp;'Bulk Order Details'!D238)</f>
        <v/>
      </c>
      <c r="D228" s="31" t="str">
        <f>IF('Bulk Order Details'!M238="","",VLOOKUP(1,Price[],3))</f>
        <v/>
      </c>
      <c r="E228" s="29" t="str">
        <f>IF('Bulk Order Details'!M238="","",Summary!$D$9)</f>
        <v/>
      </c>
      <c r="F228" s="16" t="str">
        <f>IF('Bulk Order Details'!I238="","",_xlfn.XLOOKUP('Bulk Order Details'!I238,Size[Display],Size[Price]))</f>
        <v/>
      </c>
      <c r="G228" s="16" t="str">
        <f>IF('Bulk Order Details'!J238="","",_xlfn.XLOOKUP('Bulk Order Details'!J238,Length[Display],Length[Price]))</f>
        <v/>
      </c>
      <c r="H228" s="16" t="str">
        <f>IF('Bulk Order Details'!K238="","",_xlfn.XLOOKUP('Bulk Order Details'!K238,Collection[Display],Collection[Price]))</f>
        <v/>
      </c>
      <c r="I228" s="16" t="str">
        <f>IF('Bulk Order Details'!L238="","",_xlfn.XLOOKUP('Bulk Order Details'!L238,Sleeve[Display],Sleeve[Price]))</f>
        <v/>
      </c>
      <c r="J228" s="16" t="str">
        <f>IF('Bulk Order Details'!M238="","",_xlfn.XLOOKUP('Bulk Order Details'!M238,Collar[Display],Collar[Price]))</f>
        <v/>
      </c>
      <c r="K228" s="16" t="str">
        <f>IF('Bulk Order Details'!N238="","",_xlfn.XLOOKUP("Name",Name[Name],Name[Price]))</f>
        <v/>
      </c>
      <c r="L228" s="18" t="str">
        <f>IFERROR(IF('Bulk Order Details'!R238="","",IF(_xlfn.XLOOKUP('Bulk Order Details'!R238,Logos[Display],Logos[Use])="Flat",_xlfn.XLOOKUP('Bulk Order Details'!R238,Logos[Display],Logos[Flat]),ROUND(_xlfn.XLOOKUP('Bulk Order Details'!R238,Logos[Display],Logos[Pct])*$E228,2))),"")</f>
        <v/>
      </c>
      <c r="M228" s="22" t="str">
        <f>IFERROR(IF('Bulk Order Details'!S238="","",IF(_xlfn.XLOOKUP('Bulk Order Details'!S238,Chest[Display],Chest[Use])="Flat",_xlfn.XLOOKUP('Bulk Order Details'!S238,Chest[Display],Chest[Flat]),ROUND(_xlfn.XLOOKUP('Bulk Order Details'!S238,Chest[Display],Chest[Pct])*$E228,2))),"")</f>
        <v/>
      </c>
      <c r="N228" s="22" t="str">
        <f>IFERROR(IF('Bulk Order Details'!T238="","",IF(_xlfn.XLOOKUP('Bulk Order Details'!T238,Chest[Display],Chest[Use])="Flat",_xlfn.XLOOKUP('Bulk Order Details'!T238,Chest[Display],Chest[Flat]),ROUND(_xlfn.XLOOKUP('Bulk Order Details'!T238,Chest[Display],Chest[Pct])*$E228,2))),"")</f>
        <v/>
      </c>
      <c r="O228" s="22" t="str">
        <f>IFERROR(IF('Bulk Order Details'!U238="","",IF(_xlfn.XLOOKUP('Bulk Order Details'!U238,LeftSleeve[Display],LeftSleeve[Use])="Flat",_xlfn.XLOOKUP('Bulk Order Details'!U238,LeftSleeve[Display],LeftSleeve[Flat]),ROUND(_xlfn.XLOOKUP('Bulk Order Details'!U238,LeftSleeve[Display],LeftSleeve[Pct])*$E228,2))),"")</f>
        <v/>
      </c>
      <c r="P228" s="22" t="str">
        <f>IFERROR(IF('Bulk Order Details'!V238="","",IF(_xlfn.XLOOKUP('Bulk Order Details'!V238,RightSleeve[Display],RightSleeve[Use])="Flat",_xlfn.XLOOKUP('Bulk Order Details'!V238,RightSleeve[Display],RightSleeve[Flat]),ROUND(_xlfn.XLOOKUP('Bulk Order Details'!V238,RightSleeve[Display],RightSleeve[Pct])*$E228,2))),"")</f>
        <v/>
      </c>
      <c r="Q228" s="27" t="str">
        <f>IF('Bulk Order Details'!M238="","",SUM(F228:P228))</f>
        <v/>
      </c>
      <c r="R228" s="24" t="str">
        <f t="shared" si="16"/>
        <v/>
      </c>
      <c r="S228" s="23" t="str">
        <f>IFERROR(MIN(IF(Summary!$D$11="Yes",-J228,0),IF(H228&gt;0,-J228,0)),"")</f>
        <v/>
      </c>
      <c r="T228" s="16" t="str">
        <f>IFERROR(IF(Summary!$D$10="Yes",-K228,""),"")</f>
        <v/>
      </c>
      <c r="U228" s="18" t="str">
        <f>IFERROR(IF(Summary!$D$12="Yes",-L228,""),"")</f>
        <v/>
      </c>
      <c r="V228" s="25" t="str">
        <f>IF('Bulk Order Details'!M238="","",SUM(R228:U228))</f>
        <v/>
      </c>
      <c r="W228" s="36" t="str">
        <f>IF('Bulk Order Details'!M238="","",D228+Q228)</f>
        <v/>
      </c>
      <c r="X228" s="37" t="str">
        <f>IF('Bulk Order Details'!M238="","",D228+Q228+V228)</f>
        <v/>
      </c>
      <c r="Y228" s="168" t="str">
        <f t="shared" si="15"/>
        <v/>
      </c>
      <c r="Z228" s="173" t="str">
        <f>IF('Bulk Order Details'!M238="","",MAX(1,'Bulk Order Details'!G238))</f>
        <v/>
      </c>
      <c r="AA228" s="196" t="str">
        <f>IF(Pricing_Details[[#This Row],[Quantity]]="","",Pricing_Details[[#This Row],[Retail Price]]*Pricing_Details[[#This Row],[Quantity]])</f>
        <v/>
      </c>
      <c r="AB228" s="196" t="str">
        <f>IF(Pricing_Details[[#This Row],[Quantity]]="","",Pricing_Details[[#This Row],[Total Discount]]*Pricing_Details[[#This Row],[Quantity]])</f>
        <v/>
      </c>
      <c r="AC228" s="176" t="str">
        <f>IFERROR(ROUND(Pricing_Details[[#This Row],[Actual Price]]*Pricing_Details[[#This Row],[Quantity]],2),"")</f>
        <v/>
      </c>
      <c r="AE228" s="156" t="str">
        <f>IF('Bulk Order Details'!M238="","",VLOOKUP('Bulk Order Details'!K238,Collection[],3)&amp;VLOOKUP('Bulk Order Details'!M238,Collar[],4)&amp;VLOOKUP('Bulk Order Details'!L238,Sleeve[],4))</f>
        <v/>
      </c>
      <c r="AF228" s="156" t="str">
        <f>IF('Bulk Order Details'!M238="","",LOOKUP('Bulk Order Details'!H238,Cut[Display],Cut[Code])&amp;LOOKUP('Bulk Order Details'!I238,#REF!,#REF!)&amp;IF('Bulk Order Details'!J238="","",LOOKUP('Bulk Order Details'!J238,Length[Display],Length[Code])))</f>
        <v/>
      </c>
      <c r="AG228" s="156" t="str">
        <f>IF('Bulk Order Details'!M238="","",IF('Bulk Order Details'!F238="","",'Bulk Order Details'!F238))</f>
        <v/>
      </c>
      <c r="AH228" s="156" t="str">
        <f>IF('Bulk Order Details'!R238="","","-"&amp;LOOKUP('Bulk Order Details'!R238,#REF!,#REF!))</f>
        <v/>
      </c>
      <c r="AI228" s="156" t="str">
        <f>IF('Bulk Order Details'!S238="","","-"&amp;LOOKUP('Bulk Order Details'!S238,#REF!,#REF!))</f>
        <v/>
      </c>
      <c r="AJ228" s="156" t="str">
        <f>IF('Bulk Order Details'!T238="","","-"&amp;LOOKUP('Bulk Order Details'!T238,#REF!,#REF!))</f>
        <v/>
      </c>
      <c r="AK228" s="156" t="str">
        <f>IF('Bulk Order Details'!U238="","","-"&amp;LOOKUP('Bulk Order Details'!U238,#REF!,#REF!))</f>
        <v/>
      </c>
      <c r="AL228" s="156" t="str">
        <f>IF('Bulk Order Details'!V238="","","-"&amp;LOOKUP('Bulk Order Details'!V238,#REF!,#REF!))</f>
        <v/>
      </c>
      <c r="AM228" s="156" t="str">
        <f t="shared" si="17"/>
        <v/>
      </c>
      <c r="AN228" s="156" t="str">
        <f>IF('Bulk Order Details'!N238="","","Na-"&amp;'Bulk Order Details'!N238)</f>
        <v/>
      </c>
      <c r="AO228" s="156" t="str">
        <f>IF('Bulk Order Details'!Q238="","","Fo-"&amp;'Bulk Order Details'!Q238)</f>
        <v/>
      </c>
      <c r="AP228" s="156" t="str">
        <f t="shared" si="18"/>
        <v/>
      </c>
      <c r="AQ228" s="37" t="str">
        <f t="shared" si="19"/>
        <v/>
      </c>
    </row>
    <row r="229" spans="2:43" ht="15" customHeight="1" x14ac:dyDescent="0.2">
      <c r="B229" s="34">
        <f>'Bulk Order Details'!B239</f>
        <v>226</v>
      </c>
      <c r="C229" s="34" t="str">
        <f>IF('Bulk Order Details'!C239="","",'Bulk Order Details'!C239&amp;" "&amp;'Bulk Order Details'!D239)</f>
        <v/>
      </c>
      <c r="D229" s="31" t="str">
        <f>IF('Bulk Order Details'!M239="","",VLOOKUP(1,Price[],3))</f>
        <v/>
      </c>
      <c r="E229" s="29" t="str">
        <f>IF('Bulk Order Details'!M239="","",Summary!$D$9)</f>
        <v/>
      </c>
      <c r="F229" s="16" t="str">
        <f>IF('Bulk Order Details'!I239="","",_xlfn.XLOOKUP('Bulk Order Details'!I239,Size[Display],Size[Price]))</f>
        <v/>
      </c>
      <c r="G229" s="16" t="str">
        <f>IF('Bulk Order Details'!J239="","",_xlfn.XLOOKUP('Bulk Order Details'!J239,Length[Display],Length[Price]))</f>
        <v/>
      </c>
      <c r="H229" s="16" t="str">
        <f>IF('Bulk Order Details'!K239="","",_xlfn.XLOOKUP('Bulk Order Details'!K239,Collection[Display],Collection[Price]))</f>
        <v/>
      </c>
      <c r="I229" s="16" t="str">
        <f>IF('Bulk Order Details'!L239="","",_xlfn.XLOOKUP('Bulk Order Details'!L239,Sleeve[Display],Sleeve[Price]))</f>
        <v/>
      </c>
      <c r="J229" s="16" t="str">
        <f>IF('Bulk Order Details'!M239="","",_xlfn.XLOOKUP('Bulk Order Details'!M239,Collar[Display],Collar[Price]))</f>
        <v/>
      </c>
      <c r="K229" s="16" t="str">
        <f>IF('Bulk Order Details'!N239="","",_xlfn.XLOOKUP("Name",Name[Name],Name[Price]))</f>
        <v/>
      </c>
      <c r="L229" s="18" t="str">
        <f>IFERROR(IF('Bulk Order Details'!R239="","",IF(_xlfn.XLOOKUP('Bulk Order Details'!R239,Logos[Display],Logos[Use])="Flat",_xlfn.XLOOKUP('Bulk Order Details'!R239,Logos[Display],Logos[Flat]),ROUND(_xlfn.XLOOKUP('Bulk Order Details'!R239,Logos[Display],Logos[Pct])*$E229,2))),"")</f>
        <v/>
      </c>
      <c r="M229" s="22" t="str">
        <f>IFERROR(IF('Bulk Order Details'!S239="","",IF(_xlfn.XLOOKUP('Bulk Order Details'!S239,Chest[Display],Chest[Use])="Flat",_xlfn.XLOOKUP('Bulk Order Details'!S239,Chest[Display],Chest[Flat]),ROUND(_xlfn.XLOOKUP('Bulk Order Details'!S239,Chest[Display],Chest[Pct])*$E229,2))),"")</f>
        <v/>
      </c>
      <c r="N229" s="22" t="str">
        <f>IFERROR(IF('Bulk Order Details'!T239="","",IF(_xlfn.XLOOKUP('Bulk Order Details'!T239,Chest[Display],Chest[Use])="Flat",_xlfn.XLOOKUP('Bulk Order Details'!T239,Chest[Display],Chest[Flat]),ROUND(_xlfn.XLOOKUP('Bulk Order Details'!T239,Chest[Display],Chest[Pct])*$E229,2))),"")</f>
        <v/>
      </c>
      <c r="O229" s="22" t="str">
        <f>IFERROR(IF('Bulk Order Details'!U239="","",IF(_xlfn.XLOOKUP('Bulk Order Details'!U239,LeftSleeve[Display],LeftSleeve[Use])="Flat",_xlfn.XLOOKUP('Bulk Order Details'!U239,LeftSleeve[Display],LeftSleeve[Flat]),ROUND(_xlfn.XLOOKUP('Bulk Order Details'!U239,LeftSleeve[Display],LeftSleeve[Pct])*$E229,2))),"")</f>
        <v/>
      </c>
      <c r="P229" s="22" t="str">
        <f>IFERROR(IF('Bulk Order Details'!V239="","",IF(_xlfn.XLOOKUP('Bulk Order Details'!V239,RightSleeve[Display],RightSleeve[Use])="Flat",_xlfn.XLOOKUP('Bulk Order Details'!V239,RightSleeve[Display],RightSleeve[Flat]),ROUND(_xlfn.XLOOKUP('Bulk Order Details'!V239,RightSleeve[Display],RightSleeve[Pct])*$E229,2))),"")</f>
        <v/>
      </c>
      <c r="Q229" s="27" t="str">
        <f>IF('Bulk Order Details'!M239="","",SUM(F229:P229))</f>
        <v/>
      </c>
      <c r="R229" s="24" t="str">
        <f t="shared" si="16"/>
        <v/>
      </c>
      <c r="S229" s="23" t="str">
        <f>IFERROR(MIN(IF(Summary!$D$11="Yes",-J229,0),IF(H229&gt;0,-J229,0)),"")</f>
        <v/>
      </c>
      <c r="T229" s="16" t="str">
        <f>IFERROR(IF(Summary!$D$10="Yes",-K229,""),"")</f>
        <v/>
      </c>
      <c r="U229" s="18" t="str">
        <f>IFERROR(IF(Summary!$D$12="Yes",-L229,""),"")</f>
        <v/>
      </c>
      <c r="V229" s="25" t="str">
        <f>IF('Bulk Order Details'!M239="","",SUM(R229:U229))</f>
        <v/>
      </c>
      <c r="W229" s="36" t="str">
        <f>IF('Bulk Order Details'!M239="","",D229+Q229)</f>
        <v/>
      </c>
      <c r="X229" s="37" t="str">
        <f>IF('Bulk Order Details'!M239="","",D229+Q229+V229)</f>
        <v/>
      </c>
      <c r="Y229" s="168" t="str">
        <f t="shared" si="15"/>
        <v/>
      </c>
      <c r="Z229" s="173" t="str">
        <f>IF('Bulk Order Details'!M239="","",MAX(1,'Bulk Order Details'!G239))</f>
        <v/>
      </c>
      <c r="AA229" s="196" t="str">
        <f>IF(Pricing_Details[[#This Row],[Quantity]]="","",Pricing_Details[[#This Row],[Retail Price]]*Pricing_Details[[#This Row],[Quantity]])</f>
        <v/>
      </c>
      <c r="AB229" s="196" t="str">
        <f>IF(Pricing_Details[[#This Row],[Quantity]]="","",Pricing_Details[[#This Row],[Total Discount]]*Pricing_Details[[#This Row],[Quantity]])</f>
        <v/>
      </c>
      <c r="AC229" s="176" t="str">
        <f>IFERROR(ROUND(Pricing_Details[[#This Row],[Actual Price]]*Pricing_Details[[#This Row],[Quantity]],2),"")</f>
        <v/>
      </c>
      <c r="AE229" s="156" t="str">
        <f>IF('Bulk Order Details'!M239="","",VLOOKUP('Bulk Order Details'!K239,Collection[],3)&amp;VLOOKUP('Bulk Order Details'!M239,Collar[],4)&amp;VLOOKUP('Bulk Order Details'!L239,Sleeve[],4))</f>
        <v/>
      </c>
      <c r="AF229" s="156" t="str">
        <f>IF('Bulk Order Details'!M239="","",LOOKUP('Bulk Order Details'!H239,Cut[Display],Cut[Code])&amp;LOOKUP('Bulk Order Details'!I239,#REF!,#REF!)&amp;IF('Bulk Order Details'!J239="","",LOOKUP('Bulk Order Details'!J239,Length[Display],Length[Code])))</f>
        <v/>
      </c>
      <c r="AG229" s="156" t="str">
        <f>IF('Bulk Order Details'!M239="","",IF('Bulk Order Details'!F239="","",'Bulk Order Details'!F239))</f>
        <v/>
      </c>
      <c r="AH229" s="156" t="str">
        <f>IF('Bulk Order Details'!R239="","","-"&amp;LOOKUP('Bulk Order Details'!R239,#REF!,#REF!))</f>
        <v/>
      </c>
      <c r="AI229" s="156" t="str">
        <f>IF('Bulk Order Details'!S239="","","-"&amp;LOOKUP('Bulk Order Details'!S239,#REF!,#REF!))</f>
        <v/>
      </c>
      <c r="AJ229" s="156" t="str">
        <f>IF('Bulk Order Details'!T239="","","-"&amp;LOOKUP('Bulk Order Details'!T239,#REF!,#REF!))</f>
        <v/>
      </c>
      <c r="AK229" s="156" t="str">
        <f>IF('Bulk Order Details'!U239="","","-"&amp;LOOKUP('Bulk Order Details'!U239,#REF!,#REF!))</f>
        <v/>
      </c>
      <c r="AL229" s="156" t="str">
        <f>IF('Bulk Order Details'!V239="","","-"&amp;LOOKUP('Bulk Order Details'!V239,#REF!,#REF!))</f>
        <v/>
      </c>
      <c r="AM229" s="156" t="str">
        <f t="shared" si="17"/>
        <v/>
      </c>
      <c r="AN229" s="156" t="str">
        <f>IF('Bulk Order Details'!N239="","","Na-"&amp;'Bulk Order Details'!N239)</f>
        <v/>
      </c>
      <c r="AO229" s="156" t="str">
        <f>IF('Bulk Order Details'!Q239="","","Fo-"&amp;'Bulk Order Details'!Q239)</f>
        <v/>
      </c>
      <c r="AP229" s="156" t="str">
        <f t="shared" si="18"/>
        <v/>
      </c>
      <c r="AQ229" s="37" t="str">
        <f t="shared" si="19"/>
        <v/>
      </c>
    </row>
    <row r="230" spans="2:43" ht="15" customHeight="1" x14ac:dyDescent="0.2">
      <c r="B230" s="34">
        <f>'Bulk Order Details'!B240</f>
        <v>227</v>
      </c>
      <c r="C230" s="34" t="str">
        <f>IF('Bulk Order Details'!C240="","",'Bulk Order Details'!C240&amp;" "&amp;'Bulk Order Details'!D240)</f>
        <v/>
      </c>
      <c r="D230" s="31" t="str">
        <f>IF('Bulk Order Details'!M240="","",VLOOKUP(1,Price[],3))</f>
        <v/>
      </c>
      <c r="E230" s="29" t="str">
        <f>IF('Bulk Order Details'!M240="","",Summary!$D$9)</f>
        <v/>
      </c>
      <c r="F230" s="16" t="str">
        <f>IF('Bulk Order Details'!I240="","",_xlfn.XLOOKUP('Bulk Order Details'!I240,Size[Display],Size[Price]))</f>
        <v/>
      </c>
      <c r="G230" s="16" t="str">
        <f>IF('Bulk Order Details'!J240="","",_xlfn.XLOOKUP('Bulk Order Details'!J240,Length[Display],Length[Price]))</f>
        <v/>
      </c>
      <c r="H230" s="16" t="str">
        <f>IF('Bulk Order Details'!K240="","",_xlfn.XLOOKUP('Bulk Order Details'!K240,Collection[Display],Collection[Price]))</f>
        <v/>
      </c>
      <c r="I230" s="16" t="str">
        <f>IF('Bulk Order Details'!L240="","",_xlfn.XLOOKUP('Bulk Order Details'!L240,Sleeve[Display],Sleeve[Price]))</f>
        <v/>
      </c>
      <c r="J230" s="16" t="str">
        <f>IF('Bulk Order Details'!M240="","",_xlfn.XLOOKUP('Bulk Order Details'!M240,Collar[Display],Collar[Price]))</f>
        <v/>
      </c>
      <c r="K230" s="16" t="str">
        <f>IF('Bulk Order Details'!N240="","",_xlfn.XLOOKUP("Name",Name[Name],Name[Price]))</f>
        <v/>
      </c>
      <c r="L230" s="18" t="str">
        <f>IFERROR(IF('Bulk Order Details'!R240="","",IF(_xlfn.XLOOKUP('Bulk Order Details'!R240,Logos[Display],Logos[Use])="Flat",_xlfn.XLOOKUP('Bulk Order Details'!R240,Logos[Display],Logos[Flat]),ROUND(_xlfn.XLOOKUP('Bulk Order Details'!R240,Logos[Display],Logos[Pct])*$E230,2))),"")</f>
        <v/>
      </c>
      <c r="M230" s="22" t="str">
        <f>IFERROR(IF('Bulk Order Details'!S240="","",IF(_xlfn.XLOOKUP('Bulk Order Details'!S240,Chest[Display],Chest[Use])="Flat",_xlfn.XLOOKUP('Bulk Order Details'!S240,Chest[Display],Chest[Flat]),ROUND(_xlfn.XLOOKUP('Bulk Order Details'!S240,Chest[Display],Chest[Pct])*$E230,2))),"")</f>
        <v/>
      </c>
      <c r="N230" s="22" t="str">
        <f>IFERROR(IF('Bulk Order Details'!T240="","",IF(_xlfn.XLOOKUP('Bulk Order Details'!T240,Chest[Display],Chest[Use])="Flat",_xlfn.XLOOKUP('Bulk Order Details'!T240,Chest[Display],Chest[Flat]),ROUND(_xlfn.XLOOKUP('Bulk Order Details'!T240,Chest[Display],Chest[Pct])*$E230,2))),"")</f>
        <v/>
      </c>
      <c r="O230" s="22" t="str">
        <f>IFERROR(IF('Bulk Order Details'!U240="","",IF(_xlfn.XLOOKUP('Bulk Order Details'!U240,LeftSleeve[Display],LeftSleeve[Use])="Flat",_xlfn.XLOOKUP('Bulk Order Details'!U240,LeftSleeve[Display],LeftSleeve[Flat]),ROUND(_xlfn.XLOOKUP('Bulk Order Details'!U240,LeftSleeve[Display],LeftSleeve[Pct])*$E230,2))),"")</f>
        <v/>
      </c>
      <c r="P230" s="22" t="str">
        <f>IFERROR(IF('Bulk Order Details'!V240="","",IF(_xlfn.XLOOKUP('Bulk Order Details'!V240,RightSleeve[Display],RightSleeve[Use])="Flat",_xlfn.XLOOKUP('Bulk Order Details'!V240,RightSleeve[Display],RightSleeve[Flat]),ROUND(_xlfn.XLOOKUP('Bulk Order Details'!V240,RightSleeve[Display],RightSleeve[Pct])*$E230,2))),"")</f>
        <v/>
      </c>
      <c r="Q230" s="27" t="str">
        <f>IF('Bulk Order Details'!M240="","",SUM(F230:P230))</f>
        <v/>
      </c>
      <c r="R230" s="24" t="str">
        <f t="shared" si="16"/>
        <v/>
      </c>
      <c r="S230" s="23" t="str">
        <f>IFERROR(MIN(IF(Summary!$D$11="Yes",-J230,0),IF(H230&gt;0,-J230,0)),"")</f>
        <v/>
      </c>
      <c r="T230" s="16" t="str">
        <f>IFERROR(IF(Summary!$D$10="Yes",-K230,""),"")</f>
        <v/>
      </c>
      <c r="U230" s="18" t="str">
        <f>IFERROR(IF(Summary!$D$12="Yes",-L230,""),"")</f>
        <v/>
      </c>
      <c r="V230" s="25" t="str">
        <f>IF('Bulk Order Details'!M240="","",SUM(R230:U230))</f>
        <v/>
      </c>
      <c r="W230" s="36" t="str">
        <f>IF('Bulk Order Details'!M240="","",D230+Q230)</f>
        <v/>
      </c>
      <c r="X230" s="37" t="str">
        <f>IF('Bulk Order Details'!M240="","",D230+Q230+V230)</f>
        <v/>
      </c>
      <c r="Y230" s="168" t="str">
        <f t="shared" si="15"/>
        <v/>
      </c>
      <c r="Z230" s="173" t="str">
        <f>IF('Bulk Order Details'!M240="","",MAX(1,'Bulk Order Details'!G240))</f>
        <v/>
      </c>
      <c r="AA230" s="196" t="str">
        <f>IF(Pricing_Details[[#This Row],[Quantity]]="","",Pricing_Details[[#This Row],[Retail Price]]*Pricing_Details[[#This Row],[Quantity]])</f>
        <v/>
      </c>
      <c r="AB230" s="196" t="str">
        <f>IF(Pricing_Details[[#This Row],[Quantity]]="","",Pricing_Details[[#This Row],[Total Discount]]*Pricing_Details[[#This Row],[Quantity]])</f>
        <v/>
      </c>
      <c r="AC230" s="176" t="str">
        <f>IFERROR(ROUND(Pricing_Details[[#This Row],[Actual Price]]*Pricing_Details[[#This Row],[Quantity]],2),"")</f>
        <v/>
      </c>
      <c r="AE230" s="156" t="str">
        <f>IF('Bulk Order Details'!M240="","",VLOOKUP('Bulk Order Details'!K240,Collection[],3)&amp;VLOOKUP('Bulk Order Details'!M240,Collar[],4)&amp;VLOOKUP('Bulk Order Details'!L240,Sleeve[],4))</f>
        <v/>
      </c>
      <c r="AF230" s="156" t="str">
        <f>IF('Bulk Order Details'!M240="","",LOOKUP('Bulk Order Details'!H240,Cut[Display],Cut[Code])&amp;LOOKUP('Bulk Order Details'!I240,#REF!,#REF!)&amp;IF('Bulk Order Details'!J240="","",LOOKUP('Bulk Order Details'!J240,Length[Display],Length[Code])))</f>
        <v/>
      </c>
      <c r="AG230" s="156" t="str">
        <f>IF('Bulk Order Details'!M240="","",IF('Bulk Order Details'!F240="","",'Bulk Order Details'!F240))</f>
        <v/>
      </c>
      <c r="AH230" s="156" t="str">
        <f>IF('Bulk Order Details'!R240="","","-"&amp;LOOKUP('Bulk Order Details'!R240,#REF!,#REF!))</f>
        <v/>
      </c>
      <c r="AI230" s="156" t="str">
        <f>IF('Bulk Order Details'!S240="","","-"&amp;LOOKUP('Bulk Order Details'!S240,#REF!,#REF!))</f>
        <v/>
      </c>
      <c r="AJ230" s="156" t="str">
        <f>IF('Bulk Order Details'!T240="","","-"&amp;LOOKUP('Bulk Order Details'!T240,#REF!,#REF!))</f>
        <v/>
      </c>
      <c r="AK230" s="156" t="str">
        <f>IF('Bulk Order Details'!U240="","","-"&amp;LOOKUP('Bulk Order Details'!U240,#REF!,#REF!))</f>
        <v/>
      </c>
      <c r="AL230" s="156" t="str">
        <f>IF('Bulk Order Details'!V240="","","-"&amp;LOOKUP('Bulk Order Details'!V240,#REF!,#REF!))</f>
        <v/>
      </c>
      <c r="AM230" s="156" t="str">
        <f t="shared" si="17"/>
        <v/>
      </c>
      <c r="AN230" s="156" t="str">
        <f>IF('Bulk Order Details'!N240="","","Na-"&amp;'Bulk Order Details'!N240)</f>
        <v/>
      </c>
      <c r="AO230" s="156" t="str">
        <f>IF('Bulk Order Details'!Q240="","","Fo-"&amp;'Bulk Order Details'!Q240)</f>
        <v/>
      </c>
      <c r="AP230" s="156" t="str">
        <f t="shared" si="18"/>
        <v/>
      </c>
      <c r="AQ230" s="37" t="str">
        <f t="shared" si="19"/>
        <v/>
      </c>
    </row>
    <row r="231" spans="2:43" ht="15" customHeight="1" x14ac:dyDescent="0.2">
      <c r="B231" s="34">
        <f>'Bulk Order Details'!B241</f>
        <v>228</v>
      </c>
      <c r="C231" s="34" t="str">
        <f>IF('Bulk Order Details'!C241="","",'Bulk Order Details'!C241&amp;" "&amp;'Bulk Order Details'!D241)</f>
        <v/>
      </c>
      <c r="D231" s="31" t="str">
        <f>IF('Bulk Order Details'!M241="","",VLOOKUP(1,Price[],3))</f>
        <v/>
      </c>
      <c r="E231" s="29" t="str">
        <f>IF('Bulk Order Details'!M241="","",Summary!$D$9)</f>
        <v/>
      </c>
      <c r="F231" s="16" t="str">
        <f>IF('Bulk Order Details'!I241="","",_xlfn.XLOOKUP('Bulk Order Details'!I241,Size[Display],Size[Price]))</f>
        <v/>
      </c>
      <c r="G231" s="16" t="str">
        <f>IF('Bulk Order Details'!J241="","",_xlfn.XLOOKUP('Bulk Order Details'!J241,Length[Display],Length[Price]))</f>
        <v/>
      </c>
      <c r="H231" s="16" t="str">
        <f>IF('Bulk Order Details'!K241="","",_xlfn.XLOOKUP('Bulk Order Details'!K241,Collection[Display],Collection[Price]))</f>
        <v/>
      </c>
      <c r="I231" s="16" t="str">
        <f>IF('Bulk Order Details'!L241="","",_xlfn.XLOOKUP('Bulk Order Details'!L241,Sleeve[Display],Sleeve[Price]))</f>
        <v/>
      </c>
      <c r="J231" s="16" t="str">
        <f>IF('Bulk Order Details'!M241="","",_xlfn.XLOOKUP('Bulk Order Details'!M241,Collar[Display],Collar[Price]))</f>
        <v/>
      </c>
      <c r="K231" s="16" t="str">
        <f>IF('Bulk Order Details'!N241="","",_xlfn.XLOOKUP("Name",Name[Name],Name[Price]))</f>
        <v/>
      </c>
      <c r="L231" s="18" t="str">
        <f>IFERROR(IF('Bulk Order Details'!R241="","",IF(_xlfn.XLOOKUP('Bulk Order Details'!R241,Logos[Display],Logos[Use])="Flat",_xlfn.XLOOKUP('Bulk Order Details'!R241,Logos[Display],Logos[Flat]),ROUND(_xlfn.XLOOKUP('Bulk Order Details'!R241,Logos[Display],Logos[Pct])*$E231,2))),"")</f>
        <v/>
      </c>
      <c r="M231" s="22" t="str">
        <f>IFERROR(IF('Bulk Order Details'!S241="","",IF(_xlfn.XLOOKUP('Bulk Order Details'!S241,Chest[Display],Chest[Use])="Flat",_xlfn.XLOOKUP('Bulk Order Details'!S241,Chest[Display],Chest[Flat]),ROUND(_xlfn.XLOOKUP('Bulk Order Details'!S241,Chest[Display],Chest[Pct])*$E231,2))),"")</f>
        <v/>
      </c>
      <c r="N231" s="22" t="str">
        <f>IFERROR(IF('Bulk Order Details'!T241="","",IF(_xlfn.XLOOKUP('Bulk Order Details'!T241,Chest[Display],Chest[Use])="Flat",_xlfn.XLOOKUP('Bulk Order Details'!T241,Chest[Display],Chest[Flat]),ROUND(_xlfn.XLOOKUP('Bulk Order Details'!T241,Chest[Display],Chest[Pct])*$E231,2))),"")</f>
        <v/>
      </c>
      <c r="O231" s="22" t="str">
        <f>IFERROR(IF('Bulk Order Details'!U241="","",IF(_xlfn.XLOOKUP('Bulk Order Details'!U241,LeftSleeve[Display],LeftSleeve[Use])="Flat",_xlfn.XLOOKUP('Bulk Order Details'!U241,LeftSleeve[Display],LeftSleeve[Flat]),ROUND(_xlfn.XLOOKUP('Bulk Order Details'!U241,LeftSleeve[Display],LeftSleeve[Pct])*$E231,2))),"")</f>
        <v/>
      </c>
      <c r="P231" s="22" t="str">
        <f>IFERROR(IF('Bulk Order Details'!V241="","",IF(_xlfn.XLOOKUP('Bulk Order Details'!V241,RightSleeve[Display],RightSleeve[Use])="Flat",_xlfn.XLOOKUP('Bulk Order Details'!V241,RightSleeve[Display],RightSleeve[Flat]),ROUND(_xlfn.XLOOKUP('Bulk Order Details'!V241,RightSleeve[Display],RightSleeve[Pct])*$E231,2))),"")</f>
        <v/>
      </c>
      <c r="Q231" s="27" t="str">
        <f>IF('Bulk Order Details'!M241="","",SUM(F231:P231))</f>
        <v/>
      </c>
      <c r="R231" s="24" t="str">
        <f t="shared" si="16"/>
        <v/>
      </c>
      <c r="S231" s="23" t="str">
        <f>IFERROR(MIN(IF(Summary!$D$11="Yes",-J231,0),IF(H231&gt;0,-J231,0)),"")</f>
        <v/>
      </c>
      <c r="T231" s="16" t="str">
        <f>IFERROR(IF(Summary!$D$10="Yes",-K231,""),"")</f>
        <v/>
      </c>
      <c r="U231" s="18" t="str">
        <f>IFERROR(IF(Summary!$D$12="Yes",-L231,""),"")</f>
        <v/>
      </c>
      <c r="V231" s="25" t="str">
        <f>IF('Bulk Order Details'!M241="","",SUM(R231:U231))</f>
        <v/>
      </c>
      <c r="W231" s="36" t="str">
        <f>IF('Bulk Order Details'!M241="","",D231+Q231)</f>
        <v/>
      </c>
      <c r="X231" s="37" t="str">
        <f>IF('Bulk Order Details'!M241="","",D231+Q231+V231)</f>
        <v/>
      </c>
      <c r="Y231" s="168" t="str">
        <f t="shared" si="15"/>
        <v/>
      </c>
      <c r="Z231" s="173" t="str">
        <f>IF('Bulk Order Details'!M241="","",MAX(1,'Bulk Order Details'!G241))</f>
        <v/>
      </c>
      <c r="AA231" s="196" t="str">
        <f>IF(Pricing_Details[[#This Row],[Quantity]]="","",Pricing_Details[[#This Row],[Retail Price]]*Pricing_Details[[#This Row],[Quantity]])</f>
        <v/>
      </c>
      <c r="AB231" s="196" t="str">
        <f>IF(Pricing_Details[[#This Row],[Quantity]]="","",Pricing_Details[[#This Row],[Total Discount]]*Pricing_Details[[#This Row],[Quantity]])</f>
        <v/>
      </c>
      <c r="AC231" s="176" t="str">
        <f>IFERROR(ROUND(Pricing_Details[[#This Row],[Actual Price]]*Pricing_Details[[#This Row],[Quantity]],2),"")</f>
        <v/>
      </c>
      <c r="AE231" s="156" t="str">
        <f>IF('Bulk Order Details'!M241="","",VLOOKUP('Bulk Order Details'!K241,Collection[],3)&amp;VLOOKUP('Bulk Order Details'!M241,Collar[],4)&amp;VLOOKUP('Bulk Order Details'!L241,Sleeve[],4))</f>
        <v/>
      </c>
      <c r="AF231" s="156" t="str">
        <f>IF('Bulk Order Details'!M241="","",LOOKUP('Bulk Order Details'!H241,Cut[Display],Cut[Code])&amp;LOOKUP('Bulk Order Details'!I241,#REF!,#REF!)&amp;IF('Bulk Order Details'!J241="","",LOOKUP('Bulk Order Details'!J241,Length[Display],Length[Code])))</f>
        <v/>
      </c>
      <c r="AG231" s="156" t="str">
        <f>IF('Bulk Order Details'!M241="","",IF('Bulk Order Details'!F241="","",'Bulk Order Details'!F241))</f>
        <v/>
      </c>
      <c r="AH231" s="156" t="str">
        <f>IF('Bulk Order Details'!R241="","","-"&amp;LOOKUP('Bulk Order Details'!R241,#REF!,#REF!))</f>
        <v/>
      </c>
      <c r="AI231" s="156" t="str">
        <f>IF('Bulk Order Details'!S241="","","-"&amp;LOOKUP('Bulk Order Details'!S241,#REF!,#REF!))</f>
        <v/>
      </c>
      <c r="AJ231" s="156" t="str">
        <f>IF('Bulk Order Details'!T241="","","-"&amp;LOOKUP('Bulk Order Details'!T241,#REF!,#REF!))</f>
        <v/>
      </c>
      <c r="AK231" s="156" t="str">
        <f>IF('Bulk Order Details'!U241="","","-"&amp;LOOKUP('Bulk Order Details'!U241,#REF!,#REF!))</f>
        <v/>
      </c>
      <c r="AL231" s="156" t="str">
        <f>IF('Bulk Order Details'!V241="","","-"&amp;LOOKUP('Bulk Order Details'!V241,#REF!,#REF!))</f>
        <v/>
      </c>
      <c r="AM231" s="156" t="str">
        <f t="shared" si="17"/>
        <v/>
      </c>
      <c r="AN231" s="156" t="str">
        <f>IF('Bulk Order Details'!N241="","","Na-"&amp;'Bulk Order Details'!N241)</f>
        <v/>
      </c>
      <c r="AO231" s="156" t="str">
        <f>IF('Bulk Order Details'!Q241="","","Fo-"&amp;'Bulk Order Details'!Q241)</f>
        <v/>
      </c>
      <c r="AP231" s="156" t="str">
        <f t="shared" si="18"/>
        <v/>
      </c>
      <c r="AQ231" s="37" t="str">
        <f t="shared" si="19"/>
        <v/>
      </c>
    </row>
    <row r="232" spans="2:43" ht="15" customHeight="1" x14ac:dyDescent="0.2">
      <c r="B232" s="34">
        <f>'Bulk Order Details'!B242</f>
        <v>229</v>
      </c>
      <c r="C232" s="34" t="str">
        <f>IF('Bulk Order Details'!C242="","",'Bulk Order Details'!C242&amp;" "&amp;'Bulk Order Details'!D242)</f>
        <v/>
      </c>
      <c r="D232" s="31" t="str">
        <f>IF('Bulk Order Details'!M242="","",VLOOKUP(1,Price[],3))</f>
        <v/>
      </c>
      <c r="E232" s="29" t="str">
        <f>IF('Bulk Order Details'!M242="","",Summary!$D$9)</f>
        <v/>
      </c>
      <c r="F232" s="16" t="str">
        <f>IF('Bulk Order Details'!I242="","",_xlfn.XLOOKUP('Bulk Order Details'!I242,Size[Display],Size[Price]))</f>
        <v/>
      </c>
      <c r="G232" s="16" t="str">
        <f>IF('Bulk Order Details'!J242="","",_xlfn.XLOOKUP('Bulk Order Details'!J242,Length[Display],Length[Price]))</f>
        <v/>
      </c>
      <c r="H232" s="16" t="str">
        <f>IF('Bulk Order Details'!K242="","",_xlfn.XLOOKUP('Bulk Order Details'!K242,Collection[Display],Collection[Price]))</f>
        <v/>
      </c>
      <c r="I232" s="16" t="str">
        <f>IF('Bulk Order Details'!L242="","",_xlfn.XLOOKUP('Bulk Order Details'!L242,Sleeve[Display],Sleeve[Price]))</f>
        <v/>
      </c>
      <c r="J232" s="16" t="str">
        <f>IF('Bulk Order Details'!M242="","",_xlfn.XLOOKUP('Bulk Order Details'!M242,Collar[Display],Collar[Price]))</f>
        <v/>
      </c>
      <c r="K232" s="16" t="str">
        <f>IF('Bulk Order Details'!N242="","",_xlfn.XLOOKUP("Name",Name[Name],Name[Price]))</f>
        <v/>
      </c>
      <c r="L232" s="18" t="str">
        <f>IFERROR(IF('Bulk Order Details'!R242="","",IF(_xlfn.XLOOKUP('Bulk Order Details'!R242,Logos[Display],Logos[Use])="Flat",_xlfn.XLOOKUP('Bulk Order Details'!R242,Logos[Display],Logos[Flat]),ROUND(_xlfn.XLOOKUP('Bulk Order Details'!R242,Logos[Display],Logos[Pct])*$E232,2))),"")</f>
        <v/>
      </c>
      <c r="M232" s="22" t="str">
        <f>IFERROR(IF('Bulk Order Details'!S242="","",IF(_xlfn.XLOOKUP('Bulk Order Details'!S242,Chest[Display],Chest[Use])="Flat",_xlfn.XLOOKUP('Bulk Order Details'!S242,Chest[Display],Chest[Flat]),ROUND(_xlfn.XLOOKUP('Bulk Order Details'!S242,Chest[Display],Chest[Pct])*$E232,2))),"")</f>
        <v/>
      </c>
      <c r="N232" s="22" t="str">
        <f>IFERROR(IF('Bulk Order Details'!T242="","",IF(_xlfn.XLOOKUP('Bulk Order Details'!T242,Chest[Display],Chest[Use])="Flat",_xlfn.XLOOKUP('Bulk Order Details'!T242,Chest[Display],Chest[Flat]),ROUND(_xlfn.XLOOKUP('Bulk Order Details'!T242,Chest[Display],Chest[Pct])*$E232,2))),"")</f>
        <v/>
      </c>
      <c r="O232" s="22" t="str">
        <f>IFERROR(IF('Bulk Order Details'!U242="","",IF(_xlfn.XLOOKUP('Bulk Order Details'!U242,LeftSleeve[Display],LeftSleeve[Use])="Flat",_xlfn.XLOOKUP('Bulk Order Details'!U242,LeftSleeve[Display],LeftSleeve[Flat]),ROUND(_xlfn.XLOOKUP('Bulk Order Details'!U242,LeftSleeve[Display],LeftSleeve[Pct])*$E232,2))),"")</f>
        <v/>
      </c>
      <c r="P232" s="22" t="str">
        <f>IFERROR(IF('Bulk Order Details'!V242="","",IF(_xlfn.XLOOKUP('Bulk Order Details'!V242,RightSleeve[Display],RightSleeve[Use])="Flat",_xlfn.XLOOKUP('Bulk Order Details'!V242,RightSleeve[Display],RightSleeve[Flat]),ROUND(_xlfn.XLOOKUP('Bulk Order Details'!V242,RightSleeve[Display],RightSleeve[Pct])*$E232,2))),"")</f>
        <v/>
      </c>
      <c r="Q232" s="27" t="str">
        <f>IF('Bulk Order Details'!M242="","",SUM(F232:P232))</f>
        <v/>
      </c>
      <c r="R232" s="24" t="str">
        <f t="shared" si="16"/>
        <v/>
      </c>
      <c r="S232" s="23" t="str">
        <f>IFERROR(MIN(IF(Summary!$D$11="Yes",-J232,0),IF(H232&gt;0,-J232,0)),"")</f>
        <v/>
      </c>
      <c r="T232" s="16" t="str">
        <f>IFERROR(IF(Summary!$D$10="Yes",-K232,""),"")</f>
        <v/>
      </c>
      <c r="U232" s="18" t="str">
        <f>IFERROR(IF(Summary!$D$12="Yes",-L232,""),"")</f>
        <v/>
      </c>
      <c r="V232" s="25" t="str">
        <f>IF('Bulk Order Details'!M242="","",SUM(R232:U232))</f>
        <v/>
      </c>
      <c r="W232" s="36" t="str">
        <f>IF('Bulk Order Details'!M242="","",D232+Q232)</f>
        <v/>
      </c>
      <c r="X232" s="37" t="str">
        <f>IF('Bulk Order Details'!M242="","",D232+Q232+V232)</f>
        <v/>
      </c>
      <c r="Y232" s="168" t="str">
        <f t="shared" si="15"/>
        <v/>
      </c>
      <c r="Z232" s="173" t="str">
        <f>IF('Bulk Order Details'!M242="","",MAX(1,'Bulk Order Details'!G242))</f>
        <v/>
      </c>
      <c r="AA232" s="196" t="str">
        <f>IF(Pricing_Details[[#This Row],[Quantity]]="","",Pricing_Details[[#This Row],[Retail Price]]*Pricing_Details[[#This Row],[Quantity]])</f>
        <v/>
      </c>
      <c r="AB232" s="196" t="str">
        <f>IF(Pricing_Details[[#This Row],[Quantity]]="","",Pricing_Details[[#This Row],[Total Discount]]*Pricing_Details[[#This Row],[Quantity]])</f>
        <v/>
      </c>
      <c r="AC232" s="176" t="str">
        <f>IFERROR(ROUND(Pricing_Details[[#This Row],[Actual Price]]*Pricing_Details[[#This Row],[Quantity]],2),"")</f>
        <v/>
      </c>
      <c r="AE232" s="156" t="str">
        <f>IF('Bulk Order Details'!M242="","",VLOOKUP('Bulk Order Details'!K242,Collection[],3)&amp;VLOOKUP('Bulk Order Details'!M242,Collar[],4)&amp;VLOOKUP('Bulk Order Details'!L242,Sleeve[],4))</f>
        <v/>
      </c>
      <c r="AF232" s="156" t="str">
        <f>IF('Bulk Order Details'!M242="","",LOOKUP('Bulk Order Details'!H242,Cut[Display],Cut[Code])&amp;LOOKUP('Bulk Order Details'!I242,#REF!,#REF!)&amp;IF('Bulk Order Details'!J242="","",LOOKUP('Bulk Order Details'!J242,Length[Display],Length[Code])))</f>
        <v/>
      </c>
      <c r="AG232" s="156" t="str">
        <f>IF('Bulk Order Details'!M242="","",IF('Bulk Order Details'!F242="","",'Bulk Order Details'!F242))</f>
        <v/>
      </c>
      <c r="AH232" s="156" t="str">
        <f>IF('Bulk Order Details'!R242="","","-"&amp;LOOKUP('Bulk Order Details'!R242,#REF!,#REF!))</f>
        <v/>
      </c>
      <c r="AI232" s="156" t="str">
        <f>IF('Bulk Order Details'!S242="","","-"&amp;LOOKUP('Bulk Order Details'!S242,#REF!,#REF!))</f>
        <v/>
      </c>
      <c r="AJ232" s="156" t="str">
        <f>IF('Bulk Order Details'!T242="","","-"&amp;LOOKUP('Bulk Order Details'!T242,#REF!,#REF!))</f>
        <v/>
      </c>
      <c r="AK232" s="156" t="str">
        <f>IF('Bulk Order Details'!U242="","","-"&amp;LOOKUP('Bulk Order Details'!U242,#REF!,#REF!))</f>
        <v/>
      </c>
      <c r="AL232" s="156" t="str">
        <f>IF('Bulk Order Details'!V242="","","-"&amp;LOOKUP('Bulk Order Details'!V242,#REF!,#REF!))</f>
        <v/>
      </c>
      <c r="AM232" s="156" t="str">
        <f t="shared" si="17"/>
        <v/>
      </c>
      <c r="AN232" s="156" t="str">
        <f>IF('Bulk Order Details'!N242="","","Na-"&amp;'Bulk Order Details'!N242)</f>
        <v/>
      </c>
      <c r="AO232" s="156" t="str">
        <f>IF('Bulk Order Details'!Q242="","","Fo-"&amp;'Bulk Order Details'!Q242)</f>
        <v/>
      </c>
      <c r="AP232" s="156" t="str">
        <f t="shared" si="18"/>
        <v/>
      </c>
      <c r="AQ232" s="37" t="str">
        <f t="shared" si="19"/>
        <v/>
      </c>
    </row>
    <row r="233" spans="2:43" ht="15" customHeight="1" x14ac:dyDescent="0.2">
      <c r="B233" s="34">
        <f>'Bulk Order Details'!B243</f>
        <v>230</v>
      </c>
      <c r="C233" s="34" t="str">
        <f>IF('Bulk Order Details'!C243="","",'Bulk Order Details'!C243&amp;" "&amp;'Bulk Order Details'!D243)</f>
        <v/>
      </c>
      <c r="D233" s="31" t="str">
        <f>IF('Bulk Order Details'!M243="","",VLOOKUP(1,Price[],3))</f>
        <v/>
      </c>
      <c r="E233" s="29" t="str">
        <f>IF('Bulk Order Details'!M243="","",Summary!$D$9)</f>
        <v/>
      </c>
      <c r="F233" s="16" t="str">
        <f>IF('Bulk Order Details'!I243="","",_xlfn.XLOOKUP('Bulk Order Details'!I243,Size[Display],Size[Price]))</f>
        <v/>
      </c>
      <c r="G233" s="16" t="str">
        <f>IF('Bulk Order Details'!J243="","",_xlfn.XLOOKUP('Bulk Order Details'!J243,Length[Display],Length[Price]))</f>
        <v/>
      </c>
      <c r="H233" s="16" t="str">
        <f>IF('Bulk Order Details'!K243="","",_xlfn.XLOOKUP('Bulk Order Details'!K243,Collection[Display],Collection[Price]))</f>
        <v/>
      </c>
      <c r="I233" s="16" t="str">
        <f>IF('Bulk Order Details'!L243="","",_xlfn.XLOOKUP('Bulk Order Details'!L243,Sleeve[Display],Sleeve[Price]))</f>
        <v/>
      </c>
      <c r="J233" s="16" t="str">
        <f>IF('Bulk Order Details'!M243="","",_xlfn.XLOOKUP('Bulk Order Details'!M243,Collar[Display],Collar[Price]))</f>
        <v/>
      </c>
      <c r="K233" s="16" t="str">
        <f>IF('Bulk Order Details'!N243="","",_xlfn.XLOOKUP("Name",Name[Name],Name[Price]))</f>
        <v/>
      </c>
      <c r="L233" s="18" t="str">
        <f>IFERROR(IF('Bulk Order Details'!R243="","",IF(_xlfn.XLOOKUP('Bulk Order Details'!R243,Logos[Display],Logos[Use])="Flat",_xlfn.XLOOKUP('Bulk Order Details'!R243,Logos[Display],Logos[Flat]),ROUND(_xlfn.XLOOKUP('Bulk Order Details'!R243,Logos[Display],Logos[Pct])*$E233,2))),"")</f>
        <v/>
      </c>
      <c r="M233" s="22" t="str">
        <f>IFERROR(IF('Bulk Order Details'!S243="","",IF(_xlfn.XLOOKUP('Bulk Order Details'!S243,Chest[Display],Chest[Use])="Flat",_xlfn.XLOOKUP('Bulk Order Details'!S243,Chest[Display],Chest[Flat]),ROUND(_xlfn.XLOOKUP('Bulk Order Details'!S243,Chest[Display],Chest[Pct])*$E233,2))),"")</f>
        <v/>
      </c>
      <c r="N233" s="22" t="str">
        <f>IFERROR(IF('Bulk Order Details'!T243="","",IF(_xlfn.XLOOKUP('Bulk Order Details'!T243,Chest[Display],Chest[Use])="Flat",_xlfn.XLOOKUP('Bulk Order Details'!T243,Chest[Display],Chest[Flat]),ROUND(_xlfn.XLOOKUP('Bulk Order Details'!T243,Chest[Display],Chest[Pct])*$E233,2))),"")</f>
        <v/>
      </c>
      <c r="O233" s="22" t="str">
        <f>IFERROR(IF('Bulk Order Details'!U243="","",IF(_xlfn.XLOOKUP('Bulk Order Details'!U243,LeftSleeve[Display],LeftSleeve[Use])="Flat",_xlfn.XLOOKUP('Bulk Order Details'!U243,LeftSleeve[Display],LeftSleeve[Flat]),ROUND(_xlfn.XLOOKUP('Bulk Order Details'!U243,LeftSleeve[Display],LeftSleeve[Pct])*$E233,2))),"")</f>
        <v/>
      </c>
      <c r="P233" s="22" t="str">
        <f>IFERROR(IF('Bulk Order Details'!V243="","",IF(_xlfn.XLOOKUP('Bulk Order Details'!V243,RightSleeve[Display],RightSleeve[Use])="Flat",_xlfn.XLOOKUP('Bulk Order Details'!V243,RightSleeve[Display],RightSleeve[Flat]),ROUND(_xlfn.XLOOKUP('Bulk Order Details'!V243,RightSleeve[Display],RightSleeve[Pct])*$E233,2))),"")</f>
        <v/>
      </c>
      <c r="Q233" s="27" t="str">
        <f>IF('Bulk Order Details'!M243="","",SUM(F233:P233))</f>
        <v/>
      </c>
      <c r="R233" s="24" t="str">
        <f t="shared" si="16"/>
        <v/>
      </c>
      <c r="S233" s="23" t="str">
        <f>IFERROR(MIN(IF(Summary!$D$11="Yes",-J233,0),IF(H233&gt;0,-J233,0)),"")</f>
        <v/>
      </c>
      <c r="T233" s="16" t="str">
        <f>IFERROR(IF(Summary!$D$10="Yes",-K233,""),"")</f>
        <v/>
      </c>
      <c r="U233" s="18" t="str">
        <f>IFERROR(IF(Summary!$D$12="Yes",-L233,""),"")</f>
        <v/>
      </c>
      <c r="V233" s="25" t="str">
        <f>IF('Bulk Order Details'!M243="","",SUM(R233:U233))</f>
        <v/>
      </c>
      <c r="W233" s="36" t="str">
        <f>IF('Bulk Order Details'!M243="","",D233+Q233)</f>
        <v/>
      </c>
      <c r="X233" s="37" t="str">
        <f>IF('Bulk Order Details'!M243="","",D233+Q233+V233)</f>
        <v/>
      </c>
      <c r="Y233" s="168" t="str">
        <f t="shared" si="15"/>
        <v/>
      </c>
      <c r="Z233" s="173" t="str">
        <f>IF('Bulk Order Details'!M243="","",MAX(1,'Bulk Order Details'!G243))</f>
        <v/>
      </c>
      <c r="AA233" s="196" t="str">
        <f>IF(Pricing_Details[[#This Row],[Quantity]]="","",Pricing_Details[[#This Row],[Retail Price]]*Pricing_Details[[#This Row],[Quantity]])</f>
        <v/>
      </c>
      <c r="AB233" s="196" t="str">
        <f>IF(Pricing_Details[[#This Row],[Quantity]]="","",Pricing_Details[[#This Row],[Total Discount]]*Pricing_Details[[#This Row],[Quantity]])</f>
        <v/>
      </c>
      <c r="AC233" s="176" t="str">
        <f>IFERROR(ROUND(Pricing_Details[[#This Row],[Actual Price]]*Pricing_Details[[#This Row],[Quantity]],2),"")</f>
        <v/>
      </c>
      <c r="AE233" s="156" t="str">
        <f>IF('Bulk Order Details'!M243="","",VLOOKUP('Bulk Order Details'!K243,Collection[],3)&amp;VLOOKUP('Bulk Order Details'!M243,Collar[],4)&amp;VLOOKUP('Bulk Order Details'!L243,Sleeve[],4))</f>
        <v/>
      </c>
      <c r="AF233" s="156" t="str">
        <f>IF('Bulk Order Details'!M243="","",LOOKUP('Bulk Order Details'!H243,Cut[Display],Cut[Code])&amp;LOOKUP('Bulk Order Details'!I243,#REF!,#REF!)&amp;IF('Bulk Order Details'!J243="","",LOOKUP('Bulk Order Details'!J243,Length[Display],Length[Code])))</f>
        <v/>
      </c>
      <c r="AG233" s="156" t="str">
        <f>IF('Bulk Order Details'!M243="","",IF('Bulk Order Details'!F243="","",'Bulk Order Details'!F243))</f>
        <v/>
      </c>
      <c r="AH233" s="156" t="str">
        <f>IF('Bulk Order Details'!R243="","","-"&amp;LOOKUP('Bulk Order Details'!R243,#REF!,#REF!))</f>
        <v/>
      </c>
      <c r="AI233" s="156" t="str">
        <f>IF('Bulk Order Details'!S243="","","-"&amp;LOOKUP('Bulk Order Details'!S243,#REF!,#REF!))</f>
        <v/>
      </c>
      <c r="AJ233" s="156" t="str">
        <f>IF('Bulk Order Details'!T243="","","-"&amp;LOOKUP('Bulk Order Details'!T243,#REF!,#REF!))</f>
        <v/>
      </c>
      <c r="AK233" s="156" t="str">
        <f>IF('Bulk Order Details'!U243="","","-"&amp;LOOKUP('Bulk Order Details'!U243,#REF!,#REF!))</f>
        <v/>
      </c>
      <c r="AL233" s="156" t="str">
        <f>IF('Bulk Order Details'!V243="","","-"&amp;LOOKUP('Bulk Order Details'!V243,#REF!,#REF!))</f>
        <v/>
      </c>
      <c r="AM233" s="156" t="str">
        <f t="shared" si="17"/>
        <v/>
      </c>
      <c r="AN233" s="156" t="str">
        <f>IF('Bulk Order Details'!N243="","","Na-"&amp;'Bulk Order Details'!N243)</f>
        <v/>
      </c>
      <c r="AO233" s="156" t="str">
        <f>IF('Bulk Order Details'!Q243="","","Fo-"&amp;'Bulk Order Details'!Q243)</f>
        <v/>
      </c>
      <c r="AP233" s="156" t="str">
        <f t="shared" si="18"/>
        <v/>
      </c>
      <c r="AQ233" s="37" t="str">
        <f t="shared" si="19"/>
        <v/>
      </c>
    </row>
    <row r="234" spans="2:43" ht="15" customHeight="1" x14ac:dyDescent="0.2">
      <c r="B234" s="34">
        <f>'Bulk Order Details'!B244</f>
        <v>231</v>
      </c>
      <c r="C234" s="34" t="str">
        <f>IF('Bulk Order Details'!C244="","",'Bulk Order Details'!C244&amp;" "&amp;'Bulk Order Details'!D244)</f>
        <v/>
      </c>
      <c r="D234" s="31" t="str">
        <f>IF('Bulk Order Details'!M244="","",VLOOKUP(1,Price[],3))</f>
        <v/>
      </c>
      <c r="E234" s="29" t="str">
        <f>IF('Bulk Order Details'!M244="","",Summary!$D$9)</f>
        <v/>
      </c>
      <c r="F234" s="16" t="str">
        <f>IF('Bulk Order Details'!I244="","",_xlfn.XLOOKUP('Bulk Order Details'!I244,Size[Display],Size[Price]))</f>
        <v/>
      </c>
      <c r="G234" s="16" t="str">
        <f>IF('Bulk Order Details'!J244="","",_xlfn.XLOOKUP('Bulk Order Details'!J244,Length[Display],Length[Price]))</f>
        <v/>
      </c>
      <c r="H234" s="16" t="str">
        <f>IF('Bulk Order Details'!K244="","",_xlfn.XLOOKUP('Bulk Order Details'!K244,Collection[Display],Collection[Price]))</f>
        <v/>
      </c>
      <c r="I234" s="16" t="str">
        <f>IF('Bulk Order Details'!L244="","",_xlfn.XLOOKUP('Bulk Order Details'!L244,Sleeve[Display],Sleeve[Price]))</f>
        <v/>
      </c>
      <c r="J234" s="16" t="str">
        <f>IF('Bulk Order Details'!M244="","",_xlfn.XLOOKUP('Bulk Order Details'!M244,Collar[Display],Collar[Price]))</f>
        <v/>
      </c>
      <c r="K234" s="16" t="str">
        <f>IF('Bulk Order Details'!N244="","",_xlfn.XLOOKUP("Name",Name[Name],Name[Price]))</f>
        <v/>
      </c>
      <c r="L234" s="18" t="str">
        <f>IFERROR(IF('Bulk Order Details'!R244="","",IF(_xlfn.XLOOKUP('Bulk Order Details'!R244,Logos[Display],Logos[Use])="Flat",_xlfn.XLOOKUP('Bulk Order Details'!R244,Logos[Display],Logos[Flat]),ROUND(_xlfn.XLOOKUP('Bulk Order Details'!R244,Logos[Display],Logos[Pct])*$E234,2))),"")</f>
        <v/>
      </c>
      <c r="M234" s="22" t="str">
        <f>IFERROR(IF('Bulk Order Details'!S244="","",IF(_xlfn.XLOOKUP('Bulk Order Details'!S244,Chest[Display],Chest[Use])="Flat",_xlfn.XLOOKUP('Bulk Order Details'!S244,Chest[Display],Chest[Flat]),ROUND(_xlfn.XLOOKUP('Bulk Order Details'!S244,Chest[Display],Chest[Pct])*$E234,2))),"")</f>
        <v/>
      </c>
      <c r="N234" s="22" t="str">
        <f>IFERROR(IF('Bulk Order Details'!T244="","",IF(_xlfn.XLOOKUP('Bulk Order Details'!T244,Chest[Display],Chest[Use])="Flat",_xlfn.XLOOKUP('Bulk Order Details'!T244,Chest[Display],Chest[Flat]),ROUND(_xlfn.XLOOKUP('Bulk Order Details'!T244,Chest[Display],Chest[Pct])*$E234,2))),"")</f>
        <v/>
      </c>
      <c r="O234" s="22" t="str">
        <f>IFERROR(IF('Bulk Order Details'!U244="","",IF(_xlfn.XLOOKUP('Bulk Order Details'!U244,LeftSleeve[Display],LeftSleeve[Use])="Flat",_xlfn.XLOOKUP('Bulk Order Details'!U244,LeftSleeve[Display],LeftSleeve[Flat]),ROUND(_xlfn.XLOOKUP('Bulk Order Details'!U244,LeftSleeve[Display],LeftSleeve[Pct])*$E234,2))),"")</f>
        <v/>
      </c>
      <c r="P234" s="22" t="str">
        <f>IFERROR(IF('Bulk Order Details'!V244="","",IF(_xlfn.XLOOKUP('Bulk Order Details'!V244,RightSleeve[Display],RightSleeve[Use])="Flat",_xlfn.XLOOKUP('Bulk Order Details'!V244,RightSleeve[Display],RightSleeve[Flat]),ROUND(_xlfn.XLOOKUP('Bulk Order Details'!V244,RightSleeve[Display],RightSleeve[Pct])*$E234,2))),"")</f>
        <v/>
      </c>
      <c r="Q234" s="27" t="str">
        <f>IF('Bulk Order Details'!M244="","",SUM(F234:P234))</f>
        <v/>
      </c>
      <c r="R234" s="24" t="str">
        <f t="shared" si="16"/>
        <v/>
      </c>
      <c r="S234" s="23" t="str">
        <f>IFERROR(MIN(IF(Summary!$D$11="Yes",-J234,0),IF(H234&gt;0,-J234,0)),"")</f>
        <v/>
      </c>
      <c r="T234" s="16" t="str">
        <f>IFERROR(IF(Summary!$D$10="Yes",-K234,""),"")</f>
        <v/>
      </c>
      <c r="U234" s="18" t="str">
        <f>IFERROR(IF(Summary!$D$12="Yes",-L234,""),"")</f>
        <v/>
      </c>
      <c r="V234" s="25" t="str">
        <f>IF('Bulk Order Details'!M244="","",SUM(R234:U234))</f>
        <v/>
      </c>
      <c r="W234" s="36" t="str">
        <f>IF('Bulk Order Details'!M244="","",D234+Q234)</f>
        <v/>
      </c>
      <c r="X234" s="37" t="str">
        <f>IF('Bulk Order Details'!M244="","",D234+Q234+V234)</f>
        <v/>
      </c>
      <c r="Y234" s="168" t="str">
        <f t="shared" si="15"/>
        <v/>
      </c>
      <c r="Z234" s="173" t="str">
        <f>IF('Bulk Order Details'!M244="","",MAX(1,'Bulk Order Details'!G244))</f>
        <v/>
      </c>
      <c r="AA234" s="196" t="str">
        <f>IF(Pricing_Details[[#This Row],[Quantity]]="","",Pricing_Details[[#This Row],[Retail Price]]*Pricing_Details[[#This Row],[Quantity]])</f>
        <v/>
      </c>
      <c r="AB234" s="196" t="str">
        <f>IF(Pricing_Details[[#This Row],[Quantity]]="","",Pricing_Details[[#This Row],[Total Discount]]*Pricing_Details[[#This Row],[Quantity]])</f>
        <v/>
      </c>
      <c r="AC234" s="176" t="str">
        <f>IFERROR(ROUND(Pricing_Details[[#This Row],[Actual Price]]*Pricing_Details[[#This Row],[Quantity]],2),"")</f>
        <v/>
      </c>
      <c r="AE234" s="156" t="str">
        <f>IF('Bulk Order Details'!M244="","",VLOOKUP('Bulk Order Details'!K244,Collection[],3)&amp;VLOOKUP('Bulk Order Details'!M244,Collar[],4)&amp;VLOOKUP('Bulk Order Details'!L244,Sleeve[],4))</f>
        <v/>
      </c>
      <c r="AF234" s="156" t="str">
        <f>IF('Bulk Order Details'!M244="","",LOOKUP('Bulk Order Details'!H244,Cut[Display],Cut[Code])&amp;LOOKUP('Bulk Order Details'!I244,#REF!,#REF!)&amp;IF('Bulk Order Details'!J244="","",LOOKUP('Bulk Order Details'!J244,Length[Display],Length[Code])))</f>
        <v/>
      </c>
      <c r="AG234" s="156" t="str">
        <f>IF('Bulk Order Details'!M244="","",IF('Bulk Order Details'!F244="","",'Bulk Order Details'!F244))</f>
        <v/>
      </c>
      <c r="AH234" s="156" t="str">
        <f>IF('Bulk Order Details'!R244="","","-"&amp;LOOKUP('Bulk Order Details'!R244,#REF!,#REF!))</f>
        <v/>
      </c>
      <c r="AI234" s="156" t="str">
        <f>IF('Bulk Order Details'!S244="","","-"&amp;LOOKUP('Bulk Order Details'!S244,#REF!,#REF!))</f>
        <v/>
      </c>
      <c r="AJ234" s="156" t="str">
        <f>IF('Bulk Order Details'!T244="","","-"&amp;LOOKUP('Bulk Order Details'!T244,#REF!,#REF!))</f>
        <v/>
      </c>
      <c r="AK234" s="156" t="str">
        <f>IF('Bulk Order Details'!U244="","","-"&amp;LOOKUP('Bulk Order Details'!U244,#REF!,#REF!))</f>
        <v/>
      </c>
      <c r="AL234" s="156" t="str">
        <f>IF('Bulk Order Details'!V244="","","-"&amp;LOOKUP('Bulk Order Details'!V244,#REF!,#REF!))</f>
        <v/>
      </c>
      <c r="AM234" s="156" t="str">
        <f t="shared" si="17"/>
        <v/>
      </c>
      <c r="AN234" s="156" t="str">
        <f>IF('Bulk Order Details'!N244="","","Na-"&amp;'Bulk Order Details'!N244)</f>
        <v/>
      </c>
      <c r="AO234" s="156" t="str">
        <f>IF('Bulk Order Details'!Q244="","","Fo-"&amp;'Bulk Order Details'!Q244)</f>
        <v/>
      </c>
      <c r="AP234" s="156" t="str">
        <f t="shared" si="18"/>
        <v/>
      </c>
      <c r="AQ234" s="37" t="str">
        <f t="shared" si="19"/>
        <v/>
      </c>
    </row>
    <row r="235" spans="2:43" ht="15" customHeight="1" x14ac:dyDescent="0.2">
      <c r="B235" s="34">
        <f>'Bulk Order Details'!B245</f>
        <v>232</v>
      </c>
      <c r="C235" s="34" t="str">
        <f>IF('Bulk Order Details'!C245="","",'Bulk Order Details'!C245&amp;" "&amp;'Bulk Order Details'!D245)</f>
        <v/>
      </c>
      <c r="D235" s="31" t="str">
        <f>IF('Bulk Order Details'!M245="","",VLOOKUP(1,Price[],3))</f>
        <v/>
      </c>
      <c r="E235" s="29" t="str">
        <f>IF('Bulk Order Details'!M245="","",Summary!$D$9)</f>
        <v/>
      </c>
      <c r="F235" s="16" t="str">
        <f>IF('Bulk Order Details'!I245="","",_xlfn.XLOOKUP('Bulk Order Details'!I245,Size[Display],Size[Price]))</f>
        <v/>
      </c>
      <c r="G235" s="16" t="str">
        <f>IF('Bulk Order Details'!J245="","",_xlfn.XLOOKUP('Bulk Order Details'!J245,Length[Display],Length[Price]))</f>
        <v/>
      </c>
      <c r="H235" s="16" t="str">
        <f>IF('Bulk Order Details'!K245="","",_xlfn.XLOOKUP('Bulk Order Details'!K245,Collection[Display],Collection[Price]))</f>
        <v/>
      </c>
      <c r="I235" s="16" t="str">
        <f>IF('Bulk Order Details'!L245="","",_xlfn.XLOOKUP('Bulk Order Details'!L245,Sleeve[Display],Sleeve[Price]))</f>
        <v/>
      </c>
      <c r="J235" s="16" t="str">
        <f>IF('Bulk Order Details'!M245="","",_xlfn.XLOOKUP('Bulk Order Details'!M245,Collar[Display],Collar[Price]))</f>
        <v/>
      </c>
      <c r="K235" s="16" t="str">
        <f>IF('Bulk Order Details'!N245="","",_xlfn.XLOOKUP("Name",Name[Name],Name[Price]))</f>
        <v/>
      </c>
      <c r="L235" s="18" t="str">
        <f>IFERROR(IF('Bulk Order Details'!R245="","",IF(_xlfn.XLOOKUP('Bulk Order Details'!R245,Logos[Display],Logos[Use])="Flat",_xlfn.XLOOKUP('Bulk Order Details'!R245,Logos[Display],Logos[Flat]),ROUND(_xlfn.XLOOKUP('Bulk Order Details'!R245,Logos[Display],Logos[Pct])*$E235,2))),"")</f>
        <v/>
      </c>
      <c r="M235" s="22" t="str">
        <f>IFERROR(IF('Bulk Order Details'!S245="","",IF(_xlfn.XLOOKUP('Bulk Order Details'!S245,Chest[Display],Chest[Use])="Flat",_xlfn.XLOOKUP('Bulk Order Details'!S245,Chest[Display],Chest[Flat]),ROUND(_xlfn.XLOOKUP('Bulk Order Details'!S245,Chest[Display],Chest[Pct])*$E235,2))),"")</f>
        <v/>
      </c>
      <c r="N235" s="22" t="str">
        <f>IFERROR(IF('Bulk Order Details'!T245="","",IF(_xlfn.XLOOKUP('Bulk Order Details'!T245,Chest[Display],Chest[Use])="Flat",_xlfn.XLOOKUP('Bulk Order Details'!T245,Chest[Display],Chest[Flat]),ROUND(_xlfn.XLOOKUP('Bulk Order Details'!T245,Chest[Display],Chest[Pct])*$E235,2))),"")</f>
        <v/>
      </c>
      <c r="O235" s="22" t="str">
        <f>IFERROR(IF('Bulk Order Details'!U245="","",IF(_xlfn.XLOOKUP('Bulk Order Details'!U245,LeftSleeve[Display],LeftSleeve[Use])="Flat",_xlfn.XLOOKUP('Bulk Order Details'!U245,LeftSleeve[Display],LeftSleeve[Flat]),ROUND(_xlfn.XLOOKUP('Bulk Order Details'!U245,LeftSleeve[Display],LeftSleeve[Pct])*$E235,2))),"")</f>
        <v/>
      </c>
      <c r="P235" s="22" t="str">
        <f>IFERROR(IF('Bulk Order Details'!V245="","",IF(_xlfn.XLOOKUP('Bulk Order Details'!V245,RightSleeve[Display],RightSleeve[Use])="Flat",_xlfn.XLOOKUP('Bulk Order Details'!V245,RightSleeve[Display],RightSleeve[Flat]),ROUND(_xlfn.XLOOKUP('Bulk Order Details'!V245,RightSleeve[Display],RightSleeve[Pct])*$E235,2))),"")</f>
        <v/>
      </c>
      <c r="Q235" s="27" t="str">
        <f>IF('Bulk Order Details'!M245="","",SUM(F235:P235))</f>
        <v/>
      </c>
      <c r="R235" s="24" t="str">
        <f t="shared" si="16"/>
        <v/>
      </c>
      <c r="S235" s="23" t="str">
        <f>IFERROR(MIN(IF(Summary!$D$11="Yes",-J235,0),IF(H235&gt;0,-J235,0)),"")</f>
        <v/>
      </c>
      <c r="T235" s="16" t="str">
        <f>IFERROR(IF(Summary!$D$10="Yes",-K235,""),"")</f>
        <v/>
      </c>
      <c r="U235" s="18" t="str">
        <f>IFERROR(IF(Summary!$D$12="Yes",-L235,""),"")</f>
        <v/>
      </c>
      <c r="V235" s="25" t="str">
        <f>IF('Bulk Order Details'!M245="","",SUM(R235:U235))</f>
        <v/>
      </c>
      <c r="W235" s="36" t="str">
        <f>IF('Bulk Order Details'!M245="","",D235+Q235)</f>
        <v/>
      </c>
      <c r="X235" s="37" t="str">
        <f>IF('Bulk Order Details'!M245="","",D235+Q235+V235)</f>
        <v/>
      </c>
      <c r="Y235" s="168" t="str">
        <f t="shared" si="15"/>
        <v/>
      </c>
      <c r="Z235" s="173" t="str">
        <f>IF('Bulk Order Details'!M245="","",MAX(1,'Bulk Order Details'!G245))</f>
        <v/>
      </c>
      <c r="AA235" s="196" t="str">
        <f>IF(Pricing_Details[[#This Row],[Quantity]]="","",Pricing_Details[[#This Row],[Retail Price]]*Pricing_Details[[#This Row],[Quantity]])</f>
        <v/>
      </c>
      <c r="AB235" s="196" t="str">
        <f>IF(Pricing_Details[[#This Row],[Quantity]]="","",Pricing_Details[[#This Row],[Total Discount]]*Pricing_Details[[#This Row],[Quantity]])</f>
        <v/>
      </c>
      <c r="AC235" s="176" t="str">
        <f>IFERROR(ROUND(Pricing_Details[[#This Row],[Actual Price]]*Pricing_Details[[#This Row],[Quantity]],2),"")</f>
        <v/>
      </c>
      <c r="AE235" s="156" t="str">
        <f>IF('Bulk Order Details'!M245="","",VLOOKUP('Bulk Order Details'!K245,Collection[],3)&amp;VLOOKUP('Bulk Order Details'!M245,Collar[],4)&amp;VLOOKUP('Bulk Order Details'!L245,Sleeve[],4))</f>
        <v/>
      </c>
      <c r="AF235" s="156" t="str">
        <f>IF('Bulk Order Details'!M245="","",LOOKUP('Bulk Order Details'!H245,Cut[Display],Cut[Code])&amp;LOOKUP('Bulk Order Details'!I245,#REF!,#REF!)&amp;IF('Bulk Order Details'!J245="","",LOOKUP('Bulk Order Details'!J245,Length[Display],Length[Code])))</f>
        <v/>
      </c>
      <c r="AG235" s="156" t="str">
        <f>IF('Bulk Order Details'!M245="","",IF('Bulk Order Details'!F245="","",'Bulk Order Details'!F245))</f>
        <v/>
      </c>
      <c r="AH235" s="156" t="str">
        <f>IF('Bulk Order Details'!R245="","","-"&amp;LOOKUP('Bulk Order Details'!R245,#REF!,#REF!))</f>
        <v/>
      </c>
      <c r="AI235" s="156" t="str">
        <f>IF('Bulk Order Details'!S245="","","-"&amp;LOOKUP('Bulk Order Details'!S245,#REF!,#REF!))</f>
        <v/>
      </c>
      <c r="AJ235" s="156" t="str">
        <f>IF('Bulk Order Details'!T245="","","-"&amp;LOOKUP('Bulk Order Details'!T245,#REF!,#REF!))</f>
        <v/>
      </c>
      <c r="AK235" s="156" t="str">
        <f>IF('Bulk Order Details'!U245="","","-"&amp;LOOKUP('Bulk Order Details'!U245,#REF!,#REF!))</f>
        <v/>
      </c>
      <c r="AL235" s="156" t="str">
        <f>IF('Bulk Order Details'!V245="","","-"&amp;LOOKUP('Bulk Order Details'!V245,#REF!,#REF!))</f>
        <v/>
      </c>
      <c r="AM235" s="156" t="str">
        <f t="shared" si="17"/>
        <v/>
      </c>
      <c r="AN235" s="156" t="str">
        <f>IF('Bulk Order Details'!N245="","","Na-"&amp;'Bulk Order Details'!N245)</f>
        <v/>
      </c>
      <c r="AO235" s="156" t="str">
        <f>IF('Bulk Order Details'!Q245="","","Fo-"&amp;'Bulk Order Details'!Q245)</f>
        <v/>
      </c>
      <c r="AP235" s="156" t="str">
        <f t="shared" si="18"/>
        <v/>
      </c>
      <c r="AQ235" s="37" t="str">
        <f t="shared" si="19"/>
        <v/>
      </c>
    </row>
    <row r="236" spans="2:43" ht="15" customHeight="1" x14ac:dyDescent="0.2">
      <c r="B236" s="34">
        <f>'Bulk Order Details'!B246</f>
        <v>233</v>
      </c>
      <c r="C236" s="34" t="str">
        <f>IF('Bulk Order Details'!C246="","",'Bulk Order Details'!C246&amp;" "&amp;'Bulk Order Details'!D246)</f>
        <v/>
      </c>
      <c r="D236" s="31" t="str">
        <f>IF('Bulk Order Details'!M246="","",VLOOKUP(1,Price[],3))</f>
        <v/>
      </c>
      <c r="E236" s="29" t="str">
        <f>IF('Bulk Order Details'!M246="","",Summary!$D$9)</f>
        <v/>
      </c>
      <c r="F236" s="16" t="str">
        <f>IF('Bulk Order Details'!I246="","",_xlfn.XLOOKUP('Bulk Order Details'!I246,Size[Display],Size[Price]))</f>
        <v/>
      </c>
      <c r="G236" s="16" t="str">
        <f>IF('Bulk Order Details'!J246="","",_xlfn.XLOOKUP('Bulk Order Details'!J246,Length[Display],Length[Price]))</f>
        <v/>
      </c>
      <c r="H236" s="16" t="str">
        <f>IF('Bulk Order Details'!K246="","",_xlfn.XLOOKUP('Bulk Order Details'!K246,Collection[Display],Collection[Price]))</f>
        <v/>
      </c>
      <c r="I236" s="16" t="str">
        <f>IF('Bulk Order Details'!L246="","",_xlfn.XLOOKUP('Bulk Order Details'!L246,Sleeve[Display],Sleeve[Price]))</f>
        <v/>
      </c>
      <c r="J236" s="16" t="str">
        <f>IF('Bulk Order Details'!M246="","",_xlfn.XLOOKUP('Bulk Order Details'!M246,Collar[Display],Collar[Price]))</f>
        <v/>
      </c>
      <c r="K236" s="16" t="str">
        <f>IF('Bulk Order Details'!N246="","",_xlfn.XLOOKUP("Name",Name[Name],Name[Price]))</f>
        <v/>
      </c>
      <c r="L236" s="18" t="str">
        <f>IFERROR(IF('Bulk Order Details'!R246="","",IF(_xlfn.XLOOKUP('Bulk Order Details'!R246,Logos[Display],Logos[Use])="Flat",_xlfn.XLOOKUP('Bulk Order Details'!R246,Logos[Display],Logos[Flat]),ROUND(_xlfn.XLOOKUP('Bulk Order Details'!R246,Logos[Display],Logos[Pct])*$E236,2))),"")</f>
        <v/>
      </c>
      <c r="M236" s="22" t="str">
        <f>IFERROR(IF('Bulk Order Details'!S246="","",IF(_xlfn.XLOOKUP('Bulk Order Details'!S246,Chest[Display],Chest[Use])="Flat",_xlfn.XLOOKUP('Bulk Order Details'!S246,Chest[Display],Chest[Flat]),ROUND(_xlfn.XLOOKUP('Bulk Order Details'!S246,Chest[Display],Chest[Pct])*$E236,2))),"")</f>
        <v/>
      </c>
      <c r="N236" s="22" t="str">
        <f>IFERROR(IF('Bulk Order Details'!T246="","",IF(_xlfn.XLOOKUP('Bulk Order Details'!T246,Chest[Display],Chest[Use])="Flat",_xlfn.XLOOKUP('Bulk Order Details'!T246,Chest[Display],Chest[Flat]),ROUND(_xlfn.XLOOKUP('Bulk Order Details'!T246,Chest[Display],Chest[Pct])*$E236,2))),"")</f>
        <v/>
      </c>
      <c r="O236" s="22" t="str">
        <f>IFERROR(IF('Bulk Order Details'!U246="","",IF(_xlfn.XLOOKUP('Bulk Order Details'!U246,LeftSleeve[Display],LeftSleeve[Use])="Flat",_xlfn.XLOOKUP('Bulk Order Details'!U246,LeftSleeve[Display],LeftSleeve[Flat]),ROUND(_xlfn.XLOOKUP('Bulk Order Details'!U246,LeftSleeve[Display],LeftSleeve[Pct])*$E236,2))),"")</f>
        <v/>
      </c>
      <c r="P236" s="22" t="str">
        <f>IFERROR(IF('Bulk Order Details'!V246="","",IF(_xlfn.XLOOKUP('Bulk Order Details'!V246,RightSleeve[Display],RightSleeve[Use])="Flat",_xlfn.XLOOKUP('Bulk Order Details'!V246,RightSleeve[Display],RightSleeve[Flat]),ROUND(_xlfn.XLOOKUP('Bulk Order Details'!V246,RightSleeve[Display],RightSleeve[Pct])*$E236,2))),"")</f>
        <v/>
      </c>
      <c r="Q236" s="27" t="str">
        <f>IF('Bulk Order Details'!M246="","",SUM(F236:P236))</f>
        <v/>
      </c>
      <c r="R236" s="24" t="str">
        <f t="shared" si="16"/>
        <v/>
      </c>
      <c r="S236" s="23" t="str">
        <f>IFERROR(MIN(IF(Summary!$D$11="Yes",-J236,0),IF(H236&gt;0,-J236,0)),"")</f>
        <v/>
      </c>
      <c r="T236" s="16" t="str">
        <f>IFERROR(IF(Summary!$D$10="Yes",-K236,""),"")</f>
        <v/>
      </c>
      <c r="U236" s="18" t="str">
        <f>IFERROR(IF(Summary!$D$12="Yes",-L236,""),"")</f>
        <v/>
      </c>
      <c r="V236" s="25" t="str">
        <f>IF('Bulk Order Details'!M246="","",SUM(R236:U236))</f>
        <v/>
      </c>
      <c r="W236" s="36" t="str">
        <f>IF('Bulk Order Details'!M246="","",D236+Q236)</f>
        <v/>
      </c>
      <c r="X236" s="37" t="str">
        <f>IF('Bulk Order Details'!M246="","",D236+Q236+V236)</f>
        <v/>
      </c>
      <c r="Y236" s="168" t="str">
        <f t="shared" si="15"/>
        <v/>
      </c>
      <c r="Z236" s="173" t="str">
        <f>IF('Bulk Order Details'!M246="","",MAX(1,'Bulk Order Details'!G246))</f>
        <v/>
      </c>
      <c r="AA236" s="196" t="str">
        <f>IF(Pricing_Details[[#This Row],[Quantity]]="","",Pricing_Details[[#This Row],[Retail Price]]*Pricing_Details[[#This Row],[Quantity]])</f>
        <v/>
      </c>
      <c r="AB236" s="196" t="str">
        <f>IF(Pricing_Details[[#This Row],[Quantity]]="","",Pricing_Details[[#This Row],[Total Discount]]*Pricing_Details[[#This Row],[Quantity]])</f>
        <v/>
      </c>
      <c r="AC236" s="176" t="str">
        <f>IFERROR(ROUND(Pricing_Details[[#This Row],[Actual Price]]*Pricing_Details[[#This Row],[Quantity]],2),"")</f>
        <v/>
      </c>
      <c r="AE236" s="156" t="str">
        <f>IF('Bulk Order Details'!M246="","",VLOOKUP('Bulk Order Details'!K246,Collection[],3)&amp;VLOOKUP('Bulk Order Details'!M246,Collar[],4)&amp;VLOOKUP('Bulk Order Details'!L246,Sleeve[],4))</f>
        <v/>
      </c>
      <c r="AF236" s="156" t="str">
        <f>IF('Bulk Order Details'!M246="","",LOOKUP('Bulk Order Details'!H246,Cut[Display],Cut[Code])&amp;LOOKUP('Bulk Order Details'!I246,#REF!,#REF!)&amp;IF('Bulk Order Details'!J246="","",LOOKUP('Bulk Order Details'!J246,Length[Display],Length[Code])))</f>
        <v/>
      </c>
      <c r="AG236" s="156" t="str">
        <f>IF('Bulk Order Details'!M246="","",IF('Bulk Order Details'!F246="","",'Bulk Order Details'!F246))</f>
        <v/>
      </c>
      <c r="AH236" s="156" t="str">
        <f>IF('Bulk Order Details'!R246="","","-"&amp;LOOKUP('Bulk Order Details'!R246,#REF!,#REF!))</f>
        <v/>
      </c>
      <c r="AI236" s="156" t="str">
        <f>IF('Bulk Order Details'!S246="","","-"&amp;LOOKUP('Bulk Order Details'!S246,#REF!,#REF!))</f>
        <v/>
      </c>
      <c r="AJ236" s="156" t="str">
        <f>IF('Bulk Order Details'!T246="","","-"&amp;LOOKUP('Bulk Order Details'!T246,#REF!,#REF!))</f>
        <v/>
      </c>
      <c r="AK236" s="156" t="str">
        <f>IF('Bulk Order Details'!U246="","","-"&amp;LOOKUP('Bulk Order Details'!U246,#REF!,#REF!))</f>
        <v/>
      </c>
      <c r="AL236" s="156" t="str">
        <f>IF('Bulk Order Details'!V246="","","-"&amp;LOOKUP('Bulk Order Details'!V246,#REF!,#REF!))</f>
        <v/>
      </c>
      <c r="AM236" s="156" t="str">
        <f t="shared" si="17"/>
        <v/>
      </c>
      <c r="AN236" s="156" t="str">
        <f>IF('Bulk Order Details'!N246="","","Na-"&amp;'Bulk Order Details'!N246)</f>
        <v/>
      </c>
      <c r="AO236" s="156" t="str">
        <f>IF('Bulk Order Details'!Q246="","","Fo-"&amp;'Bulk Order Details'!Q246)</f>
        <v/>
      </c>
      <c r="AP236" s="156" t="str">
        <f t="shared" si="18"/>
        <v/>
      </c>
      <c r="AQ236" s="37" t="str">
        <f t="shared" si="19"/>
        <v/>
      </c>
    </row>
    <row r="237" spans="2:43" ht="15" customHeight="1" x14ac:dyDescent="0.2">
      <c r="B237" s="34">
        <f>'Bulk Order Details'!B247</f>
        <v>234</v>
      </c>
      <c r="C237" s="34" t="str">
        <f>IF('Bulk Order Details'!C247="","",'Bulk Order Details'!C247&amp;" "&amp;'Bulk Order Details'!D247)</f>
        <v/>
      </c>
      <c r="D237" s="31" t="str">
        <f>IF('Bulk Order Details'!M247="","",VLOOKUP(1,Price[],3))</f>
        <v/>
      </c>
      <c r="E237" s="29" t="str">
        <f>IF('Bulk Order Details'!M247="","",Summary!$D$9)</f>
        <v/>
      </c>
      <c r="F237" s="16" t="str">
        <f>IF('Bulk Order Details'!I247="","",_xlfn.XLOOKUP('Bulk Order Details'!I247,Size[Display],Size[Price]))</f>
        <v/>
      </c>
      <c r="G237" s="16" t="str">
        <f>IF('Bulk Order Details'!J247="","",_xlfn.XLOOKUP('Bulk Order Details'!J247,Length[Display],Length[Price]))</f>
        <v/>
      </c>
      <c r="H237" s="16" t="str">
        <f>IF('Bulk Order Details'!K247="","",_xlfn.XLOOKUP('Bulk Order Details'!K247,Collection[Display],Collection[Price]))</f>
        <v/>
      </c>
      <c r="I237" s="16" t="str">
        <f>IF('Bulk Order Details'!L247="","",_xlfn.XLOOKUP('Bulk Order Details'!L247,Sleeve[Display],Sleeve[Price]))</f>
        <v/>
      </c>
      <c r="J237" s="16" t="str">
        <f>IF('Bulk Order Details'!M247="","",_xlfn.XLOOKUP('Bulk Order Details'!M247,Collar[Display],Collar[Price]))</f>
        <v/>
      </c>
      <c r="K237" s="16" t="str">
        <f>IF('Bulk Order Details'!N247="","",_xlfn.XLOOKUP("Name",Name[Name],Name[Price]))</f>
        <v/>
      </c>
      <c r="L237" s="18" t="str">
        <f>IFERROR(IF('Bulk Order Details'!R247="","",IF(_xlfn.XLOOKUP('Bulk Order Details'!R247,Logos[Display],Logos[Use])="Flat",_xlfn.XLOOKUP('Bulk Order Details'!R247,Logos[Display],Logos[Flat]),ROUND(_xlfn.XLOOKUP('Bulk Order Details'!R247,Logos[Display],Logos[Pct])*$E237,2))),"")</f>
        <v/>
      </c>
      <c r="M237" s="22" t="str">
        <f>IFERROR(IF('Bulk Order Details'!S247="","",IF(_xlfn.XLOOKUP('Bulk Order Details'!S247,Chest[Display],Chest[Use])="Flat",_xlfn.XLOOKUP('Bulk Order Details'!S247,Chest[Display],Chest[Flat]),ROUND(_xlfn.XLOOKUP('Bulk Order Details'!S247,Chest[Display],Chest[Pct])*$E237,2))),"")</f>
        <v/>
      </c>
      <c r="N237" s="22" t="str">
        <f>IFERROR(IF('Bulk Order Details'!T247="","",IF(_xlfn.XLOOKUP('Bulk Order Details'!T247,Chest[Display],Chest[Use])="Flat",_xlfn.XLOOKUP('Bulk Order Details'!T247,Chest[Display],Chest[Flat]),ROUND(_xlfn.XLOOKUP('Bulk Order Details'!T247,Chest[Display],Chest[Pct])*$E237,2))),"")</f>
        <v/>
      </c>
      <c r="O237" s="22" t="str">
        <f>IFERROR(IF('Bulk Order Details'!U247="","",IF(_xlfn.XLOOKUP('Bulk Order Details'!U247,LeftSleeve[Display],LeftSleeve[Use])="Flat",_xlfn.XLOOKUP('Bulk Order Details'!U247,LeftSleeve[Display],LeftSleeve[Flat]),ROUND(_xlfn.XLOOKUP('Bulk Order Details'!U247,LeftSleeve[Display],LeftSleeve[Pct])*$E237,2))),"")</f>
        <v/>
      </c>
      <c r="P237" s="22" t="str">
        <f>IFERROR(IF('Bulk Order Details'!V247="","",IF(_xlfn.XLOOKUP('Bulk Order Details'!V247,RightSleeve[Display],RightSleeve[Use])="Flat",_xlfn.XLOOKUP('Bulk Order Details'!V247,RightSleeve[Display],RightSleeve[Flat]),ROUND(_xlfn.XLOOKUP('Bulk Order Details'!V247,RightSleeve[Display],RightSleeve[Pct])*$E237,2))),"")</f>
        <v/>
      </c>
      <c r="Q237" s="27" t="str">
        <f>IF('Bulk Order Details'!M247="","",SUM(F237:P237))</f>
        <v/>
      </c>
      <c r="R237" s="24" t="str">
        <f t="shared" si="16"/>
        <v/>
      </c>
      <c r="S237" s="23" t="str">
        <f>IFERROR(MIN(IF(Summary!$D$11="Yes",-J237,0),IF(H237&gt;0,-J237,0)),"")</f>
        <v/>
      </c>
      <c r="T237" s="16" t="str">
        <f>IFERROR(IF(Summary!$D$10="Yes",-K237,""),"")</f>
        <v/>
      </c>
      <c r="U237" s="18" t="str">
        <f>IFERROR(IF(Summary!$D$12="Yes",-L237,""),"")</f>
        <v/>
      </c>
      <c r="V237" s="25" t="str">
        <f>IF('Bulk Order Details'!M247="","",SUM(R237:U237))</f>
        <v/>
      </c>
      <c r="W237" s="36" t="str">
        <f>IF('Bulk Order Details'!M247="","",D237+Q237)</f>
        <v/>
      </c>
      <c r="X237" s="37" t="str">
        <f>IF('Bulk Order Details'!M247="","",D237+Q237+V237)</f>
        <v/>
      </c>
      <c r="Y237" s="168" t="str">
        <f t="shared" si="15"/>
        <v/>
      </c>
      <c r="Z237" s="173" t="str">
        <f>IF('Bulk Order Details'!M247="","",MAX(1,'Bulk Order Details'!G247))</f>
        <v/>
      </c>
      <c r="AA237" s="196" t="str">
        <f>IF(Pricing_Details[[#This Row],[Quantity]]="","",Pricing_Details[[#This Row],[Retail Price]]*Pricing_Details[[#This Row],[Quantity]])</f>
        <v/>
      </c>
      <c r="AB237" s="196" t="str">
        <f>IF(Pricing_Details[[#This Row],[Quantity]]="","",Pricing_Details[[#This Row],[Total Discount]]*Pricing_Details[[#This Row],[Quantity]])</f>
        <v/>
      </c>
      <c r="AC237" s="176" t="str">
        <f>IFERROR(ROUND(Pricing_Details[[#This Row],[Actual Price]]*Pricing_Details[[#This Row],[Quantity]],2),"")</f>
        <v/>
      </c>
      <c r="AE237" s="156" t="str">
        <f>IF('Bulk Order Details'!M247="","",VLOOKUP('Bulk Order Details'!K247,Collection[],3)&amp;VLOOKUP('Bulk Order Details'!M247,Collar[],4)&amp;VLOOKUP('Bulk Order Details'!L247,Sleeve[],4))</f>
        <v/>
      </c>
      <c r="AF237" s="156" t="str">
        <f>IF('Bulk Order Details'!M247="","",LOOKUP('Bulk Order Details'!H247,Cut[Display],Cut[Code])&amp;LOOKUP('Bulk Order Details'!I247,#REF!,#REF!)&amp;IF('Bulk Order Details'!J247="","",LOOKUP('Bulk Order Details'!J247,Length[Display],Length[Code])))</f>
        <v/>
      </c>
      <c r="AG237" s="156" t="str">
        <f>IF('Bulk Order Details'!M247="","",IF('Bulk Order Details'!F247="","",'Bulk Order Details'!F247))</f>
        <v/>
      </c>
      <c r="AH237" s="156" t="str">
        <f>IF('Bulk Order Details'!R247="","","-"&amp;LOOKUP('Bulk Order Details'!R247,#REF!,#REF!))</f>
        <v/>
      </c>
      <c r="AI237" s="156" t="str">
        <f>IF('Bulk Order Details'!S247="","","-"&amp;LOOKUP('Bulk Order Details'!S247,#REF!,#REF!))</f>
        <v/>
      </c>
      <c r="AJ237" s="156" t="str">
        <f>IF('Bulk Order Details'!T247="","","-"&amp;LOOKUP('Bulk Order Details'!T247,#REF!,#REF!))</f>
        <v/>
      </c>
      <c r="AK237" s="156" t="str">
        <f>IF('Bulk Order Details'!U247="","","-"&amp;LOOKUP('Bulk Order Details'!U247,#REF!,#REF!))</f>
        <v/>
      </c>
      <c r="AL237" s="156" t="str">
        <f>IF('Bulk Order Details'!V247="","","-"&amp;LOOKUP('Bulk Order Details'!V247,#REF!,#REF!))</f>
        <v/>
      </c>
      <c r="AM237" s="156" t="str">
        <f t="shared" si="17"/>
        <v/>
      </c>
      <c r="AN237" s="156" t="str">
        <f>IF('Bulk Order Details'!N247="","","Na-"&amp;'Bulk Order Details'!N247)</f>
        <v/>
      </c>
      <c r="AO237" s="156" t="str">
        <f>IF('Bulk Order Details'!Q247="","","Fo-"&amp;'Bulk Order Details'!Q247)</f>
        <v/>
      </c>
      <c r="AP237" s="156" t="str">
        <f t="shared" si="18"/>
        <v/>
      </c>
      <c r="AQ237" s="37" t="str">
        <f t="shared" si="19"/>
        <v/>
      </c>
    </row>
    <row r="238" spans="2:43" ht="15" customHeight="1" x14ac:dyDescent="0.2">
      <c r="B238" s="34">
        <f>'Bulk Order Details'!B248</f>
        <v>235</v>
      </c>
      <c r="C238" s="34" t="str">
        <f>IF('Bulk Order Details'!C248="","",'Bulk Order Details'!C248&amp;" "&amp;'Bulk Order Details'!D248)</f>
        <v/>
      </c>
      <c r="D238" s="31" t="str">
        <f>IF('Bulk Order Details'!M248="","",VLOOKUP(1,Price[],3))</f>
        <v/>
      </c>
      <c r="E238" s="29" t="str">
        <f>IF('Bulk Order Details'!M248="","",Summary!$D$9)</f>
        <v/>
      </c>
      <c r="F238" s="16" t="str">
        <f>IF('Bulk Order Details'!I248="","",_xlfn.XLOOKUP('Bulk Order Details'!I248,Size[Display],Size[Price]))</f>
        <v/>
      </c>
      <c r="G238" s="16" t="str">
        <f>IF('Bulk Order Details'!J248="","",_xlfn.XLOOKUP('Bulk Order Details'!J248,Length[Display],Length[Price]))</f>
        <v/>
      </c>
      <c r="H238" s="16" t="str">
        <f>IF('Bulk Order Details'!K248="","",_xlfn.XLOOKUP('Bulk Order Details'!K248,Collection[Display],Collection[Price]))</f>
        <v/>
      </c>
      <c r="I238" s="16" t="str">
        <f>IF('Bulk Order Details'!L248="","",_xlfn.XLOOKUP('Bulk Order Details'!L248,Sleeve[Display],Sleeve[Price]))</f>
        <v/>
      </c>
      <c r="J238" s="16" t="str">
        <f>IF('Bulk Order Details'!M248="","",_xlfn.XLOOKUP('Bulk Order Details'!M248,Collar[Display],Collar[Price]))</f>
        <v/>
      </c>
      <c r="K238" s="16" t="str">
        <f>IF('Bulk Order Details'!N248="","",_xlfn.XLOOKUP("Name",Name[Name],Name[Price]))</f>
        <v/>
      </c>
      <c r="L238" s="18" t="str">
        <f>IFERROR(IF('Bulk Order Details'!R248="","",IF(_xlfn.XLOOKUP('Bulk Order Details'!R248,Logos[Display],Logos[Use])="Flat",_xlfn.XLOOKUP('Bulk Order Details'!R248,Logos[Display],Logos[Flat]),ROUND(_xlfn.XLOOKUP('Bulk Order Details'!R248,Logos[Display],Logos[Pct])*$E238,2))),"")</f>
        <v/>
      </c>
      <c r="M238" s="22" t="str">
        <f>IFERROR(IF('Bulk Order Details'!S248="","",IF(_xlfn.XLOOKUP('Bulk Order Details'!S248,Chest[Display],Chest[Use])="Flat",_xlfn.XLOOKUP('Bulk Order Details'!S248,Chest[Display],Chest[Flat]),ROUND(_xlfn.XLOOKUP('Bulk Order Details'!S248,Chest[Display],Chest[Pct])*$E238,2))),"")</f>
        <v/>
      </c>
      <c r="N238" s="22" t="str">
        <f>IFERROR(IF('Bulk Order Details'!T248="","",IF(_xlfn.XLOOKUP('Bulk Order Details'!T248,Chest[Display],Chest[Use])="Flat",_xlfn.XLOOKUP('Bulk Order Details'!T248,Chest[Display],Chest[Flat]),ROUND(_xlfn.XLOOKUP('Bulk Order Details'!T248,Chest[Display],Chest[Pct])*$E238,2))),"")</f>
        <v/>
      </c>
      <c r="O238" s="22" t="str">
        <f>IFERROR(IF('Bulk Order Details'!U248="","",IF(_xlfn.XLOOKUP('Bulk Order Details'!U248,LeftSleeve[Display],LeftSleeve[Use])="Flat",_xlfn.XLOOKUP('Bulk Order Details'!U248,LeftSleeve[Display],LeftSleeve[Flat]),ROUND(_xlfn.XLOOKUP('Bulk Order Details'!U248,LeftSleeve[Display],LeftSleeve[Pct])*$E238,2))),"")</f>
        <v/>
      </c>
      <c r="P238" s="22" t="str">
        <f>IFERROR(IF('Bulk Order Details'!V248="","",IF(_xlfn.XLOOKUP('Bulk Order Details'!V248,RightSleeve[Display],RightSleeve[Use])="Flat",_xlfn.XLOOKUP('Bulk Order Details'!V248,RightSleeve[Display],RightSleeve[Flat]),ROUND(_xlfn.XLOOKUP('Bulk Order Details'!V248,RightSleeve[Display],RightSleeve[Pct])*$E238,2))),"")</f>
        <v/>
      </c>
      <c r="Q238" s="27" t="str">
        <f>IF('Bulk Order Details'!M248="","",SUM(F238:P238))</f>
        <v/>
      </c>
      <c r="R238" s="24" t="str">
        <f t="shared" si="16"/>
        <v/>
      </c>
      <c r="S238" s="23" t="str">
        <f>IFERROR(MIN(IF(Summary!$D$11="Yes",-J238,0),IF(H238&gt;0,-J238,0)),"")</f>
        <v/>
      </c>
      <c r="T238" s="16" t="str">
        <f>IFERROR(IF(Summary!$D$10="Yes",-K238,""),"")</f>
        <v/>
      </c>
      <c r="U238" s="18" t="str">
        <f>IFERROR(IF(Summary!$D$12="Yes",-L238,""),"")</f>
        <v/>
      </c>
      <c r="V238" s="25" t="str">
        <f>IF('Bulk Order Details'!M248="","",SUM(R238:U238))</f>
        <v/>
      </c>
      <c r="W238" s="36" t="str">
        <f>IF('Bulk Order Details'!M248="","",D238+Q238)</f>
        <v/>
      </c>
      <c r="X238" s="37" t="str">
        <f>IF('Bulk Order Details'!M248="","",D238+Q238+V238)</f>
        <v/>
      </c>
      <c r="Y238" s="168" t="str">
        <f t="shared" si="15"/>
        <v/>
      </c>
      <c r="Z238" s="173" t="str">
        <f>IF('Bulk Order Details'!M248="","",MAX(1,'Bulk Order Details'!G248))</f>
        <v/>
      </c>
      <c r="AA238" s="196" t="str">
        <f>IF(Pricing_Details[[#This Row],[Quantity]]="","",Pricing_Details[[#This Row],[Retail Price]]*Pricing_Details[[#This Row],[Quantity]])</f>
        <v/>
      </c>
      <c r="AB238" s="196" t="str">
        <f>IF(Pricing_Details[[#This Row],[Quantity]]="","",Pricing_Details[[#This Row],[Total Discount]]*Pricing_Details[[#This Row],[Quantity]])</f>
        <v/>
      </c>
      <c r="AC238" s="176" t="str">
        <f>IFERROR(ROUND(Pricing_Details[[#This Row],[Actual Price]]*Pricing_Details[[#This Row],[Quantity]],2),"")</f>
        <v/>
      </c>
      <c r="AE238" s="156" t="str">
        <f>IF('Bulk Order Details'!M248="","",VLOOKUP('Bulk Order Details'!K248,Collection[],3)&amp;VLOOKUP('Bulk Order Details'!M248,Collar[],4)&amp;VLOOKUP('Bulk Order Details'!L248,Sleeve[],4))</f>
        <v/>
      </c>
      <c r="AF238" s="156" t="str">
        <f>IF('Bulk Order Details'!M248="","",LOOKUP('Bulk Order Details'!H248,Cut[Display],Cut[Code])&amp;LOOKUP('Bulk Order Details'!I248,#REF!,#REF!)&amp;IF('Bulk Order Details'!J248="","",LOOKUP('Bulk Order Details'!J248,Length[Display],Length[Code])))</f>
        <v/>
      </c>
      <c r="AG238" s="156" t="str">
        <f>IF('Bulk Order Details'!M248="","",IF('Bulk Order Details'!F248="","",'Bulk Order Details'!F248))</f>
        <v/>
      </c>
      <c r="AH238" s="156" t="str">
        <f>IF('Bulk Order Details'!R248="","","-"&amp;LOOKUP('Bulk Order Details'!R248,#REF!,#REF!))</f>
        <v/>
      </c>
      <c r="AI238" s="156" t="str">
        <f>IF('Bulk Order Details'!S248="","","-"&amp;LOOKUP('Bulk Order Details'!S248,#REF!,#REF!))</f>
        <v/>
      </c>
      <c r="AJ238" s="156" t="str">
        <f>IF('Bulk Order Details'!T248="","","-"&amp;LOOKUP('Bulk Order Details'!T248,#REF!,#REF!))</f>
        <v/>
      </c>
      <c r="AK238" s="156" t="str">
        <f>IF('Bulk Order Details'!U248="","","-"&amp;LOOKUP('Bulk Order Details'!U248,#REF!,#REF!))</f>
        <v/>
      </c>
      <c r="AL238" s="156" t="str">
        <f>IF('Bulk Order Details'!V248="","","-"&amp;LOOKUP('Bulk Order Details'!V248,#REF!,#REF!))</f>
        <v/>
      </c>
      <c r="AM238" s="156" t="str">
        <f t="shared" si="17"/>
        <v/>
      </c>
      <c r="AN238" s="156" t="str">
        <f>IF('Bulk Order Details'!N248="","","Na-"&amp;'Bulk Order Details'!N248)</f>
        <v/>
      </c>
      <c r="AO238" s="156" t="str">
        <f>IF('Bulk Order Details'!Q248="","","Fo-"&amp;'Bulk Order Details'!Q248)</f>
        <v/>
      </c>
      <c r="AP238" s="156" t="str">
        <f t="shared" si="18"/>
        <v/>
      </c>
      <c r="AQ238" s="37" t="str">
        <f t="shared" si="19"/>
        <v/>
      </c>
    </row>
    <row r="239" spans="2:43" ht="15" customHeight="1" x14ac:dyDescent="0.2">
      <c r="B239" s="34">
        <f>'Bulk Order Details'!B249</f>
        <v>236</v>
      </c>
      <c r="C239" s="34" t="str">
        <f>IF('Bulk Order Details'!C249="","",'Bulk Order Details'!C249&amp;" "&amp;'Bulk Order Details'!D249)</f>
        <v/>
      </c>
      <c r="D239" s="31" t="str">
        <f>IF('Bulk Order Details'!M249="","",VLOOKUP(1,Price[],3))</f>
        <v/>
      </c>
      <c r="E239" s="29" t="str">
        <f>IF('Bulk Order Details'!M249="","",Summary!$D$9)</f>
        <v/>
      </c>
      <c r="F239" s="16" t="str">
        <f>IF('Bulk Order Details'!I249="","",_xlfn.XLOOKUP('Bulk Order Details'!I249,Size[Display],Size[Price]))</f>
        <v/>
      </c>
      <c r="G239" s="16" t="str">
        <f>IF('Bulk Order Details'!J249="","",_xlfn.XLOOKUP('Bulk Order Details'!J249,Length[Display],Length[Price]))</f>
        <v/>
      </c>
      <c r="H239" s="16" t="str">
        <f>IF('Bulk Order Details'!K249="","",_xlfn.XLOOKUP('Bulk Order Details'!K249,Collection[Display],Collection[Price]))</f>
        <v/>
      </c>
      <c r="I239" s="16" t="str">
        <f>IF('Bulk Order Details'!L249="","",_xlfn.XLOOKUP('Bulk Order Details'!L249,Sleeve[Display],Sleeve[Price]))</f>
        <v/>
      </c>
      <c r="J239" s="16" t="str">
        <f>IF('Bulk Order Details'!M249="","",_xlfn.XLOOKUP('Bulk Order Details'!M249,Collar[Display],Collar[Price]))</f>
        <v/>
      </c>
      <c r="K239" s="16" t="str">
        <f>IF('Bulk Order Details'!N249="","",_xlfn.XLOOKUP("Name",Name[Name],Name[Price]))</f>
        <v/>
      </c>
      <c r="L239" s="18" t="str">
        <f>IFERROR(IF('Bulk Order Details'!R249="","",IF(_xlfn.XLOOKUP('Bulk Order Details'!R249,Logos[Display],Logos[Use])="Flat",_xlfn.XLOOKUP('Bulk Order Details'!R249,Logos[Display],Logos[Flat]),ROUND(_xlfn.XLOOKUP('Bulk Order Details'!R249,Logos[Display],Logos[Pct])*$E239,2))),"")</f>
        <v/>
      </c>
      <c r="M239" s="22" t="str">
        <f>IFERROR(IF('Bulk Order Details'!S249="","",IF(_xlfn.XLOOKUP('Bulk Order Details'!S249,Chest[Display],Chest[Use])="Flat",_xlfn.XLOOKUP('Bulk Order Details'!S249,Chest[Display],Chest[Flat]),ROUND(_xlfn.XLOOKUP('Bulk Order Details'!S249,Chest[Display],Chest[Pct])*$E239,2))),"")</f>
        <v/>
      </c>
      <c r="N239" s="22" t="str">
        <f>IFERROR(IF('Bulk Order Details'!T249="","",IF(_xlfn.XLOOKUP('Bulk Order Details'!T249,Chest[Display],Chest[Use])="Flat",_xlfn.XLOOKUP('Bulk Order Details'!T249,Chest[Display],Chest[Flat]),ROUND(_xlfn.XLOOKUP('Bulk Order Details'!T249,Chest[Display],Chest[Pct])*$E239,2))),"")</f>
        <v/>
      </c>
      <c r="O239" s="22" t="str">
        <f>IFERROR(IF('Bulk Order Details'!U249="","",IF(_xlfn.XLOOKUP('Bulk Order Details'!U249,LeftSleeve[Display],LeftSleeve[Use])="Flat",_xlfn.XLOOKUP('Bulk Order Details'!U249,LeftSleeve[Display],LeftSleeve[Flat]),ROUND(_xlfn.XLOOKUP('Bulk Order Details'!U249,LeftSleeve[Display],LeftSleeve[Pct])*$E239,2))),"")</f>
        <v/>
      </c>
      <c r="P239" s="22" t="str">
        <f>IFERROR(IF('Bulk Order Details'!V249="","",IF(_xlfn.XLOOKUP('Bulk Order Details'!V249,RightSleeve[Display],RightSleeve[Use])="Flat",_xlfn.XLOOKUP('Bulk Order Details'!V249,RightSleeve[Display],RightSleeve[Flat]),ROUND(_xlfn.XLOOKUP('Bulk Order Details'!V249,RightSleeve[Display],RightSleeve[Pct])*$E239,2))),"")</f>
        <v/>
      </c>
      <c r="Q239" s="27" t="str">
        <f>IF('Bulk Order Details'!M249="","",SUM(F239:P239))</f>
        <v/>
      </c>
      <c r="R239" s="24" t="str">
        <f t="shared" si="16"/>
        <v/>
      </c>
      <c r="S239" s="23" t="str">
        <f>IFERROR(MIN(IF(Summary!$D$11="Yes",-J239,0),IF(H239&gt;0,-J239,0)),"")</f>
        <v/>
      </c>
      <c r="T239" s="16" t="str">
        <f>IFERROR(IF(Summary!$D$10="Yes",-K239,""),"")</f>
        <v/>
      </c>
      <c r="U239" s="18" t="str">
        <f>IFERROR(IF(Summary!$D$12="Yes",-L239,""),"")</f>
        <v/>
      </c>
      <c r="V239" s="25" t="str">
        <f>IF('Bulk Order Details'!M249="","",SUM(R239:U239))</f>
        <v/>
      </c>
      <c r="W239" s="36" t="str">
        <f>IF('Bulk Order Details'!M249="","",D239+Q239)</f>
        <v/>
      </c>
      <c r="X239" s="37" t="str">
        <f>IF('Bulk Order Details'!M249="","",D239+Q239+V239)</f>
        <v/>
      </c>
      <c r="Y239" s="168" t="str">
        <f t="shared" si="15"/>
        <v/>
      </c>
      <c r="Z239" s="173" t="str">
        <f>IF('Bulk Order Details'!M249="","",MAX(1,'Bulk Order Details'!G249))</f>
        <v/>
      </c>
      <c r="AA239" s="196" t="str">
        <f>IF(Pricing_Details[[#This Row],[Quantity]]="","",Pricing_Details[[#This Row],[Retail Price]]*Pricing_Details[[#This Row],[Quantity]])</f>
        <v/>
      </c>
      <c r="AB239" s="196" t="str">
        <f>IF(Pricing_Details[[#This Row],[Quantity]]="","",Pricing_Details[[#This Row],[Total Discount]]*Pricing_Details[[#This Row],[Quantity]])</f>
        <v/>
      </c>
      <c r="AC239" s="176" t="str">
        <f>IFERROR(ROUND(Pricing_Details[[#This Row],[Actual Price]]*Pricing_Details[[#This Row],[Quantity]],2),"")</f>
        <v/>
      </c>
      <c r="AE239" s="156" t="str">
        <f>IF('Bulk Order Details'!M249="","",VLOOKUP('Bulk Order Details'!K249,Collection[],3)&amp;VLOOKUP('Bulk Order Details'!M249,Collar[],4)&amp;VLOOKUP('Bulk Order Details'!L249,Sleeve[],4))</f>
        <v/>
      </c>
      <c r="AF239" s="156" t="str">
        <f>IF('Bulk Order Details'!M249="","",LOOKUP('Bulk Order Details'!H249,Cut[Display],Cut[Code])&amp;LOOKUP('Bulk Order Details'!I249,#REF!,#REF!)&amp;IF('Bulk Order Details'!J249="","",LOOKUP('Bulk Order Details'!J249,Length[Display],Length[Code])))</f>
        <v/>
      </c>
      <c r="AG239" s="156" t="str">
        <f>IF('Bulk Order Details'!M249="","",IF('Bulk Order Details'!F249="","",'Bulk Order Details'!F249))</f>
        <v/>
      </c>
      <c r="AH239" s="156" t="str">
        <f>IF('Bulk Order Details'!R249="","","-"&amp;LOOKUP('Bulk Order Details'!R249,#REF!,#REF!))</f>
        <v/>
      </c>
      <c r="AI239" s="156" t="str">
        <f>IF('Bulk Order Details'!S249="","","-"&amp;LOOKUP('Bulk Order Details'!S249,#REF!,#REF!))</f>
        <v/>
      </c>
      <c r="AJ239" s="156" t="str">
        <f>IF('Bulk Order Details'!T249="","","-"&amp;LOOKUP('Bulk Order Details'!T249,#REF!,#REF!))</f>
        <v/>
      </c>
      <c r="AK239" s="156" t="str">
        <f>IF('Bulk Order Details'!U249="","","-"&amp;LOOKUP('Bulk Order Details'!U249,#REF!,#REF!))</f>
        <v/>
      </c>
      <c r="AL239" s="156" t="str">
        <f>IF('Bulk Order Details'!V249="","","-"&amp;LOOKUP('Bulk Order Details'!V249,#REF!,#REF!))</f>
        <v/>
      </c>
      <c r="AM239" s="156" t="str">
        <f t="shared" si="17"/>
        <v/>
      </c>
      <c r="AN239" s="156" t="str">
        <f>IF('Bulk Order Details'!N249="","","Na-"&amp;'Bulk Order Details'!N249)</f>
        <v/>
      </c>
      <c r="AO239" s="156" t="str">
        <f>IF('Bulk Order Details'!Q249="","","Fo-"&amp;'Bulk Order Details'!Q249)</f>
        <v/>
      </c>
      <c r="AP239" s="156" t="str">
        <f t="shared" si="18"/>
        <v/>
      </c>
      <c r="AQ239" s="37" t="str">
        <f t="shared" si="19"/>
        <v/>
      </c>
    </row>
    <row r="240" spans="2:43" ht="15" customHeight="1" x14ac:dyDescent="0.2">
      <c r="B240" s="34">
        <f>'Bulk Order Details'!B250</f>
        <v>237</v>
      </c>
      <c r="C240" s="34" t="str">
        <f>IF('Bulk Order Details'!C250="","",'Bulk Order Details'!C250&amp;" "&amp;'Bulk Order Details'!D250)</f>
        <v/>
      </c>
      <c r="D240" s="31" t="str">
        <f>IF('Bulk Order Details'!M250="","",VLOOKUP(1,Price[],3))</f>
        <v/>
      </c>
      <c r="E240" s="29" t="str">
        <f>IF('Bulk Order Details'!M250="","",Summary!$D$9)</f>
        <v/>
      </c>
      <c r="F240" s="16" t="str">
        <f>IF('Bulk Order Details'!I250="","",_xlfn.XLOOKUP('Bulk Order Details'!I250,Size[Display],Size[Price]))</f>
        <v/>
      </c>
      <c r="G240" s="16" t="str">
        <f>IF('Bulk Order Details'!J250="","",_xlfn.XLOOKUP('Bulk Order Details'!J250,Length[Display],Length[Price]))</f>
        <v/>
      </c>
      <c r="H240" s="16" t="str">
        <f>IF('Bulk Order Details'!K250="","",_xlfn.XLOOKUP('Bulk Order Details'!K250,Collection[Display],Collection[Price]))</f>
        <v/>
      </c>
      <c r="I240" s="16" t="str">
        <f>IF('Bulk Order Details'!L250="","",_xlfn.XLOOKUP('Bulk Order Details'!L250,Sleeve[Display],Sleeve[Price]))</f>
        <v/>
      </c>
      <c r="J240" s="16" t="str">
        <f>IF('Bulk Order Details'!M250="","",_xlfn.XLOOKUP('Bulk Order Details'!M250,Collar[Display],Collar[Price]))</f>
        <v/>
      </c>
      <c r="K240" s="16" t="str">
        <f>IF('Bulk Order Details'!N250="","",_xlfn.XLOOKUP("Name",Name[Name],Name[Price]))</f>
        <v/>
      </c>
      <c r="L240" s="18" t="str">
        <f>IFERROR(IF('Bulk Order Details'!R250="","",IF(_xlfn.XLOOKUP('Bulk Order Details'!R250,Logos[Display],Logos[Use])="Flat",_xlfn.XLOOKUP('Bulk Order Details'!R250,Logos[Display],Logos[Flat]),ROUND(_xlfn.XLOOKUP('Bulk Order Details'!R250,Logos[Display],Logos[Pct])*$E240,2))),"")</f>
        <v/>
      </c>
      <c r="M240" s="22" t="str">
        <f>IFERROR(IF('Bulk Order Details'!S250="","",IF(_xlfn.XLOOKUP('Bulk Order Details'!S250,Chest[Display],Chest[Use])="Flat",_xlfn.XLOOKUP('Bulk Order Details'!S250,Chest[Display],Chest[Flat]),ROUND(_xlfn.XLOOKUP('Bulk Order Details'!S250,Chest[Display],Chest[Pct])*$E240,2))),"")</f>
        <v/>
      </c>
      <c r="N240" s="22" t="str">
        <f>IFERROR(IF('Bulk Order Details'!T250="","",IF(_xlfn.XLOOKUP('Bulk Order Details'!T250,Chest[Display],Chest[Use])="Flat",_xlfn.XLOOKUP('Bulk Order Details'!T250,Chest[Display],Chest[Flat]),ROUND(_xlfn.XLOOKUP('Bulk Order Details'!T250,Chest[Display],Chest[Pct])*$E240,2))),"")</f>
        <v/>
      </c>
      <c r="O240" s="22" t="str">
        <f>IFERROR(IF('Bulk Order Details'!U250="","",IF(_xlfn.XLOOKUP('Bulk Order Details'!U250,LeftSleeve[Display],LeftSleeve[Use])="Flat",_xlfn.XLOOKUP('Bulk Order Details'!U250,LeftSleeve[Display],LeftSleeve[Flat]),ROUND(_xlfn.XLOOKUP('Bulk Order Details'!U250,LeftSleeve[Display],LeftSleeve[Pct])*$E240,2))),"")</f>
        <v/>
      </c>
      <c r="P240" s="22" t="str">
        <f>IFERROR(IF('Bulk Order Details'!V250="","",IF(_xlfn.XLOOKUP('Bulk Order Details'!V250,RightSleeve[Display],RightSleeve[Use])="Flat",_xlfn.XLOOKUP('Bulk Order Details'!V250,RightSleeve[Display],RightSleeve[Flat]),ROUND(_xlfn.XLOOKUP('Bulk Order Details'!V250,RightSleeve[Display],RightSleeve[Pct])*$E240,2))),"")</f>
        <v/>
      </c>
      <c r="Q240" s="27" t="str">
        <f>IF('Bulk Order Details'!M250="","",SUM(F240:P240))</f>
        <v/>
      </c>
      <c r="R240" s="24" t="str">
        <f t="shared" si="16"/>
        <v/>
      </c>
      <c r="S240" s="23" t="str">
        <f>IFERROR(MIN(IF(Summary!$D$11="Yes",-J240,0),IF(H240&gt;0,-J240,0)),"")</f>
        <v/>
      </c>
      <c r="T240" s="16" t="str">
        <f>IFERROR(IF(Summary!$D$10="Yes",-K240,""),"")</f>
        <v/>
      </c>
      <c r="U240" s="18" t="str">
        <f>IFERROR(IF(Summary!$D$12="Yes",-L240,""),"")</f>
        <v/>
      </c>
      <c r="V240" s="25" t="str">
        <f>IF('Bulk Order Details'!M250="","",SUM(R240:U240))</f>
        <v/>
      </c>
      <c r="W240" s="36" t="str">
        <f>IF('Bulk Order Details'!M250="","",D240+Q240)</f>
        <v/>
      </c>
      <c r="X240" s="37" t="str">
        <f>IF('Bulk Order Details'!M250="","",D240+Q240+V240)</f>
        <v/>
      </c>
      <c r="Y240" s="168" t="str">
        <f t="shared" si="15"/>
        <v/>
      </c>
      <c r="Z240" s="173" t="str">
        <f>IF('Bulk Order Details'!M250="","",MAX(1,'Bulk Order Details'!G250))</f>
        <v/>
      </c>
      <c r="AA240" s="196" t="str">
        <f>IF(Pricing_Details[[#This Row],[Quantity]]="","",Pricing_Details[[#This Row],[Retail Price]]*Pricing_Details[[#This Row],[Quantity]])</f>
        <v/>
      </c>
      <c r="AB240" s="196" t="str">
        <f>IF(Pricing_Details[[#This Row],[Quantity]]="","",Pricing_Details[[#This Row],[Total Discount]]*Pricing_Details[[#This Row],[Quantity]])</f>
        <v/>
      </c>
      <c r="AC240" s="176" t="str">
        <f>IFERROR(ROUND(Pricing_Details[[#This Row],[Actual Price]]*Pricing_Details[[#This Row],[Quantity]],2),"")</f>
        <v/>
      </c>
      <c r="AE240" s="156" t="str">
        <f>IF('Bulk Order Details'!M250="","",VLOOKUP('Bulk Order Details'!K250,Collection[],3)&amp;VLOOKUP('Bulk Order Details'!M250,Collar[],4)&amp;VLOOKUP('Bulk Order Details'!L250,Sleeve[],4))</f>
        <v/>
      </c>
      <c r="AF240" s="156" t="str">
        <f>IF('Bulk Order Details'!M250="","",LOOKUP('Bulk Order Details'!H250,Cut[Display],Cut[Code])&amp;LOOKUP('Bulk Order Details'!I250,#REF!,#REF!)&amp;IF('Bulk Order Details'!J250="","",LOOKUP('Bulk Order Details'!J250,Length[Display],Length[Code])))</f>
        <v/>
      </c>
      <c r="AG240" s="156" t="str">
        <f>IF('Bulk Order Details'!M250="","",IF('Bulk Order Details'!F250="","",'Bulk Order Details'!F250))</f>
        <v/>
      </c>
      <c r="AH240" s="156" t="str">
        <f>IF('Bulk Order Details'!R250="","","-"&amp;LOOKUP('Bulk Order Details'!R250,#REF!,#REF!))</f>
        <v/>
      </c>
      <c r="AI240" s="156" t="str">
        <f>IF('Bulk Order Details'!S250="","","-"&amp;LOOKUP('Bulk Order Details'!S250,#REF!,#REF!))</f>
        <v/>
      </c>
      <c r="AJ240" s="156" t="str">
        <f>IF('Bulk Order Details'!T250="","","-"&amp;LOOKUP('Bulk Order Details'!T250,#REF!,#REF!))</f>
        <v/>
      </c>
      <c r="AK240" s="156" t="str">
        <f>IF('Bulk Order Details'!U250="","","-"&amp;LOOKUP('Bulk Order Details'!U250,#REF!,#REF!))</f>
        <v/>
      </c>
      <c r="AL240" s="156" t="str">
        <f>IF('Bulk Order Details'!V250="","","-"&amp;LOOKUP('Bulk Order Details'!V250,#REF!,#REF!))</f>
        <v/>
      </c>
      <c r="AM240" s="156" t="str">
        <f t="shared" si="17"/>
        <v/>
      </c>
      <c r="AN240" s="156" t="str">
        <f>IF('Bulk Order Details'!N250="","","Na-"&amp;'Bulk Order Details'!N250)</f>
        <v/>
      </c>
      <c r="AO240" s="156" t="str">
        <f>IF('Bulk Order Details'!Q250="","","Fo-"&amp;'Bulk Order Details'!Q250)</f>
        <v/>
      </c>
      <c r="AP240" s="156" t="str">
        <f t="shared" si="18"/>
        <v/>
      </c>
      <c r="AQ240" s="37" t="str">
        <f t="shared" si="19"/>
        <v/>
      </c>
    </row>
    <row r="241" spans="2:43" ht="15" customHeight="1" x14ac:dyDescent="0.2">
      <c r="B241" s="34">
        <f>'Bulk Order Details'!B251</f>
        <v>238</v>
      </c>
      <c r="C241" s="34" t="str">
        <f>IF('Bulk Order Details'!C251="","",'Bulk Order Details'!C251&amp;" "&amp;'Bulk Order Details'!D251)</f>
        <v/>
      </c>
      <c r="D241" s="31" t="str">
        <f>IF('Bulk Order Details'!M251="","",VLOOKUP(1,Price[],3))</f>
        <v/>
      </c>
      <c r="E241" s="29" t="str">
        <f>IF('Bulk Order Details'!M251="","",Summary!$D$9)</f>
        <v/>
      </c>
      <c r="F241" s="16" t="str">
        <f>IF('Bulk Order Details'!I251="","",_xlfn.XLOOKUP('Bulk Order Details'!I251,Size[Display],Size[Price]))</f>
        <v/>
      </c>
      <c r="G241" s="16" t="str">
        <f>IF('Bulk Order Details'!J251="","",_xlfn.XLOOKUP('Bulk Order Details'!J251,Length[Display],Length[Price]))</f>
        <v/>
      </c>
      <c r="H241" s="16" t="str">
        <f>IF('Bulk Order Details'!K251="","",_xlfn.XLOOKUP('Bulk Order Details'!K251,Collection[Display],Collection[Price]))</f>
        <v/>
      </c>
      <c r="I241" s="16" t="str">
        <f>IF('Bulk Order Details'!L251="","",_xlfn.XLOOKUP('Bulk Order Details'!L251,Sleeve[Display],Sleeve[Price]))</f>
        <v/>
      </c>
      <c r="J241" s="16" t="str">
        <f>IF('Bulk Order Details'!M251="","",_xlfn.XLOOKUP('Bulk Order Details'!M251,Collar[Display],Collar[Price]))</f>
        <v/>
      </c>
      <c r="K241" s="16" t="str">
        <f>IF('Bulk Order Details'!N251="","",_xlfn.XLOOKUP("Name",Name[Name],Name[Price]))</f>
        <v/>
      </c>
      <c r="L241" s="18" t="str">
        <f>IFERROR(IF('Bulk Order Details'!R251="","",IF(_xlfn.XLOOKUP('Bulk Order Details'!R251,Logos[Display],Logos[Use])="Flat",_xlfn.XLOOKUP('Bulk Order Details'!R251,Logos[Display],Logos[Flat]),ROUND(_xlfn.XLOOKUP('Bulk Order Details'!R251,Logos[Display],Logos[Pct])*$E241,2))),"")</f>
        <v/>
      </c>
      <c r="M241" s="22" t="str">
        <f>IFERROR(IF('Bulk Order Details'!S251="","",IF(_xlfn.XLOOKUP('Bulk Order Details'!S251,Chest[Display],Chest[Use])="Flat",_xlfn.XLOOKUP('Bulk Order Details'!S251,Chest[Display],Chest[Flat]),ROUND(_xlfn.XLOOKUP('Bulk Order Details'!S251,Chest[Display],Chest[Pct])*$E241,2))),"")</f>
        <v/>
      </c>
      <c r="N241" s="22" t="str">
        <f>IFERROR(IF('Bulk Order Details'!T251="","",IF(_xlfn.XLOOKUP('Bulk Order Details'!T251,Chest[Display],Chest[Use])="Flat",_xlfn.XLOOKUP('Bulk Order Details'!T251,Chest[Display],Chest[Flat]),ROUND(_xlfn.XLOOKUP('Bulk Order Details'!T251,Chest[Display],Chest[Pct])*$E241,2))),"")</f>
        <v/>
      </c>
      <c r="O241" s="22" t="str">
        <f>IFERROR(IF('Bulk Order Details'!U251="","",IF(_xlfn.XLOOKUP('Bulk Order Details'!U251,LeftSleeve[Display],LeftSleeve[Use])="Flat",_xlfn.XLOOKUP('Bulk Order Details'!U251,LeftSleeve[Display],LeftSleeve[Flat]),ROUND(_xlfn.XLOOKUP('Bulk Order Details'!U251,LeftSleeve[Display],LeftSleeve[Pct])*$E241,2))),"")</f>
        <v/>
      </c>
      <c r="P241" s="22" t="str">
        <f>IFERROR(IF('Bulk Order Details'!V251="","",IF(_xlfn.XLOOKUP('Bulk Order Details'!V251,RightSleeve[Display],RightSleeve[Use])="Flat",_xlfn.XLOOKUP('Bulk Order Details'!V251,RightSleeve[Display],RightSleeve[Flat]),ROUND(_xlfn.XLOOKUP('Bulk Order Details'!V251,RightSleeve[Display],RightSleeve[Pct])*$E241,2))),"")</f>
        <v/>
      </c>
      <c r="Q241" s="27" t="str">
        <f>IF('Bulk Order Details'!M251="","",SUM(F241:P241))</f>
        <v/>
      </c>
      <c r="R241" s="24" t="str">
        <f t="shared" si="16"/>
        <v/>
      </c>
      <c r="S241" s="23" t="str">
        <f>IFERROR(MIN(IF(Summary!$D$11="Yes",-J241,0),IF(H241&gt;0,-J241,0)),"")</f>
        <v/>
      </c>
      <c r="T241" s="16" t="str">
        <f>IFERROR(IF(Summary!$D$10="Yes",-K241,""),"")</f>
        <v/>
      </c>
      <c r="U241" s="18" t="str">
        <f>IFERROR(IF(Summary!$D$12="Yes",-L241,""),"")</f>
        <v/>
      </c>
      <c r="V241" s="25" t="str">
        <f>IF('Bulk Order Details'!M251="","",SUM(R241:U241))</f>
        <v/>
      </c>
      <c r="W241" s="36" t="str">
        <f>IF('Bulk Order Details'!M251="","",D241+Q241)</f>
        <v/>
      </c>
      <c r="X241" s="37" t="str">
        <f>IF('Bulk Order Details'!M251="","",D241+Q241+V241)</f>
        <v/>
      </c>
      <c r="Y241" s="168" t="str">
        <f t="shared" si="15"/>
        <v/>
      </c>
      <c r="Z241" s="173" t="str">
        <f>IF('Bulk Order Details'!M251="","",MAX(1,'Bulk Order Details'!G251))</f>
        <v/>
      </c>
      <c r="AA241" s="196" t="str">
        <f>IF(Pricing_Details[[#This Row],[Quantity]]="","",Pricing_Details[[#This Row],[Retail Price]]*Pricing_Details[[#This Row],[Quantity]])</f>
        <v/>
      </c>
      <c r="AB241" s="196" t="str">
        <f>IF(Pricing_Details[[#This Row],[Quantity]]="","",Pricing_Details[[#This Row],[Total Discount]]*Pricing_Details[[#This Row],[Quantity]])</f>
        <v/>
      </c>
      <c r="AC241" s="176" t="str">
        <f>IFERROR(ROUND(Pricing_Details[[#This Row],[Actual Price]]*Pricing_Details[[#This Row],[Quantity]],2),"")</f>
        <v/>
      </c>
      <c r="AE241" s="156" t="str">
        <f>IF('Bulk Order Details'!M251="","",VLOOKUP('Bulk Order Details'!K251,Collection[],3)&amp;VLOOKUP('Bulk Order Details'!M251,Collar[],4)&amp;VLOOKUP('Bulk Order Details'!L251,Sleeve[],4))</f>
        <v/>
      </c>
      <c r="AF241" s="156" t="str">
        <f>IF('Bulk Order Details'!M251="","",LOOKUP('Bulk Order Details'!H251,Cut[Display],Cut[Code])&amp;LOOKUP('Bulk Order Details'!I251,#REF!,#REF!)&amp;IF('Bulk Order Details'!J251="","",LOOKUP('Bulk Order Details'!J251,Length[Display],Length[Code])))</f>
        <v/>
      </c>
      <c r="AG241" s="156" t="str">
        <f>IF('Bulk Order Details'!M251="","",IF('Bulk Order Details'!F251="","",'Bulk Order Details'!F251))</f>
        <v/>
      </c>
      <c r="AH241" s="156" t="str">
        <f>IF('Bulk Order Details'!R251="","","-"&amp;LOOKUP('Bulk Order Details'!R251,#REF!,#REF!))</f>
        <v/>
      </c>
      <c r="AI241" s="156" t="str">
        <f>IF('Bulk Order Details'!S251="","","-"&amp;LOOKUP('Bulk Order Details'!S251,#REF!,#REF!))</f>
        <v/>
      </c>
      <c r="AJ241" s="156" t="str">
        <f>IF('Bulk Order Details'!T251="","","-"&amp;LOOKUP('Bulk Order Details'!T251,#REF!,#REF!))</f>
        <v/>
      </c>
      <c r="AK241" s="156" t="str">
        <f>IF('Bulk Order Details'!U251="","","-"&amp;LOOKUP('Bulk Order Details'!U251,#REF!,#REF!))</f>
        <v/>
      </c>
      <c r="AL241" s="156" t="str">
        <f>IF('Bulk Order Details'!V251="","","-"&amp;LOOKUP('Bulk Order Details'!V251,#REF!,#REF!))</f>
        <v/>
      </c>
      <c r="AM241" s="156" t="str">
        <f t="shared" si="17"/>
        <v/>
      </c>
      <c r="AN241" s="156" t="str">
        <f>IF('Bulk Order Details'!N251="","","Na-"&amp;'Bulk Order Details'!N251)</f>
        <v/>
      </c>
      <c r="AO241" s="156" t="str">
        <f>IF('Bulk Order Details'!Q251="","","Fo-"&amp;'Bulk Order Details'!Q251)</f>
        <v/>
      </c>
      <c r="AP241" s="156" t="str">
        <f t="shared" si="18"/>
        <v/>
      </c>
      <c r="AQ241" s="37" t="str">
        <f t="shared" si="19"/>
        <v/>
      </c>
    </row>
    <row r="242" spans="2:43" ht="15" customHeight="1" x14ac:dyDescent="0.2">
      <c r="B242" s="34">
        <f>'Bulk Order Details'!B252</f>
        <v>239</v>
      </c>
      <c r="C242" s="34" t="str">
        <f>IF('Bulk Order Details'!C252="","",'Bulk Order Details'!C252&amp;" "&amp;'Bulk Order Details'!D252)</f>
        <v/>
      </c>
      <c r="D242" s="31" t="str">
        <f>IF('Bulk Order Details'!M252="","",VLOOKUP(1,Price[],3))</f>
        <v/>
      </c>
      <c r="E242" s="29" t="str">
        <f>IF('Bulk Order Details'!M252="","",Summary!$D$9)</f>
        <v/>
      </c>
      <c r="F242" s="16" t="str">
        <f>IF('Bulk Order Details'!I252="","",_xlfn.XLOOKUP('Bulk Order Details'!I252,Size[Display],Size[Price]))</f>
        <v/>
      </c>
      <c r="G242" s="16" t="str">
        <f>IF('Bulk Order Details'!J252="","",_xlfn.XLOOKUP('Bulk Order Details'!J252,Length[Display],Length[Price]))</f>
        <v/>
      </c>
      <c r="H242" s="16" t="str">
        <f>IF('Bulk Order Details'!K252="","",_xlfn.XLOOKUP('Bulk Order Details'!K252,Collection[Display],Collection[Price]))</f>
        <v/>
      </c>
      <c r="I242" s="16" t="str">
        <f>IF('Bulk Order Details'!L252="","",_xlfn.XLOOKUP('Bulk Order Details'!L252,Sleeve[Display],Sleeve[Price]))</f>
        <v/>
      </c>
      <c r="J242" s="16" t="str">
        <f>IF('Bulk Order Details'!M252="","",_xlfn.XLOOKUP('Bulk Order Details'!M252,Collar[Display],Collar[Price]))</f>
        <v/>
      </c>
      <c r="K242" s="16" t="str">
        <f>IF('Bulk Order Details'!N252="","",_xlfn.XLOOKUP("Name",Name[Name],Name[Price]))</f>
        <v/>
      </c>
      <c r="L242" s="18" t="str">
        <f>IFERROR(IF('Bulk Order Details'!R252="","",IF(_xlfn.XLOOKUP('Bulk Order Details'!R252,Logos[Display],Logos[Use])="Flat",_xlfn.XLOOKUP('Bulk Order Details'!R252,Logos[Display],Logos[Flat]),ROUND(_xlfn.XLOOKUP('Bulk Order Details'!R252,Logos[Display],Logos[Pct])*$E242,2))),"")</f>
        <v/>
      </c>
      <c r="M242" s="22" t="str">
        <f>IFERROR(IF('Bulk Order Details'!S252="","",IF(_xlfn.XLOOKUP('Bulk Order Details'!S252,Chest[Display],Chest[Use])="Flat",_xlfn.XLOOKUP('Bulk Order Details'!S252,Chest[Display],Chest[Flat]),ROUND(_xlfn.XLOOKUP('Bulk Order Details'!S252,Chest[Display],Chest[Pct])*$E242,2))),"")</f>
        <v/>
      </c>
      <c r="N242" s="22" t="str">
        <f>IFERROR(IF('Bulk Order Details'!T252="","",IF(_xlfn.XLOOKUP('Bulk Order Details'!T252,Chest[Display],Chest[Use])="Flat",_xlfn.XLOOKUP('Bulk Order Details'!T252,Chest[Display],Chest[Flat]),ROUND(_xlfn.XLOOKUP('Bulk Order Details'!T252,Chest[Display],Chest[Pct])*$E242,2))),"")</f>
        <v/>
      </c>
      <c r="O242" s="22" t="str">
        <f>IFERROR(IF('Bulk Order Details'!U252="","",IF(_xlfn.XLOOKUP('Bulk Order Details'!U252,LeftSleeve[Display],LeftSleeve[Use])="Flat",_xlfn.XLOOKUP('Bulk Order Details'!U252,LeftSleeve[Display],LeftSleeve[Flat]),ROUND(_xlfn.XLOOKUP('Bulk Order Details'!U252,LeftSleeve[Display],LeftSleeve[Pct])*$E242,2))),"")</f>
        <v/>
      </c>
      <c r="P242" s="22" t="str">
        <f>IFERROR(IF('Bulk Order Details'!V252="","",IF(_xlfn.XLOOKUP('Bulk Order Details'!V252,RightSleeve[Display],RightSleeve[Use])="Flat",_xlfn.XLOOKUP('Bulk Order Details'!V252,RightSleeve[Display],RightSleeve[Flat]),ROUND(_xlfn.XLOOKUP('Bulk Order Details'!V252,RightSleeve[Display],RightSleeve[Pct])*$E242,2))),"")</f>
        <v/>
      </c>
      <c r="Q242" s="27" t="str">
        <f>IF('Bulk Order Details'!M252="","",SUM(F242:P242))</f>
        <v/>
      </c>
      <c r="R242" s="24" t="str">
        <f t="shared" si="16"/>
        <v/>
      </c>
      <c r="S242" s="23" t="str">
        <f>IFERROR(MIN(IF(Summary!$D$11="Yes",-J242,0),IF(H242&gt;0,-J242,0)),"")</f>
        <v/>
      </c>
      <c r="T242" s="16" t="str">
        <f>IFERROR(IF(Summary!$D$10="Yes",-K242,""),"")</f>
        <v/>
      </c>
      <c r="U242" s="18" t="str">
        <f>IFERROR(IF(Summary!$D$12="Yes",-L242,""),"")</f>
        <v/>
      </c>
      <c r="V242" s="25" t="str">
        <f>IF('Bulk Order Details'!M252="","",SUM(R242:U242))</f>
        <v/>
      </c>
      <c r="W242" s="36" t="str">
        <f>IF('Bulk Order Details'!M252="","",D242+Q242)</f>
        <v/>
      </c>
      <c r="X242" s="37" t="str">
        <f>IF('Bulk Order Details'!M252="","",D242+Q242+V242)</f>
        <v/>
      </c>
      <c r="Y242" s="168" t="str">
        <f t="shared" si="15"/>
        <v/>
      </c>
      <c r="Z242" s="173" t="str">
        <f>IF('Bulk Order Details'!M252="","",MAX(1,'Bulk Order Details'!G252))</f>
        <v/>
      </c>
      <c r="AA242" s="196" t="str">
        <f>IF(Pricing_Details[[#This Row],[Quantity]]="","",Pricing_Details[[#This Row],[Retail Price]]*Pricing_Details[[#This Row],[Quantity]])</f>
        <v/>
      </c>
      <c r="AB242" s="196" t="str">
        <f>IF(Pricing_Details[[#This Row],[Quantity]]="","",Pricing_Details[[#This Row],[Total Discount]]*Pricing_Details[[#This Row],[Quantity]])</f>
        <v/>
      </c>
      <c r="AC242" s="176" t="str">
        <f>IFERROR(ROUND(Pricing_Details[[#This Row],[Actual Price]]*Pricing_Details[[#This Row],[Quantity]],2),"")</f>
        <v/>
      </c>
      <c r="AE242" s="156" t="str">
        <f>IF('Bulk Order Details'!M252="","",VLOOKUP('Bulk Order Details'!K252,Collection[],3)&amp;VLOOKUP('Bulk Order Details'!M252,Collar[],4)&amp;VLOOKUP('Bulk Order Details'!L252,Sleeve[],4))</f>
        <v/>
      </c>
      <c r="AF242" s="156" t="str">
        <f>IF('Bulk Order Details'!M252="","",LOOKUP('Bulk Order Details'!H252,Cut[Display],Cut[Code])&amp;LOOKUP('Bulk Order Details'!I252,#REF!,#REF!)&amp;IF('Bulk Order Details'!J252="","",LOOKUP('Bulk Order Details'!J252,Length[Display],Length[Code])))</f>
        <v/>
      </c>
      <c r="AG242" s="156" t="str">
        <f>IF('Bulk Order Details'!M252="","",IF('Bulk Order Details'!F252="","",'Bulk Order Details'!F252))</f>
        <v/>
      </c>
      <c r="AH242" s="156" t="str">
        <f>IF('Bulk Order Details'!R252="","","-"&amp;LOOKUP('Bulk Order Details'!R252,#REF!,#REF!))</f>
        <v/>
      </c>
      <c r="AI242" s="156" t="str">
        <f>IF('Bulk Order Details'!S252="","","-"&amp;LOOKUP('Bulk Order Details'!S252,#REF!,#REF!))</f>
        <v/>
      </c>
      <c r="AJ242" s="156" t="str">
        <f>IF('Bulk Order Details'!T252="","","-"&amp;LOOKUP('Bulk Order Details'!T252,#REF!,#REF!))</f>
        <v/>
      </c>
      <c r="AK242" s="156" t="str">
        <f>IF('Bulk Order Details'!U252="","","-"&amp;LOOKUP('Bulk Order Details'!U252,#REF!,#REF!))</f>
        <v/>
      </c>
      <c r="AL242" s="156" t="str">
        <f>IF('Bulk Order Details'!V252="","","-"&amp;LOOKUP('Bulk Order Details'!V252,#REF!,#REF!))</f>
        <v/>
      </c>
      <c r="AM242" s="156" t="str">
        <f t="shared" si="17"/>
        <v/>
      </c>
      <c r="AN242" s="156" t="str">
        <f>IF('Bulk Order Details'!N252="","","Na-"&amp;'Bulk Order Details'!N252)</f>
        <v/>
      </c>
      <c r="AO242" s="156" t="str">
        <f>IF('Bulk Order Details'!Q252="","","Fo-"&amp;'Bulk Order Details'!Q252)</f>
        <v/>
      </c>
      <c r="AP242" s="156" t="str">
        <f t="shared" si="18"/>
        <v/>
      </c>
      <c r="AQ242" s="37" t="str">
        <f t="shared" si="19"/>
        <v/>
      </c>
    </row>
    <row r="243" spans="2:43" ht="15" customHeight="1" x14ac:dyDescent="0.2">
      <c r="B243" s="34">
        <f>'Bulk Order Details'!B253</f>
        <v>240</v>
      </c>
      <c r="C243" s="34" t="str">
        <f>IF('Bulk Order Details'!C253="","",'Bulk Order Details'!C253&amp;" "&amp;'Bulk Order Details'!D253)</f>
        <v/>
      </c>
      <c r="D243" s="31" t="str">
        <f>IF('Bulk Order Details'!M253="","",VLOOKUP(1,Price[],3))</f>
        <v/>
      </c>
      <c r="E243" s="29" t="str">
        <f>IF('Bulk Order Details'!M253="","",Summary!$D$9)</f>
        <v/>
      </c>
      <c r="F243" s="16" t="str">
        <f>IF('Bulk Order Details'!I253="","",_xlfn.XLOOKUP('Bulk Order Details'!I253,Size[Display],Size[Price]))</f>
        <v/>
      </c>
      <c r="G243" s="16" t="str">
        <f>IF('Bulk Order Details'!J253="","",_xlfn.XLOOKUP('Bulk Order Details'!J253,Length[Display],Length[Price]))</f>
        <v/>
      </c>
      <c r="H243" s="16" t="str">
        <f>IF('Bulk Order Details'!K253="","",_xlfn.XLOOKUP('Bulk Order Details'!K253,Collection[Display],Collection[Price]))</f>
        <v/>
      </c>
      <c r="I243" s="16" t="str">
        <f>IF('Bulk Order Details'!L253="","",_xlfn.XLOOKUP('Bulk Order Details'!L253,Sleeve[Display],Sleeve[Price]))</f>
        <v/>
      </c>
      <c r="J243" s="16" t="str">
        <f>IF('Bulk Order Details'!M253="","",_xlfn.XLOOKUP('Bulk Order Details'!M253,Collar[Display],Collar[Price]))</f>
        <v/>
      </c>
      <c r="K243" s="16" t="str">
        <f>IF('Bulk Order Details'!N253="","",_xlfn.XLOOKUP("Name",Name[Name],Name[Price]))</f>
        <v/>
      </c>
      <c r="L243" s="18" t="str">
        <f>IFERROR(IF('Bulk Order Details'!R253="","",IF(_xlfn.XLOOKUP('Bulk Order Details'!R253,Logos[Display],Logos[Use])="Flat",_xlfn.XLOOKUP('Bulk Order Details'!R253,Logos[Display],Logos[Flat]),ROUND(_xlfn.XLOOKUP('Bulk Order Details'!R253,Logos[Display],Logos[Pct])*$E243,2))),"")</f>
        <v/>
      </c>
      <c r="M243" s="22" t="str">
        <f>IFERROR(IF('Bulk Order Details'!S253="","",IF(_xlfn.XLOOKUP('Bulk Order Details'!S253,Chest[Display],Chest[Use])="Flat",_xlfn.XLOOKUP('Bulk Order Details'!S253,Chest[Display],Chest[Flat]),ROUND(_xlfn.XLOOKUP('Bulk Order Details'!S253,Chest[Display],Chest[Pct])*$E243,2))),"")</f>
        <v/>
      </c>
      <c r="N243" s="22" t="str">
        <f>IFERROR(IF('Bulk Order Details'!T253="","",IF(_xlfn.XLOOKUP('Bulk Order Details'!T253,Chest[Display],Chest[Use])="Flat",_xlfn.XLOOKUP('Bulk Order Details'!T253,Chest[Display],Chest[Flat]),ROUND(_xlfn.XLOOKUP('Bulk Order Details'!T253,Chest[Display],Chest[Pct])*$E243,2))),"")</f>
        <v/>
      </c>
      <c r="O243" s="22" t="str">
        <f>IFERROR(IF('Bulk Order Details'!U253="","",IF(_xlfn.XLOOKUP('Bulk Order Details'!U253,LeftSleeve[Display],LeftSleeve[Use])="Flat",_xlfn.XLOOKUP('Bulk Order Details'!U253,LeftSleeve[Display],LeftSleeve[Flat]),ROUND(_xlfn.XLOOKUP('Bulk Order Details'!U253,LeftSleeve[Display],LeftSleeve[Pct])*$E243,2))),"")</f>
        <v/>
      </c>
      <c r="P243" s="22" t="str">
        <f>IFERROR(IF('Bulk Order Details'!V253="","",IF(_xlfn.XLOOKUP('Bulk Order Details'!V253,RightSleeve[Display],RightSleeve[Use])="Flat",_xlfn.XLOOKUP('Bulk Order Details'!V253,RightSleeve[Display],RightSleeve[Flat]),ROUND(_xlfn.XLOOKUP('Bulk Order Details'!V253,RightSleeve[Display],RightSleeve[Pct])*$E243,2))),"")</f>
        <v/>
      </c>
      <c r="Q243" s="27" t="str">
        <f>IF('Bulk Order Details'!M253="","",SUM(F243:P243))</f>
        <v/>
      </c>
      <c r="R243" s="24" t="str">
        <f t="shared" si="16"/>
        <v/>
      </c>
      <c r="S243" s="23" t="str">
        <f>IFERROR(MIN(IF(Summary!$D$11="Yes",-J243,0),IF(H243&gt;0,-J243,0)),"")</f>
        <v/>
      </c>
      <c r="T243" s="16" t="str">
        <f>IFERROR(IF(Summary!$D$10="Yes",-K243,""),"")</f>
        <v/>
      </c>
      <c r="U243" s="18" t="str">
        <f>IFERROR(IF(Summary!$D$12="Yes",-L243,""),"")</f>
        <v/>
      </c>
      <c r="V243" s="25" t="str">
        <f>IF('Bulk Order Details'!M253="","",SUM(R243:U243))</f>
        <v/>
      </c>
      <c r="W243" s="36" t="str">
        <f>IF('Bulk Order Details'!M253="","",D243+Q243)</f>
        <v/>
      </c>
      <c r="X243" s="37" t="str">
        <f>IF('Bulk Order Details'!M253="","",D243+Q243+V243)</f>
        <v/>
      </c>
      <c r="Y243" s="168" t="str">
        <f t="shared" si="15"/>
        <v/>
      </c>
      <c r="Z243" s="173" t="str">
        <f>IF('Bulk Order Details'!M253="","",MAX(1,'Bulk Order Details'!G253))</f>
        <v/>
      </c>
      <c r="AA243" s="196" t="str">
        <f>IF(Pricing_Details[[#This Row],[Quantity]]="","",Pricing_Details[[#This Row],[Retail Price]]*Pricing_Details[[#This Row],[Quantity]])</f>
        <v/>
      </c>
      <c r="AB243" s="196" t="str">
        <f>IF(Pricing_Details[[#This Row],[Quantity]]="","",Pricing_Details[[#This Row],[Total Discount]]*Pricing_Details[[#This Row],[Quantity]])</f>
        <v/>
      </c>
      <c r="AC243" s="176" t="str">
        <f>IFERROR(ROUND(Pricing_Details[[#This Row],[Actual Price]]*Pricing_Details[[#This Row],[Quantity]],2),"")</f>
        <v/>
      </c>
      <c r="AE243" s="156" t="str">
        <f>IF('Bulk Order Details'!M253="","",VLOOKUP('Bulk Order Details'!K253,Collection[],3)&amp;VLOOKUP('Bulk Order Details'!M253,Collar[],4)&amp;VLOOKUP('Bulk Order Details'!L253,Sleeve[],4))</f>
        <v/>
      </c>
      <c r="AF243" s="156" t="str">
        <f>IF('Bulk Order Details'!M253="","",LOOKUP('Bulk Order Details'!H253,Cut[Display],Cut[Code])&amp;LOOKUP('Bulk Order Details'!I253,#REF!,#REF!)&amp;IF('Bulk Order Details'!J253="","",LOOKUP('Bulk Order Details'!J253,Length[Display],Length[Code])))</f>
        <v/>
      </c>
      <c r="AG243" s="156" t="str">
        <f>IF('Bulk Order Details'!M253="","",IF('Bulk Order Details'!F253="","",'Bulk Order Details'!F253))</f>
        <v/>
      </c>
      <c r="AH243" s="156" t="str">
        <f>IF('Bulk Order Details'!R253="","","-"&amp;LOOKUP('Bulk Order Details'!R253,#REF!,#REF!))</f>
        <v/>
      </c>
      <c r="AI243" s="156" t="str">
        <f>IF('Bulk Order Details'!S253="","","-"&amp;LOOKUP('Bulk Order Details'!S253,#REF!,#REF!))</f>
        <v/>
      </c>
      <c r="AJ243" s="156" t="str">
        <f>IF('Bulk Order Details'!T253="","","-"&amp;LOOKUP('Bulk Order Details'!T253,#REF!,#REF!))</f>
        <v/>
      </c>
      <c r="AK243" s="156" t="str">
        <f>IF('Bulk Order Details'!U253="","","-"&amp;LOOKUP('Bulk Order Details'!U253,#REF!,#REF!))</f>
        <v/>
      </c>
      <c r="AL243" s="156" t="str">
        <f>IF('Bulk Order Details'!V253="","","-"&amp;LOOKUP('Bulk Order Details'!V253,#REF!,#REF!))</f>
        <v/>
      </c>
      <c r="AM243" s="156" t="str">
        <f t="shared" si="17"/>
        <v/>
      </c>
      <c r="AN243" s="156" t="str">
        <f>IF('Bulk Order Details'!N253="","","Na-"&amp;'Bulk Order Details'!N253)</f>
        <v/>
      </c>
      <c r="AO243" s="156" t="str">
        <f>IF('Bulk Order Details'!Q253="","","Fo-"&amp;'Bulk Order Details'!Q253)</f>
        <v/>
      </c>
      <c r="AP243" s="156" t="str">
        <f t="shared" si="18"/>
        <v/>
      </c>
      <c r="AQ243" s="37" t="str">
        <f t="shared" si="19"/>
        <v/>
      </c>
    </row>
    <row r="244" spans="2:43" ht="15" customHeight="1" x14ac:dyDescent="0.2">
      <c r="B244" s="34">
        <f>'Bulk Order Details'!B254</f>
        <v>241</v>
      </c>
      <c r="C244" s="34" t="str">
        <f>IF('Bulk Order Details'!C254="","",'Bulk Order Details'!C254&amp;" "&amp;'Bulk Order Details'!D254)</f>
        <v/>
      </c>
      <c r="D244" s="31" t="str">
        <f>IF('Bulk Order Details'!M254="","",VLOOKUP(1,Price[],3))</f>
        <v/>
      </c>
      <c r="E244" s="29" t="str">
        <f>IF('Bulk Order Details'!M254="","",Summary!$D$9)</f>
        <v/>
      </c>
      <c r="F244" s="16" t="str">
        <f>IF('Bulk Order Details'!I254="","",_xlfn.XLOOKUP('Bulk Order Details'!I254,Size[Display],Size[Price]))</f>
        <v/>
      </c>
      <c r="G244" s="16" t="str">
        <f>IF('Bulk Order Details'!J254="","",_xlfn.XLOOKUP('Bulk Order Details'!J254,Length[Display],Length[Price]))</f>
        <v/>
      </c>
      <c r="H244" s="16" t="str">
        <f>IF('Bulk Order Details'!K254="","",_xlfn.XLOOKUP('Bulk Order Details'!K254,Collection[Display],Collection[Price]))</f>
        <v/>
      </c>
      <c r="I244" s="16" t="str">
        <f>IF('Bulk Order Details'!L254="","",_xlfn.XLOOKUP('Bulk Order Details'!L254,Sleeve[Display],Sleeve[Price]))</f>
        <v/>
      </c>
      <c r="J244" s="16" t="str">
        <f>IF('Bulk Order Details'!M254="","",_xlfn.XLOOKUP('Bulk Order Details'!M254,Collar[Display],Collar[Price]))</f>
        <v/>
      </c>
      <c r="K244" s="16" t="str">
        <f>IF('Bulk Order Details'!N254="","",_xlfn.XLOOKUP("Name",Name[Name],Name[Price]))</f>
        <v/>
      </c>
      <c r="L244" s="18" t="str">
        <f>IFERROR(IF('Bulk Order Details'!R254="","",IF(_xlfn.XLOOKUP('Bulk Order Details'!R254,Logos[Display],Logos[Use])="Flat",_xlfn.XLOOKUP('Bulk Order Details'!R254,Logos[Display],Logos[Flat]),ROUND(_xlfn.XLOOKUP('Bulk Order Details'!R254,Logos[Display],Logos[Pct])*$E244,2))),"")</f>
        <v/>
      </c>
      <c r="M244" s="22" t="str">
        <f>IFERROR(IF('Bulk Order Details'!S254="","",IF(_xlfn.XLOOKUP('Bulk Order Details'!S254,Chest[Display],Chest[Use])="Flat",_xlfn.XLOOKUP('Bulk Order Details'!S254,Chest[Display],Chest[Flat]),ROUND(_xlfn.XLOOKUP('Bulk Order Details'!S254,Chest[Display],Chest[Pct])*$E244,2))),"")</f>
        <v/>
      </c>
      <c r="N244" s="22" t="str">
        <f>IFERROR(IF('Bulk Order Details'!T254="","",IF(_xlfn.XLOOKUP('Bulk Order Details'!T254,Chest[Display],Chest[Use])="Flat",_xlfn.XLOOKUP('Bulk Order Details'!T254,Chest[Display],Chest[Flat]),ROUND(_xlfn.XLOOKUP('Bulk Order Details'!T254,Chest[Display],Chest[Pct])*$E244,2))),"")</f>
        <v/>
      </c>
      <c r="O244" s="22" t="str">
        <f>IFERROR(IF('Bulk Order Details'!U254="","",IF(_xlfn.XLOOKUP('Bulk Order Details'!U254,LeftSleeve[Display],LeftSleeve[Use])="Flat",_xlfn.XLOOKUP('Bulk Order Details'!U254,LeftSleeve[Display],LeftSleeve[Flat]),ROUND(_xlfn.XLOOKUP('Bulk Order Details'!U254,LeftSleeve[Display],LeftSleeve[Pct])*$E244,2))),"")</f>
        <v/>
      </c>
      <c r="P244" s="22" t="str">
        <f>IFERROR(IF('Bulk Order Details'!V254="","",IF(_xlfn.XLOOKUP('Bulk Order Details'!V254,RightSleeve[Display],RightSleeve[Use])="Flat",_xlfn.XLOOKUP('Bulk Order Details'!V254,RightSleeve[Display],RightSleeve[Flat]),ROUND(_xlfn.XLOOKUP('Bulk Order Details'!V254,RightSleeve[Display],RightSleeve[Pct])*$E244,2))),"")</f>
        <v/>
      </c>
      <c r="Q244" s="27" t="str">
        <f>IF('Bulk Order Details'!M254="","",SUM(F244:P244))</f>
        <v/>
      </c>
      <c r="R244" s="24" t="str">
        <f t="shared" si="16"/>
        <v/>
      </c>
      <c r="S244" s="23" t="str">
        <f>IFERROR(MIN(IF(Summary!$D$11="Yes",-J244,0),IF(H244&gt;0,-J244,0)),"")</f>
        <v/>
      </c>
      <c r="T244" s="16" t="str">
        <f>IFERROR(IF(Summary!$D$10="Yes",-K244,""),"")</f>
        <v/>
      </c>
      <c r="U244" s="18" t="str">
        <f>IFERROR(IF(Summary!$D$12="Yes",-L244,""),"")</f>
        <v/>
      </c>
      <c r="V244" s="25" t="str">
        <f>IF('Bulk Order Details'!M254="","",SUM(R244:U244))</f>
        <v/>
      </c>
      <c r="W244" s="36" t="str">
        <f>IF('Bulk Order Details'!M254="","",D244+Q244)</f>
        <v/>
      </c>
      <c r="X244" s="37" t="str">
        <f>IF('Bulk Order Details'!M254="","",D244+Q244+V244)</f>
        <v/>
      </c>
      <c r="Y244" s="168" t="str">
        <f t="shared" si="15"/>
        <v/>
      </c>
      <c r="Z244" s="173" t="str">
        <f>IF('Bulk Order Details'!M254="","",MAX(1,'Bulk Order Details'!G254))</f>
        <v/>
      </c>
      <c r="AA244" s="196" t="str">
        <f>IF(Pricing_Details[[#This Row],[Quantity]]="","",Pricing_Details[[#This Row],[Retail Price]]*Pricing_Details[[#This Row],[Quantity]])</f>
        <v/>
      </c>
      <c r="AB244" s="196" t="str">
        <f>IF(Pricing_Details[[#This Row],[Quantity]]="","",Pricing_Details[[#This Row],[Total Discount]]*Pricing_Details[[#This Row],[Quantity]])</f>
        <v/>
      </c>
      <c r="AC244" s="176" t="str">
        <f>IFERROR(ROUND(Pricing_Details[[#This Row],[Actual Price]]*Pricing_Details[[#This Row],[Quantity]],2),"")</f>
        <v/>
      </c>
      <c r="AE244" s="156" t="str">
        <f>IF('Bulk Order Details'!M254="","",VLOOKUP('Bulk Order Details'!K254,Collection[],3)&amp;VLOOKUP('Bulk Order Details'!M254,Collar[],4)&amp;VLOOKUP('Bulk Order Details'!L254,Sleeve[],4))</f>
        <v/>
      </c>
      <c r="AF244" s="156" t="str">
        <f>IF('Bulk Order Details'!M254="","",LOOKUP('Bulk Order Details'!H254,Cut[Display],Cut[Code])&amp;LOOKUP('Bulk Order Details'!I254,#REF!,#REF!)&amp;IF('Bulk Order Details'!J254="","",LOOKUP('Bulk Order Details'!J254,Length[Display],Length[Code])))</f>
        <v/>
      </c>
      <c r="AG244" s="156" t="str">
        <f>IF('Bulk Order Details'!M254="","",IF('Bulk Order Details'!F254="","",'Bulk Order Details'!F254))</f>
        <v/>
      </c>
      <c r="AH244" s="156" t="str">
        <f>IF('Bulk Order Details'!R254="","","-"&amp;LOOKUP('Bulk Order Details'!R254,#REF!,#REF!))</f>
        <v/>
      </c>
      <c r="AI244" s="156" t="str">
        <f>IF('Bulk Order Details'!S254="","","-"&amp;LOOKUP('Bulk Order Details'!S254,#REF!,#REF!))</f>
        <v/>
      </c>
      <c r="AJ244" s="156" t="str">
        <f>IF('Bulk Order Details'!T254="","","-"&amp;LOOKUP('Bulk Order Details'!T254,#REF!,#REF!))</f>
        <v/>
      </c>
      <c r="AK244" s="156" t="str">
        <f>IF('Bulk Order Details'!U254="","","-"&amp;LOOKUP('Bulk Order Details'!U254,#REF!,#REF!))</f>
        <v/>
      </c>
      <c r="AL244" s="156" t="str">
        <f>IF('Bulk Order Details'!V254="","","-"&amp;LOOKUP('Bulk Order Details'!V254,#REF!,#REF!))</f>
        <v/>
      </c>
      <c r="AM244" s="156" t="str">
        <f t="shared" si="17"/>
        <v/>
      </c>
      <c r="AN244" s="156" t="str">
        <f>IF('Bulk Order Details'!N254="","","Na-"&amp;'Bulk Order Details'!N254)</f>
        <v/>
      </c>
      <c r="AO244" s="156" t="str">
        <f>IF('Bulk Order Details'!Q254="","","Fo-"&amp;'Bulk Order Details'!Q254)</f>
        <v/>
      </c>
      <c r="AP244" s="156" t="str">
        <f t="shared" si="18"/>
        <v/>
      </c>
      <c r="AQ244" s="37" t="str">
        <f t="shared" si="19"/>
        <v/>
      </c>
    </row>
    <row r="245" spans="2:43" ht="15" customHeight="1" x14ac:dyDescent="0.2">
      <c r="B245" s="34">
        <f>'Bulk Order Details'!B255</f>
        <v>242</v>
      </c>
      <c r="C245" s="34" t="str">
        <f>IF('Bulk Order Details'!C255="","",'Bulk Order Details'!C255&amp;" "&amp;'Bulk Order Details'!D255)</f>
        <v/>
      </c>
      <c r="D245" s="31" t="str">
        <f>IF('Bulk Order Details'!M255="","",VLOOKUP(1,Price[],3))</f>
        <v/>
      </c>
      <c r="E245" s="29" t="str">
        <f>IF('Bulk Order Details'!M255="","",Summary!$D$9)</f>
        <v/>
      </c>
      <c r="F245" s="16" t="str">
        <f>IF('Bulk Order Details'!I255="","",_xlfn.XLOOKUP('Bulk Order Details'!I255,Size[Display],Size[Price]))</f>
        <v/>
      </c>
      <c r="G245" s="16" t="str">
        <f>IF('Bulk Order Details'!J255="","",_xlfn.XLOOKUP('Bulk Order Details'!J255,Length[Display],Length[Price]))</f>
        <v/>
      </c>
      <c r="H245" s="16" t="str">
        <f>IF('Bulk Order Details'!K255="","",_xlfn.XLOOKUP('Bulk Order Details'!K255,Collection[Display],Collection[Price]))</f>
        <v/>
      </c>
      <c r="I245" s="16" t="str">
        <f>IF('Bulk Order Details'!L255="","",_xlfn.XLOOKUP('Bulk Order Details'!L255,Sleeve[Display],Sleeve[Price]))</f>
        <v/>
      </c>
      <c r="J245" s="16" t="str">
        <f>IF('Bulk Order Details'!M255="","",_xlfn.XLOOKUP('Bulk Order Details'!M255,Collar[Display],Collar[Price]))</f>
        <v/>
      </c>
      <c r="K245" s="16" t="str">
        <f>IF('Bulk Order Details'!N255="","",_xlfn.XLOOKUP("Name",Name[Name],Name[Price]))</f>
        <v/>
      </c>
      <c r="L245" s="18" t="str">
        <f>IFERROR(IF('Bulk Order Details'!R255="","",IF(_xlfn.XLOOKUP('Bulk Order Details'!R255,Logos[Display],Logos[Use])="Flat",_xlfn.XLOOKUP('Bulk Order Details'!R255,Logos[Display],Logos[Flat]),ROUND(_xlfn.XLOOKUP('Bulk Order Details'!R255,Logos[Display],Logos[Pct])*$E245,2))),"")</f>
        <v/>
      </c>
      <c r="M245" s="22" t="str">
        <f>IFERROR(IF('Bulk Order Details'!S255="","",IF(_xlfn.XLOOKUP('Bulk Order Details'!S255,Chest[Display],Chest[Use])="Flat",_xlfn.XLOOKUP('Bulk Order Details'!S255,Chest[Display],Chest[Flat]),ROUND(_xlfn.XLOOKUP('Bulk Order Details'!S255,Chest[Display],Chest[Pct])*$E245,2))),"")</f>
        <v/>
      </c>
      <c r="N245" s="22" t="str">
        <f>IFERROR(IF('Bulk Order Details'!T255="","",IF(_xlfn.XLOOKUP('Bulk Order Details'!T255,Chest[Display],Chest[Use])="Flat",_xlfn.XLOOKUP('Bulk Order Details'!T255,Chest[Display],Chest[Flat]),ROUND(_xlfn.XLOOKUP('Bulk Order Details'!T255,Chest[Display],Chest[Pct])*$E245,2))),"")</f>
        <v/>
      </c>
      <c r="O245" s="22" t="str">
        <f>IFERROR(IF('Bulk Order Details'!U255="","",IF(_xlfn.XLOOKUP('Bulk Order Details'!U255,LeftSleeve[Display],LeftSleeve[Use])="Flat",_xlfn.XLOOKUP('Bulk Order Details'!U255,LeftSleeve[Display],LeftSleeve[Flat]),ROUND(_xlfn.XLOOKUP('Bulk Order Details'!U255,LeftSleeve[Display],LeftSleeve[Pct])*$E245,2))),"")</f>
        <v/>
      </c>
      <c r="P245" s="22" t="str">
        <f>IFERROR(IF('Bulk Order Details'!V255="","",IF(_xlfn.XLOOKUP('Bulk Order Details'!V255,RightSleeve[Display],RightSleeve[Use])="Flat",_xlfn.XLOOKUP('Bulk Order Details'!V255,RightSleeve[Display],RightSleeve[Flat]),ROUND(_xlfn.XLOOKUP('Bulk Order Details'!V255,RightSleeve[Display],RightSleeve[Pct])*$E245,2))),"")</f>
        <v/>
      </c>
      <c r="Q245" s="27" t="str">
        <f>IF('Bulk Order Details'!M255="","",SUM(F245:P245))</f>
        <v/>
      </c>
      <c r="R245" s="24" t="str">
        <f t="shared" si="16"/>
        <v/>
      </c>
      <c r="S245" s="23" t="str">
        <f>IFERROR(MIN(IF(Summary!$D$11="Yes",-J245,0),IF(H245&gt;0,-J245,0)),"")</f>
        <v/>
      </c>
      <c r="T245" s="16" t="str">
        <f>IFERROR(IF(Summary!$D$10="Yes",-K245,""),"")</f>
        <v/>
      </c>
      <c r="U245" s="18" t="str">
        <f>IFERROR(IF(Summary!$D$12="Yes",-L245,""),"")</f>
        <v/>
      </c>
      <c r="V245" s="25" t="str">
        <f>IF('Bulk Order Details'!M255="","",SUM(R245:U245))</f>
        <v/>
      </c>
      <c r="W245" s="36" t="str">
        <f>IF('Bulk Order Details'!M255="","",D245+Q245)</f>
        <v/>
      </c>
      <c r="X245" s="37" t="str">
        <f>IF('Bulk Order Details'!M255="","",D245+Q245+V245)</f>
        <v/>
      </c>
      <c r="Y245" s="168" t="str">
        <f t="shared" si="15"/>
        <v/>
      </c>
      <c r="Z245" s="173" t="str">
        <f>IF('Bulk Order Details'!M255="","",MAX(1,'Bulk Order Details'!G255))</f>
        <v/>
      </c>
      <c r="AA245" s="196" t="str">
        <f>IF(Pricing_Details[[#This Row],[Quantity]]="","",Pricing_Details[[#This Row],[Retail Price]]*Pricing_Details[[#This Row],[Quantity]])</f>
        <v/>
      </c>
      <c r="AB245" s="196" t="str">
        <f>IF(Pricing_Details[[#This Row],[Quantity]]="","",Pricing_Details[[#This Row],[Total Discount]]*Pricing_Details[[#This Row],[Quantity]])</f>
        <v/>
      </c>
      <c r="AC245" s="176" t="str">
        <f>IFERROR(ROUND(Pricing_Details[[#This Row],[Actual Price]]*Pricing_Details[[#This Row],[Quantity]],2),"")</f>
        <v/>
      </c>
      <c r="AE245" s="156" t="str">
        <f>IF('Bulk Order Details'!M255="","",VLOOKUP('Bulk Order Details'!K255,Collection[],3)&amp;VLOOKUP('Bulk Order Details'!M255,Collar[],4)&amp;VLOOKUP('Bulk Order Details'!L255,Sleeve[],4))</f>
        <v/>
      </c>
      <c r="AF245" s="156" t="str">
        <f>IF('Bulk Order Details'!M255="","",LOOKUP('Bulk Order Details'!H255,Cut[Display],Cut[Code])&amp;LOOKUP('Bulk Order Details'!I255,#REF!,#REF!)&amp;IF('Bulk Order Details'!J255="","",LOOKUP('Bulk Order Details'!J255,Length[Display],Length[Code])))</f>
        <v/>
      </c>
      <c r="AG245" s="156" t="str">
        <f>IF('Bulk Order Details'!M255="","",IF('Bulk Order Details'!F255="","",'Bulk Order Details'!F255))</f>
        <v/>
      </c>
      <c r="AH245" s="156" t="str">
        <f>IF('Bulk Order Details'!R255="","","-"&amp;LOOKUP('Bulk Order Details'!R255,#REF!,#REF!))</f>
        <v/>
      </c>
      <c r="AI245" s="156" t="str">
        <f>IF('Bulk Order Details'!S255="","","-"&amp;LOOKUP('Bulk Order Details'!S255,#REF!,#REF!))</f>
        <v/>
      </c>
      <c r="AJ245" s="156" t="str">
        <f>IF('Bulk Order Details'!T255="","","-"&amp;LOOKUP('Bulk Order Details'!T255,#REF!,#REF!))</f>
        <v/>
      </c>
      <c r="AK245" s="156" t="str">
        <f>IF('Bulk Order Details'!U255="","","-"&amp;LOOKUP('Bulk Order Details'!U255,#REF!,#REF!))</f>
        <v/>
      </c>
      <c r="AL245" s="156" t="str">
        <f>IF('Bulk Order Details'!V255="","","-"&amp;LOOKUP('Bulk Order Details'!V255,#REF!,#REF!))</f>
        <v/>
      </c>
      <c r="AM245" s="156" t="str">
        <f t="shared" si="17"/>
        <v/>
      </c>
      <c r="AN245" s="156" t="str">
        <f>IF('Bulk Order Details'!N255="","","Na-"&amp;'Bulk Order Details'!N255)</f>
        <v/>
      </c>
      <c r="AO245" s="156" t="str">
        <f>IF('Bulk Order Details'!Q255="","","Fo-"&amp;'Bulk Order Details'!Q255)</f>
        <v/>
      </c>
      <c r="AP245" s="156" t="str">
        <f t="shared" si="18"/>
        <v/>
      </c>
      <c r="AQ245" s="37" t="str">
        <f t="shared" si="19"/>
        <v/>
      </c>
    </row>
    <row r="246" spans="2:43" ht="15" customHeight="1" x14ac:dyDescent="0.2">
      <c r="B246" s="34">
        <f>'Bulk Order Details'!B256</f>
        <v>243</v>
      </c>
      <c r="C246" s="34" t="str">
        <f>IF('Bulk Order Details'!C256="","",'Bulk Order Details'!C256&amp;" "&amp;'Bulk Order Details'!D256)</f>
        <v/>
      </c>
      <c r="D246" s="31" t="str">
        <f>IF('Bulk Order Details'!M256="","",VLOOKUP(1,Price[],3))</f>
        <v/>
      </c>
      <c r="E246" s="29" t="str">
        <f>IF('Bulk Order Details'!M256="","",Summary!$D$9)</f>
        <v/>
      </c>
      <c r="F246" s="16" t="str">
        <f>IF('Bulk Order Details'!I256="","",_xlfn.XLOOKUP('Bulk Order Details'!I256,Size[Display],Size[Price]))</f>
        <v/>
      </c>
      <c r="G246" s="16" t="str">
        <f>IF('Bulk Order Details'!J256="","",_xlfn.XLOOKUP('Bulk Order Details'!J256,Length[Display],Length[Price]))</f>
        <v/>
      </c>
      <c r="H246" s="16" t="str">
        <f>IF('Bulk Order Details'!K256="","",_xlfn.XLOOKUP('Bulk Order Details'!K256,Collection[Display],Collection[Price]))</f>
        <v/>
      </c>
      <c r="I246" s="16" t="str">
        <f>IF('Bulk Order Details'!L256="","",_xlfn.XLOOKUP('Bulk Order Details'!L256,Sleeve[Display],Sleeve[Price]))</f>
        <v/>
      </c>
      <c r="J246" s="16" t="str">
        <f>IF('Bulk Order Details'!M256="","",_xlfn.XLOOKUP('Bulk Order Details'!M256,Collar[Display],Collar[Price]))</f>
        <v/>
      </c>
      <c r="K246" s="16" t="str">
        <f>IF('Bulk Order Details'!N256="","",_xlfn.XLOOKUP("Name",Name[Name],Name[Price]))</f>
        <v/>
      </c>
      <c r="L246" s="18" t="str">
        <f>IFERROR(IF('Bulk Order Details'!R256="","",IF(_xlfn.XLOOKUP('Bulk Order Details'!R256,Logos[Display],Logos[Use])="Flat",_xlfn.XLOOKUP('Bulk Order Details'!R256,Logos[Display],Logos[Flat]),ROUND(_xlfn.XLOOKUP('Bulk Order Details'!R256,Logos[Display],Logos[Pct])*$E246,2))),"")</f>
        <v/>
      </c>
      <c r="M246" s="22" t="str">
        <f>IFERROR(IF('Bulk Order Details'!S256="","",IF(_xlfn.XLOOKUP('Bulk Order Details'!S256,Chest[Display],Chest[Use])="Flat",_xlfn.XLOOKUP('Bulk Order Details'!S256,Chest[Display],Chest[Flat]),ROUND(_xlfn.XLOOKUP('Bulk Order Details'!S256,Chest[Display],Chest[Pct])*$E246,2))),"")</f>
        <v/>
      </c>
      <c r="N246" s="22" t="str">
        <f>IFERROR(IF('Bulk Order Details'!T256="","",IF(_xlfn.XLOOKUP('Bulk Order Details'!T256,Chest[Display],Chest[Use])="Flat",_xlfn.XLOOKUP('Bulk Order Details'!T256,Chest[Display],Chest[Flat]),ROUND(_xlfn.XLOOKUP('Bulk Order Details'!T256,Chest[Display],Chest[Pct])*$E246,2))),"")</f>
        <v/>
      </c>
      <c r="O246" s="22" t="str">
        <f>IFERROR(IF('Bulk Order Details'!U256="","",IF(_xlfn.XLOOKUP('Bulk Order Details'!U256,LeftSleeve[Display],LeftSleeve[Use])="Flat",_xlfn.XLOOKUP('Bulk Order Details'!U256,LeftSleeve[Display],LeftSleeve[Flat]),ROUND(_xlfn.XLOOKUP('Bulk Order Details'!U256,LeftSleeve[Display],LeftSleeve[Pct])*$E246,2))),"")</f>
        <v/>
      </c>
      <c r="P246" s="22" t="str">
        <f>IFERROR(IF('Bulk Order Details'!V256="","",IF(_xlfn.XLOOKUP('Bulk Order Details'!V256,RightSleeve[Display],RightSleeve[Use])="Flat",_xlfn.XLOOKUP('Bulk Order Details'!V256,RightSleeve[Display],RightSleeve[Flat]),ROUND(_xlfn.XLOOKUP('Bulk Order Details'!V256,RightSleeve[Display],RightSleeve[Pct])*$E246,2))),"")</f>
        <v/>
      </c>
      <c r="Q246" s="27" t="str">
        <f>IF('Bulk Order Details'!M256="","",SUM(F246:P246))</f>
        <v/>
      </c>
      <c r="R246" s="24" t="str">
        <f t="shared" si="16"/>
        <v/>
      </c>
      <c r="S246" s="23" t="str">
        <f>IFERROR(MIN(IF(Summary!$D$11="Yes",-J246,0),IF(H246&gt;0,-J246,0)),"")</f>
        <v/>
      </c>
      <c r="T246" s="16" t="str">
        <f>IFERROR(IF(Summary!$D$10="Yes",-K246,""),"")</f>
        <v/>
      </c>
      <c r="U246" s="18" t="str">
        <f>IFERROR(IF(Summary!$D$12="Yes",-L246,""),"")</f>
        <v/>
      </c>
      <c r="V246" s="25" t="str">
        <f>IF('Bulk Order Details'!M256="","",SUM(R246:U246))</f>
        <v/>
      </c>
      <c r="W246" s="36" t="str">
        <f>IF('Bulk Order Details'!M256="","",D246+Q246)</f>
        <v/>
      </c>
      <c r="X246" s="37" t="str">
        <f>IF('Bulk Order Details'!M256="","",D246+Q246+V246)</f>
        <v/>
      </c>
      <c r="Y246" s="168" t="str">
        <f t="shared" si="15"/>
        <v/>
      </c>
      <c r="Z246" s="173" t="str">
        <f>IF('Bulk Order Details'!M256="","",MAX(1,'Bulk Order Details'!G256))</f>
        <v/>
      </c>
      <c r="AA246" s="196" t="str">
        <f>IF(Pricing_Details[[#This Row],[Quantity]]="","",Pricing_Details[[#This Row],[Retail Price]]*Pricing_Details[[#This Row],[Quantity]])</f>
        <v/>
      </c>
      <c r="AB246" s="196" t="str">
        <f>IF(Pricing_Details[[#This Row],[Quantity]]="","",Pricing_Details[[#This Row],[Total Discount]]*Pricing_Details[[#This Row],[Quantity]])</f>
        <v/>
      </c>
      <c r="AC246" s="176" t="str">
        <f>IFERROR(ROUND(Pricing_Details[[#This Row],[Actual Price]]*Pricing_Details[[#This Row],[Quantity]],2),"")</f>
        <v/>
      </c>
      <c r="AE246" s="156" t="str">
        <f>IF('Bulk Order Details'!M256="","",VLOOKUP('Bulk Order Details'!K256,Collection[],3)&amp;VLOOKUP('Bulk Order Details'!M256,Collar[],4)&amp;VLOOKUP('Bulk Order Details'!L256,Sleeve[],4))</f>
        <v/>
      </c>
      <c r="AF246" s="156" t="str">
        <f>IF('Bulk Order Details'!M256="","",LOOKUP('Bulk Order Details'!H256,Cut[Display],Cut[Code])&amp;LOOKUP('Bulk Order Details'!I256,#REF!,#REF!)&amp;IF('Bulk Order Details'!J256="","",LOOKUP('Bulk Order Details'!J256,Length[Display],Length[Code])))</f>
        <v/>
      </c>
      <c r="AG246" s="156" t="str">
        <f>IF('Bulk Order Details'!M256="","",IF('Bulk Order Details'!F256="","",'Bulk Order Details'!F256))</f>
        <v/>
      </c>
      <c r="AH246" s="156" t="str">
        <f>IF('Bulk Order Details'!R256="","","-"&amp;LOOKUP('Bulk Order Details'!R256,#REF!,#REF!))</f>
        <v/>
      </c>
      <c r="AI246" s="156" t="str">
        <f>IF('Bulk Order Details'!S256="","","-"&amp;LOOKUP('Bulk Order Details'!S256,#REF!,#REF!))</f>
        <v/>
      </c>
      <c r="AJ246" s="156" t="str">
        <f>IF('Bulk Order Details'!T256="","","-"&amp;LOOKUP('Bulk Order Details'!T256,#REF!,#REF!))</f>
        <v/>
      </c>
      <c r="AK246" s="156" t="str">
        <f>IF('Bulk Order Details'!U256="","","-"&amp;LOOKUP('Bulk Order Details'!U256,#REF!,#REF!))</f>
        <v/>
      </c>
      <c r="AL246" s="156" t="str">
        <f>IF('Bulk Order Details'!V256="","","-"&amp;LOOKUP('Bulk Order Details'!V256,#REF!,#REF!))</f>
        <v/>
      </c>
      <c r="AM246" s="156" t="str">
        <f t="shared" si="17"/>
        <v/>
      </c>
      <c r="AN246" s="156" t="str">
        <f>IF('Bulk Order Details'!N256="","","Na-"&amp;'Bulk Order Details'!N256)</f>
        <v/>
      </c>
      <c r="AO246" s="156" t="str">
        <f>IF('Bulk Order Details'!Q256="","","Fo-"&amp;'Bulk Order Details'!Q256)</f>
        <v/>
      </c>
      <c r="AP246" s="156" t="str">
        <f t="shared" si="18"/>
        <v/>
      </c>
      <c r="AQ246" s="37" t="str">
        <f t="shared" si="19"/>
        <v/>
      </c>
    </row>
    <row r="247" spans="2:43" ht="15" customHeight="1" x14ac:dyDescent="0.2">
      <c r="B247" s="34">
        <f>'Bulk Order Details'!B257</f>
        <v>244</v>
      </c>
      <c r="C247" s="34" t="str">
        <f>IF('Bulk Order Details'!C257="","",'Bulk Order Details'!C257&amp;" "&amp;'Bulk Order Details'!D257)</f>
        <v/>
      </c>
      <c r="D247" s="31" t="str">
        <f>IF('Bulk Order Details'!M257="","",VLOOKUP(1,Price[],3))</f>
        <v/>
      </c>
      <c r="E247" s="29" t="str">
        <f>IF('Bulk Order Details'!M257="","",Summary!$D$9)</f>
        <v/>
      </c>
      <c r="F247" s="16" t="str">
        <f>IF('Bulk Order Details'!I257="","",_xlfn.XLOOKUP('Bulk Order Details'!I257,Size[Display],Size[Price]))</f>
        <v/>
      </c>
      <c r="G247" s="16" t="str">
        <f>IF('Bulk Order Details'!J257="","",_xlfn.XLOOKUP('Bulk Order Details'!J257,Length[Display],Length[Price]))</f>
        <v/>
      </c>
      <c r="H247" s="16" t="str">
        <f>IF('Bulk Order Details'!K257="","",_xlfn.XLOOKUP('Bulk Order Details'!K257,Collection[Display],Collection[Price]))</f>
        <v/>
      </c>
      <c r="I247" s="16" t="str">
        <f>IF('Bulk Order Details'!L257="","",_xlfn.XLOOKUP('Bulk Order Details'!L257,Sleeve[Display],Sleeve[Price]))</f>
        <v/>
      </c>
      <c r="J247" s="16" t="str">
        <f>IF('Bulk Order Details'!M257="","",_xlfn.XLOOKUP('Bulk Order Details'!M257,Collar[Display],Collar[Price]))</f>
        <v/>
      </c>
      <c r="K247" s="16" t="str">
        <f>IF('Bulk Order Details'!N257="","",_xlfn.XLOOKUP("Name",Name[Name],Name[Price]))</f>
        <v/>
      </c>
      <c r="L247" s="18" t="str">
        <f>IFERROR(IF('Bulk Order Details'!R257="","",IF(_xlfn.XLOOKUP('Bulk Order Details'!R257,Logos[Display],Logos[Use])="Flat",_xlfn.XLOOKUP('Bulk Order Details'!R257,Logos[Display],Logos[Flat]),ROUND(_xlfn.XLOOKUP('Bulk Order Details'!R257,Logos[Display],Logos[Pct])*$E247,2))),"")</f>
        <v/>
      </c>
      <c r="M247" s="22" t="str">
        <f>IFERROR(IF('Bulk Order Details'!S257="","",IF(_xlfn.XLOOKUP('Bulk Order Details'!S257,Chest[Display],Chest[Use])="Flat",_xlfn.XLOOKUP('Bulk Order Details'!S257,Chest[Display],Chest[Flat]),ROUND(_xlfn.XLOOKUP('Bulk Order Details'!S257,Chest[Display],Chest[Pct])*$E247,2))),"")</f>
        <v/>
      </c>
      <c r="N247" s="22" t="str">
        <f>IFERROR(IF('Bulk Order Details'!T257="","",IF(_xlfn.XLOOKUP('Bulk Order Details'!T257,Chest[Display],Chest[Use])="Flat",_xlfn.XLOOKUP('Bulk Order Details'!T257,Chest[Display],Chest[Flat]),ROUND(_xlfn.XLOOKUP('Bulk Order Details'!T257,Chest[Display],Chest[Pct])*$E247,2))),"")</f>
        <v/>
      </c>
      <c r="O247" s="22" t="str">
        <f>IFERROR(IF('Bulk Order Details'!U257="","",IF(_xlfn.XLOOKUP('Bulk Order Details'!U257,LeftSleeve[Display],LeftSleeve[Use])="Flat",_xlfn.XLOOKUP('Bulk Order Details'!U257,LeftSleeve[Display],LeftSleeve[Flat]),ROUND(_xlfn.XLOOKUP('Bulk Order Details'!U257,LeftSleeve[Display],LeftSleeve[Pct])*$E247,2))),"")</f>
        <v/>
      </c>
      <c r="P247" s="22" t="str">
        <f>IFERROR(IF('Bulk Order Details'!V257="","",IF(_xlfn.XLOOKUP('Bulk Order Details'!V257,RightSleeve[Display],RightSleeve[Use])="Flat",_xlfn.XLOOKUP('Bulk Order Details'!V257,RightSleeve[Display],RightSleeve[Flat]),ROUND(_xlfn.XLOOKUP('Bulk Order Details'!V257,RightSleeve[Display],RightSleeve[Pct])*$E247,2))),"")</f>
        <v/>
      </c>
      <c r="Q247" s="27" t="str">
        <f>IF('Bulk Order Details'!M257="","",SUM(F247:P247))</f>
        <v/>
      </c>
      <c r="R247" s="24" t="str">
        <f t="shared" si="16"/>
        <v/>
      </c>
      <c r="S247" s="23" t="str">
        <f>IFERROR(MIN(IF(Summary!$D$11="Yes",-J247,0),IF(H247&gt;0,-J247,0)),"")</f>
        <v/>
      </c>
      <c r="T247" s="16" t="str">
        <f>IFERROR(IF(Summary!$D$10="Yes",-K247,""),"")</f>
        <v/>
      </c>
      <c r="U247" s="18" t="str">
        <f>IFERROR(IF(Summary!$D$12="Yes",-L247,""),"")</f>
        <v/>
      </c>
      <c r="V247" s="25" t="str">
        <f>IF('Bulk Order Details'!M257="","",SUM(R247:U247))</f>
        <v/>
      </c>
      <c r="W247" s="36" t="str">
        <f>IF('Bulk Order Details'!M257="","",D247+Q247)</f>
        <v/>
      </c>
      <c r="X247" s="37" t="str">
        <f>IF('Bulk Order Details'!M257="","",D247+Q247+V247)</f>
        <v/>
      </c>
      <c r="Y247" s="168" t="str">
        <f t="shared" si="15"/>
        <v/>
      </c>
      <c r="Z247" s="173" t="str">
        <f>IF('Bulk Order Details'!M257="","",MAX(1,'Bulk Order Details'!G257))</f>
        <v/>
      </c>
      <c r="AA247" s="196" t="str">
        <f>IF(Pricing_Details[[#This Row],[Quantity]]="","",Pricing_Details[[#This Row],[Retail Price]]*Pricing_Details[[#This Row],[Quantity]])</f>
        <v/>
      </c>
      <c r="AB247" s="196" t="str">
        <f>IF(Pricing_Details[[#This Row],[Quantity]]="","",Pricing_Details[[#This Row],[Total Discount]]*Pricing_Details[[#This Row],[Quantity]])</f>
        <v/>
      </c>
      <c r="AC247" s="176" t="str">
        <f>IFERROR(ROUND(Pricing_Details[[#This Row],[Actual Price]]*Pricing_Details[[#This Row],[Quantity]],2),"")</f>
        <v/>
      </c>
      <c r="AE247" s="156" t="str">
        <f>IF('Bulk Order Details'!M257="","",VLOOKUP('Bulk Order Details'!K257,Collection[],3)&amp;VLOOKUP('Bulk Order Details'!M257,Collar[],4)&amp;VLOOKUP('Bulk Order Details'!L257,Sleeve[],4))</f>
        <v/>
      </c>
      <c r="AF247" s="156" t="str">
        <f>IF('Bulk Order Details'!M257="","",LOOKUP('Bulk Order Details'!H257,Cut[Display],Cut[Code])&amp;LOOKUP('Bulk Order Details'!I257,#REF!,#REF!)&amp;IF('Bulk Order Details'!J257="","",LOOKUP('Bulk Order Details'!J257,Length[Display],Length[Code])))</f>
        <v/>
      </c>
      <c r="AG247" s="156" t="str">
        <f>IF('Bulk Order Details'!M257="","",IF('Bulk Order Details'!F257="","",'Bulk Order Details'!F257))</f>
        <v/>
      </c>
      <c r="AH247" s="156" t="str">
        <f>IF('Bulk Order Details'!R257="","","-"&amp;LOOKUP('Bulk Order Details'!R257,#REF!,#REF!))</f>
        <v/>
      </c>
      <c r="AI247" s="156" t="str">
        <f>IF('Bulk Order Details'!S257="","","-"&amp;LOOKUP('Bulk Order Details'!S257,#REF!,#REF!))</f>
        <v/>
      </c>
      <c r="AJ247" s="156" t="str">
        <f>IF('Bulk Order Details'!T257="","","-"&amp;LOOKUP('Bulk Order Details'!T257,#REF!,#REF!))</f>
        <v/>
      </c>
      <c r="AK247" s="156" t="str">
        <f>IF('Bulk Order Details'!U257="","","-"&amp;LOOKUP('Bulk Order Details'!U257,#REF!,#REF!))</f>
        <v/>
      </c>
      <c r="AL247" s="156" t="str">
        <f>IF('Bulk Order Details'!V257="","","-"&amp;LOOKUP('Bulk Order Details'!V257,#REF!,#REF!))</f>
        <v/>
      </c>
      <c r="AM247" s="156" t="str">
        <f t="shared" si="17"/>
        <v/>
      </c>
      <c r="AN247" s="156" t="str">
        <f>IF('Bulk Order Details'!N257="","","Na-"&amp;'Bulk Order Details'!N257)</f>
        <v/>
      </c>
      <c r="AO247" s="156" t="str">
        <f>IF('Bulk Order Details'!Q257="","","Fo-"&amp;'Bulk Order Details'!Q257)</f>
        <v/>
      </c>
      <c r="AP247" s="156" t="str">
        <f t="shared" si="18"/>
        <v/>
      </c>
      <c r="AQ247" s="37" t="str">
        <f t="shared" si="19"/>
        <v/>
      </c>
    </row>
    <row r="248" spans="2:43" ht="15" customHeight="1" x14ac:dyDescent="0.2">
      <c r="B248" s="34">
        <f>'Bulk Order Details'!B258</f>
        <v>245</v>
      </c>
      <c r="C248" s="34" t="str">
        <f>IF('Bulk Order Details'!C258="","",'Bulk Order Details'!C258&amp;" "&amp;'Bulk Order Details'!D258)</f>
        <v/>
      </c>
      <c r="D248" s="31" t="str">
        <f>IF('Bulk Order Details'!M258="","",VLOOKUP(1,Price[],3))</f>
        <v/>
      </c>
      <c r="E248" s="29" t="str">
        <f>IF('Bulk Order Details'!M258="","",Summary!$D$9)</f>
        <v/>
      </c>
      <c r="F248" s="16" t="str">
        <f>IF('Bulk Order Details'!I258="","",_xlfn.XLOOKUP('Bulk Order Details'!I258,Size[Display],Size[Price]))</f>
        <v/>
      </c>
      <c r="G248" s="16" t="str">
        <f>IF('Bulk Order Details'!J258="","",_xlfn.XLOOKUP('Bulk Order Details'!J258,Length[Display],Length[Price]))</f>
        <v/>
      </c>
      <c r="H248" s="16" t="str">
        <f>IF('Bulk Order Details'!K258="","",_xlfn.XLOOKUP('Bulk Order Details'!K258,Collection[Display],Collection[Price]))</f>
        <v/>
      </c>
      <c r="I248" s="16" t="str">
        <f>IF('Bulk Order Details'!L258="","",_xlfn.XLOOKUP('Bulk Order Details'!L258,Sleeve[Display],Sleeve[Price]))</f>
        <v/>
      </c>
      <c r="J248" s="16" t="str">
        <f>IF('Bulk Order Details'!M258="","",_xlfn.XLOOKUP('Bulk Order Details'!M258,Collar[Display],Collar[Price]))</f>
        <v/>
      </c>
      <c r="K248" s="16" t="str">
        <f>IF('Bulk Order Details'!N258="","",_xlfn.XLOOKUP("Name",Name[Name],Name[Price]))</f>
        <v/>
      </c>
      <c r="L248" s="18" t="str">
        <f>IFERROR(IF('Bulk Order Details'!R258="","",IF(_xlfn.XLOOKUP('Bulk Order Details'!R258,Logos[Display],Logos[Use])="Flat",_xlfn.XLOOKUP('Bulk Order Details'!R258,Logos[Display],Logos[Flat]),ROUND(_xlfn.XLOOKUP('Bulk Order Details'!R258,Logos[Display],Logos[Pct])*$E248,2))),"")</f>
        <v/>
      </c>
      <c r="M248" s="22" t="str">
        <f>IFERROR(IF('Bulk Order Details'!S258="","",IF(_xlfn.XLOOKUP('Bulk Order Details'!S258,Chest[Display],Chest[Use])="Flat",_xlfn.XLOOKUP('Bulk Order Details'!S258,Chest[Display],Chest[Flat]),ROUND(_xlfn.XLOOKUP('Bulk Order Details'!S258,Chest[Display],Chest[Pct])*$E248,2))),"")</f>
        <v/>
      </c>
      <c r="N248" s="22" t="str">
        <f>IFERROR(IF('Bulk Order Details'!T258="","",IF(_xlfn.XLOOKUP('Bulk Order Details'!T258,Chest[Display],Chest[Use])="Flat",_xlfn.XLOOKUP('Bulk Order Details'!T258,Chest[Display],Chest[Flat]),ROUND(_xlfn.XLOOKUP('Bulk Order Details'!T258,Chest[Display],Chest[Pct])*$E248,2))),"")</f>
        <v/>
      </c>
      <c r="O248" s="22" t="str">
        <f>IFERROR(IF('Bulk Order Details'!U258="","",IF(_xlfn.XLOOKUP('Bulk Order Details'!U258,LeftSleeve[Display],LeftSleeve[Use])="Flat",_xlfn.XLOOKUP('Bulk Order Details'!U258,LeftSleeve[Display],LeftSleeve[Flat]),ROUND(_xlfn.XLOOKUP('Bulk Order Details'!U258,LeftSleeve[Display],LeftSleeve[Pct])*$E248,2))),"")</f>
        <v/>
      </c>
      <c r="P248" s="22" t="str">
        <f>IFERROR(IF('Bulk Order Details'!V258="","",IF(_xlfn.XLOOKUP('Bulk Order Details'!V258,RightSleeve[Display],RightSleeve[Use])="Flat",_xlfn.XLOOKUP('Bulk Order Details'!V258,RightSleeve[Display],RightSleeve[Flat]),ROUND(_xlfn.XLOOKUP('Bulk Order Details'!V258,RightSleeve[Display],RightSleeve[Pct])*$E248,2))),"")</f>
        <v/>
      </c>
      <c r="Q248" s="27" t="str">
        <f>IF('Bulk Order Details'!M258="","",SUM(F248:P248))</f>
        <v/>
      </c>
      <c r="R248" s="24" t="str">
        <f t="shared" si="16"/>
        <v/>
      </c>
      <c r="S248" s="23" t="str">
        <f>IFERROR(MIN(IF(Summary!$D$11="Yes",-J248,0),IF(H248&gt;0,-J248,0)),"")</f>
        <v/>
      </c>
      <c r="T248" s="16" t="str">
        <f>IFERROR(IF(Summary!$D$10="Yes",-K248,""),"")</f>
        <v/>
      </c>
      <c r="U248" s="18" t="str">
        <f>IFERROR(IF(Summary!$D$12="Yes",-L248,""),"")</f>
        <v/>
      </c>
      <c r="V248" s="25" t="str">
        <f>IF('Bulk Order Details'!M258="","",SUM(R248:U248))</f>
        <v/>
      </c>
      <c r="W248" s="36" t="str">
        <f>IF('Bulk Order Details'!M258="","",D248+Q248)</f>
        <v/>
      </c>
      <c r="X248" s="37" t="str">
        <f>IF('Bulk Order Details'!M258="","",D248+Q248+V248)</f>
        <v/>
      </c>
      <c r="Y248" s="168" t="str">
        <f t="shared" si="15"/>
        <v/>
      </c>
      <c r="Z248" s="173" t="str">
        <f>IF('Bulk Order Details'!M258="","",MAX(1,'Bulk Order Details'!G258))</f>
        <v/>
      </c>
      <c r="AA248" s="196" t="str">
        <f>IF(Pricing_Details[[#This Row],[Quantity]]="","",Pricing_Details[[#This Row],[Retail Price]]*Pricing_Details[[#This Row],[Quantity]])</f>
        <v/>
      </c>
      <c r="AB248" s="196" t="str">
        <f>IF(Pricing_Details[[#This Row],[Quantity]]="","",Pricing_Details[[#This Row],[Total Discount]]*Pricing_Details[[#This Row],[Quantity]])</f>
        <v/>
      </c>
      <c r="AC248" s="176" t="str">
        <f>IFERROR(ROUND(Pricing_Details[[#This Row],[Actual Price]]*Pricing_Details[[#This Row],[Quantity]],2),"")</f>
        <v/>
      </c>
      <c r="AE248" s="156" t="str">
        <f>IF('Bulk Order Details'!M258="","",VLOOKUP('Bulk Order Details'!K258,Collection[],3)&amp;VLOOKUP('Bulk Order Details'!M258,Collar[],4)&amp;VLOOKUP('Bulk Order Details'!L258,Sleeve[],4))</f>
        <v/>
      </c>
      <c r="AF248" s="156" t="str">
        <f>IF('Bulk Order Details'!M258="","",LOOKUP('Bulk Order Details'!H258,Cut[Display],Cut[Code])&amp;LOOKUP('Bulk Order Details'!I258,#REF!,#REF!)&amp;IF('Bulk Order Details'!J258="","",LOOKUP('Bulk Order Details'!J258,Length[Display],Length[Code])))</f>
        <v/>
      </c>
      <c r="AG248" s="156" t="str">
        <f>IF('Bulk Order Details'!M258="","",IF('Bulk Order Details'!F258="","",'Bulk Order Details'!F258))</f>
        <v/>
      </c>
      <c r="AH248" s="156" t="str">
        <f>IF('Bulk Order Details'!R258="","","-"&amp;LOOKUP('Bulk Order Details'!R258,#REF!,#REF!))</f>
        <v/>
      </c>
      <c r="AI248" s="156" t="str">
        <f>IF('Bulk Order Details'!S258="","","-"&amp;LOOKUP('Bulk Order Details'!S258,#REF!,#REF!))</f>
        <v/>
      </c>
      <c r="AJ248" s="156" t="str">
        <f>IF('Bulk Order Details'!T258="","","-"&amp;LOOKUP('Bulk Order Details'!T258,#REF!,#REF!))</f>
        <v/>
      </c>
      <c r="AK248" s="156" t="str">
        <f>IF('Bulk Order Details'!U258="","","-"&amp;LOOKUP('Bulk Order Details'!U258,#REF!,#REF!))</f>
        <v/>
      </c>
      <c r="AL248" s="156" t="str">
        <f>IF('Bulk Order Details'!V258="","","-"&amp;LOOKUP('Bulk Order Details'!V258,#REF!,#REF!))</f>
        <v/>
      </c>
      <c r="AM248" s="156" t="str">
        <f t="shared" si="17"/>
        <v/>
      </c>
      <c r="AN248" s="156" t="str">
        <f>IF('Bulk Order Details'!N258="","","Na-"&amp;'Bulk Order Details'!N258)</f>
        <v/>
      </c>
      <c r="AO248" s="156" t="str">
        <f>IF('Bulk Order Details'!Q258="","","Fo-"&amp;'Bulk Order Details'!Q258)</f>
        <v/>
      </c>
      <c r="AP248" s="156" t="str">
        <f t="shared" si="18"/>
        <v/>
      </c>
      <c r="AQ248" s="37" t="str">
        <f t="shared" si="19"/>
        <v/>
      </c>
    </row>
    <row r="249" spans="2:43" ht="15" customHeight="1" x14ac:dyDescent="0.2">
      <c r="B249" s="34">
        <f>'Bulk Order Details'!B259</f>
        <v>246</v>
      </c>
      <c r="C249" s="34" t="str">
        <f>IF('Bulk Order Details'!C259="","",'Bulk Order Details'!C259&amp;" "&amp;'Bulk Order Details'!D259)</f>
        <v/>
      </c>
      <c r="D249" s="31" t="str">
        <f>IF('Bulk Order Details'!M259="","",VLOOKUP(1,Price[],3))</f>
        <v/>
      </c>
      <c r="E249" s="29" t="str">
        <f>IF('Bulk Order Details'!M259="","",Summary!$D$9)</f>
        <v/>
      </c>
      <c r="F249" s="16" t="str">
        <f>IF('Bulk Order Details'!I259="","",_xlfn.XLOOKUP('Bulk Order Details'!I259,Size[Display],Size[Price]))</f>
        <v/>
      </c>
      <c r="G249" s="16" t="str">
        <f>IF('Bulk Order Details'!J259="","",_xlfn.XLOOKUP('Bulk Order Details'!J259,Length[Display],Length[Price]))</f>
        <v/>
      </c>
      <c r="H249" s="16" t="str">
        <f>IF('Bulk Order Details'!K259="","",_xlfn.XLOOKUP('Bulk Order Details'!K259,Collection[Display],Collection[Price]))</f>
        <v/>
      </c>
      <c r="I249" s="16" t="str">
        <f>IF('Bulk Order Details'!L259="","",_xlfn.XLOOKUP('Bulk Order Details'!L259,Sleeve[Display],Sleeve[Price]))</f>
        <v/>
      </c>
      <c r="J249" s="16" t="str">
        <f>IF('Bulk Order Details'!M259="","",_xlfn.XLOOKUP('Bulk Order Details'!M259,Collar[Display],Collar[Price]))</f>
        <v/>
      </c>
      <c r="K249" s="16" t="str">
        <f>IF('Bulk Order Details'!N259="","",_xlfn.XLOOKUP("Name",Name[Name],Name[Price]))</f>
        <v/>
      </c>
      <c r="L249" s="18" t="str">
        <f>IFERROR(IF('Bulk Order Details'!R259="","",IF(_xlfn.XLOOKUP('Bulk Order Details'!R259,Logos[Display],Logos[Use])="Flat",_xlfn.XLOOKUP('Bulk Order Details'!R259,Logos[Display],Logos[Flat]),ROUND(_xlfn.XLOOKUP('Bulk Order Details'!R259,Logos[Display],Logos[Pct])*$E249,2))),"")</f>
        <v/>
      </c>
      <c r="M249" s="22" t="str">
        <f>IFERROR(IF('Bulk Order Details'!S259="","",IF(_xlfn.XLOOKUP('Bulk Order Details'!S259,Chest[Display],Chest[Use])="Flat",_xlfn.XLOOKUP('Bulk Order Details'!S259,Chest[Display],Chest[Flat]),ROUND(_xlfn.XLOOKUP('Bulk Order Details'!S259,Chest[Display],Chest[Pct])*$E249,2))),"")</f>
        <v/>
      </c>
      <c r="N249" s="22" t="str">
        <f>IFERROR(IF('Bulk Order Details'!T259="","",IF(_xlfn.XLOOKUP('Bulk Order Details'!T259,Chest[Display],Chest[Use])="Flat",_xlfn.XLOOKUP('Bulk Order Details'!T259,Chest[Display],Chest[Flat]),ROUND(_xlfn.XLOOKUP('Bulk Order Details'!T259,Chest[Display],Chest[Pct])*$E249,2))),"")</f>
        <v/>
      </c>
      <c r="O249" s="22" t="str">
        <f>IFERROR(IF('Bulk Order Details'!U259="","",IF(_xlfn.XLOOKUP('Bulk Order Details'!U259,LeftSleeve[Display],LeftSleeve[Use])="Flat",_xlfn.XLOOKUP('Bulk Order Details'!U259,LeftSleeve[Display],LeftSleeve[Flat]),ROUND(_xlfn.XLOOKUP('Bulk Order Details'!U259,LeftSleeve[Display],LeftSleeve[Pct])*$E249,2))),"")</f>
        <v/>
      </c>
      <c r="P249" s="22" t="str">
        <f>IFERROR(IF('Bulk Order Details'!V259="","",IF(_xlfn.XLOOKUP('Bulk Order Details'!V259,RightSleeve[Display],RightSleeve[Use])="Flat",_xlfn.XLOOKUP('Bulk Order Details'!V259,RightSleeve[Display],RightSleeve[Flat]),ROUND(_xlfn.XLOOKUP('Bulk Order Details'!V259,RightSleeve[Display],RightSleeve[Pct])*$E249,2))),"")</f>
        <v/>
      </c>
      <c r="Q249" s="27" t="str">
        <f>IF('Bulk Order Details'!M259="","",SUM(F249:P249))</f>
        <v/>
      </c>
      <c r="R249" s="24" t="str">
        <f t="shared" si="16"/>
        <v/>
      </c>
      <c r="S249" s="23" t="str">
        <f>IFERROR(MIN(IF(Summary!$D$11="Yes",-J249,0),IF(H249&gt;0,-J249,0)),"")</f>
        <v/>
      </c>
      <c r="T249" s="16" t="str">
        <f>IFERROR(IF(Summary!$D$10="Yes",-K249,""),"")</f>
        <v/>
      </c>
      <c r="U249" s="18" t="str">
        <f>IFERROR(IF(Summary!$D$12="Yes",-L249,""),"")</f>
        <v/>
      </c>
      <c r="V249" s="25" t="str">
        <f>IF('Bulk Order Details'!M259="","",SUM(R249:U249))</f>
        <v/>
      </c>
      <c r="W249" s="36" t="str">
        <f>IF('Bulk Order Details'!M259="","",D249+Q249)</f>
        <v/>
      </c>
      <c r="X249" s="37" t="str">
        <f>IF('Bulk Order Details'!M259="","",D249+Q249+V249)</f>
        <v/>
      </c>
      <c r="Y249" s="168" t="str">
        <f t="shared" si="15"/>
        <v/>
      </c>
      <c r="Z249" s="173" t="str">
        <f>IF('Bulk Order Details'!M259="","",MAX(1,'Bulk Order Details'!G259))</f>
        <v/>
      </c>
      <c r="AA249" s="196" t="str">
        <f>IF(Pricing_Details[[#This Row],[Quantity]]="","",Pricing_Details[[#This Row],[Retail Price]]*Pricing_Details[[#This Row],[Quantity]])</f>
        <v/>
      </c>
      <c r="AB249" s="196" t="str">
        <f>IF(Pricing_Details[[#This Row],[Quantity]]="","",Pricing_Details[[#This Row],[Total Discount]]*Pricing_Details[[#This Row],[Quantity]])</f>
        <v/>
      </c>
      <c r="AC249" s="176" t="str">
        <f>IFERROR(ROUND(Pricing_Details[[#This Row],[Actual Price]]*Pricing_Details[[#This Row],[Quantity]],2),"")</f>
        <v/>
      </c>
      <c r="AE249" s="156" t="str">
        <f>IF('Bulk Order Details'!M259="","",VLOOKUP('Bulk Order Details'!K259,Collection[],3)&amp;VLOOKUP('Bulk Order Details'!M259,Collar[],4)&amp;VLOOKUP('Bulk Order Details'!L259,Sleeve[],4))</f>
        <v/>
      </c>
      <c r="AF249" s="156" t="str">
        <f>IF('Bulk Order Details'!M259="","",LOOKUP('Bulk Order Details'!H259,Cut[Display],Cut[Code])&amp;LOOKUP('Bulk Order Details'!I259,#REF!,#REF!)&amp;IF('Bulk Order Details'!J259="","",LOOKUP('Bulk Order Details'!J259,Length[Display],Length[Code])))</f>
        <v/>
      </c>
      <c r="AG249" s="156" t="str">
        <f>IF('Bulk Order Details'!M259="","",IF('Bulk Order Details'!F259="","",'Bulk Order Details'!F259))</f>
        <v/>
      </c>
      <c r="AH249" s="156" t="str">
        <f>IF('Bulk Order Details'!R259="","","-"&amp;LOOKUP('Bulk Order Details'!R259,#REF!,#REF!))</f>
        <v/>
      </c>
      <c r="AI249" s="156" t="str">
        <f>IF('Bulk Order Details'!S259="","","-"&amp;LOOKUP('Bulk Order Details'!S259,#REF!,#REF!))</f>
        <v/>
      </c>
      <c r="AJ249" s="156" t="str">
        <f>IF('Bulk Order Details'!T259="","","-"&amp;LOOKUP('Bulk Order Details'!T259,#REF!,#REF!))</f>
        <v/>
      </c>
      <c r="AK249" s="156" t="str">
        <f>IF('Bulk Order Details'!U259="","","-"&amp;LOOKUP('Bulk Order Details'!U259,#REF!,#REF!))</f>
        <v/>
      </c>
      <c r="AL249" s="156" t="str">
        <f>IF('Bulk Order Details'!V259="","","-"&amp;LOOKUP('Bulk Order Details'!V259,#REF!,#REF!))</f>
        <v/>
      </c>
      <c r="AM249" s="156" t="str">
        <f t="shared" si="17"/>
        <v/>
      </c>
      <c r="AN249" s="156" t="str">
        <f>IF('Bulk Order Details'!N259="","","Na-"&amp;'Bulk Order Details'!N259)</f>
        <v/>
      </c>
      <c r="AO249" s="156" t="str">
        <f>IF('Bulk Order Details'!Q259="","","Fo-"&amp;'Bulk Order Details'!Q259)</f>
        <v/>
      </c>
      <c r="AP249" s="156" t="str">
        <f t="shared" si="18"/>
        <v/>
      </c>
      <c r="AQ249" s="37" t="str">
        <f t="shared" si="19"/>
        <v/>
      </c>
    </row>
    <row r="250" spans="2:43" ht="15" customHeight="1" x14ac:dyDescent="0.2">
      <c r="B250" s="34">
        <f>'Bulk Order Details'!B260</f>
        <v>247</v>
      </c>
      <c r="C250" s="34" t="str">
        <f>IF('Bulk Order Details'!C260="","",'Bulk Order Details'!C260&amp;" "&amp;'Bulk Order Details'!D260)</f>
        <v/>
      </c>
      <c r="D250" s="31" t="str">
        <f>IF('Bulk Order Details'!M260="","",VLOOKUP(1,Price[],3))</f>
        <v/>
      </c>
      <c r="E250" s="29" t="str">
        <f>IF('Bulk Order Details'!M260="","",Summary!$D$9)</f>
        <v/>
      </c>
      <c r="F250" s="16" t="str">
        <f>IF('Bulk Order Details'!I260="","",_xlfn.XLOOKUP('Bulk Order Details'!I260,Size[Display],Size[Price]))</f>
        <v/>
      </c>
      <c r="G250" s="16" t="str">
        <f>IF('Bulk Order Details'!J260="","",_xlfn.XLOOKUP('Bulk Order Details'!J260,Length[Display],Length[Price]))</f>
        <v/>
      </c>
      <c r="H250" s="16" t="str">
        <f>IF('Bulk Order Details'!K260="","",_xlfn.XLOOKUP('Bulk Order Details'!K260,Collection[Display],Collection[Price]))</f>
        <v/>
      </c>
      <c r="I250" s="16" t="str">
        <f>IF('Bulk Order Details'!L260="","",_xlfn.XLOOKUP('Bulk Order Details'!L260,Sleeve[Display],Sleeve[Price]))</f>
        <v/>
      </c>
      <c r="J250" s="16" t="str">
        <f>IF('Bulk Order Details'!M260="","",_xlfn.XLOOKUP('Bulk Order Details'!M260,Collar[Display],Collar[Price]))</f>
        <v/>
      </c>
      <c r="K250" s="16" t="str">
        <f>IF('Bulk Order Details'!N260="","",_xlfn.XLOOKUP("Name",Name[Name],Name[Price]))</f>
        <v/>
      </c>
      <c r="L250" s="18" t="str">
        <f>IFERROR(IF('Bulk Order Details'!R260="","",IF(_xlfn.XLOOKUP('Bulk Order Details'!R260,Logos[Display],Logos[Use])="Flat",_xlfn.XLOOKUP('Bulk Order Details'!R260,Logos[Display],Logos[Flat]),ROUND(_xlfn.XLOOKUP('Bulk Order Details'!R260,Logos[Display],Logos[Pct])*$E250,2))),"")</f>
        <v/>
      </c>
      <c r="M250" s="22" t="str">
        <f>IFERROR(IF('Bulk Order Details'!S260="","",IF(_xlfn.XLOOKUP('Bulk Order Details'!S260,Chest[Display],Chest[Use])="Flat",_xlfn.XLOOKUP('Bulk Order Details'!S260,Chest[Display],Chest[Flat]),ROUND(_xlfn.XLOOKUP('Bulk Order Details'!S260,Chest[Display],Chest[Pct])*$E250,2))),"")</f>
        <v/>
      </c>
      <c r="N250" s="22" t="str">
        <f>IFERROR(IF('Bulk Order Details'!T260="","",IF(_xlfn.XLOOKUP('Bulk Order Details'!T260,Chest[Display],Chest[Use])="Flat",_xlfn.XLOOKUP('Bulk Order Details'!T260,Chest[Display],Chest[Flat]),ROUND(_xlfn.XLOOKUP('Bulk Order Details'!T260,Chest[Display],Chest[Pct])*$E250,2))),"")</f>
        <v/>
      </c>
      <c r="O250" s="22" t="str">
        <f>IFERROR(IF('Bulk Order Details'!U260="","",IF(_xlfn.XLOOKUP('Bulk Order Details'!U260,LeftSleeve[Display],LeftSleeve[Use])="Flat",_xlfn.XLOOKUP('Bulk Order Details'!U260,LeftSleeve[Display],LeftSleeve[Flat]),ROUND(_xlfn.XLOOKUP('Bulk Order Details'!U260,LeftSleeve[Display],LeftSleeve[Pct])*$E250,2))),"")</f>
        <v/>
      </c>
      <c r="P250" s="22" t="str">
        <f>IFERROR(IF('Bulk Order Details'!V260="","",IF(_xlfn.XLOOKUP('Bulk Order Details'!V260,RightSleeve[Display],RightSleeve[Use])="Flat",_xlfn.XLOOKUP('Bulk Order Details'!V260,RightSleeve[Display],RightSleeve[Flat]),ROUND(_xlfn.XLOOKUP('Bulk Order Details'!V260,RightSleeve[Display],RightSleeve[Pct])*$E250,2))),"")</f>
        <v/>
      </c>
      <c r="Q250" s="27" t="str">
        <f>IF('Bulk Order Details'!M260="","",SUM(F250:P250))</f>
        <v/>
      </c>
      <c r="R250" s="24" t="str">
        <f t="shared" si="16"/>
        <v/>
      </c>
      <c r="S250" s="23" t="str">
        <f>IFERROR(MIN(IF(Summary!$D$11="Yes",-J250,0),IF(H250&gt;0,-J250,0)),"")</f>
        <v/>
      </c>
      <c r="T250" s="16" t="str">
        <f>IFERROR(IF(Summary!$D$10="Yes",-K250,""),"")</f>
        <v/>
      </c>
      <c r="U250" s="18" t="str">
        <f>IFERROR(IF(Summary!$D$12="Yes",-L250,""),"")</f>
        <v/>
      </c>
      <c r="V250" s="25" t="str">
        <f>IF('Bulk Order Details'!M260="","",SUM(R250:U250))</f>
        <v/>
      </c>
      <c r="W250" s="36" t="str">
        <f>IF('Bulk Order Details'!M260="","",D250+Q250)</f>
        <v/>
      </c>
      <c r="X250" s="37" t="str">
        <f>IF('Bulk Order Details'!M260="","",D250+Q250+V250)</f>
        <v/>
      </c>
      <c r="Y250" s="168" t="str">
        <f t="shared" si="15"/>
        <v/>
      </c>
      <c r="Z250" s="173" t="str">
        <f>IF('Bulk Order Details'!M260="","",MAX(1,'Bulk Order Details'!G260))</f>
        <v/>
      </c>
      <c r="AA250" s="196" t="str">
        <f>IF(Pricing_Details[[#This Row],[Quantity]]="","",Pricing_Details[[#This Row],[Retail Price]]*Pricing_Details[[#This Row],[Quantity]])</f>
        <v/>
      </c>
      <c r="AB250" s="196" t="str">
        <f>IF(Pricing_Details[[#This Row],[Quantity]]="","",Pricing_Details[[#This Row],[Total Discount]]*Pricing_Details[[#This Row],[Quantity]])</f>
        <v/>
      </c>
      <c r="AC250" s="176" t="str">
        <f>IFERROR(ROUND(Pricing_Details[[#This Row],[Actual Price]]*Pricing_Details[[#This Row],[Quantity]],2),"")</f>
        <v/>
      </c>
      <c r="AE250" s="156" t="str">
        <f>IF('Bulk Order Details'!M260="","",VLOOKUP('Bulk Order Details'!K260,Collection[],3)&amp;VLOOKUP('Bulk Order Details'!M260,Collar[],4)&amp;VLOOKUP('Bulk Order Details'!L260,Sleeve[],4))</f>
        <v/>
      </c>
      <c r="AF250" s="156" t="str">
        <f>IF('Bulk Order Details'!M260="","",LOOKUP('Bulk Order Details'!H260,Cut[Display],Cut[Code])&amp;LOOKUP('Bulk Order Details'!I260,#REF!,#REF!)&amp;IF('Bulk Order Details'!J260="","",LOOKUP('Bulk Order Details'!J260,Length[Display],Length[Code])))</f>
        <v/>
      </c>
      <c r="AG250" s="156" t="str">
        <f>IF('Bulk Order Details'!M260="","",IF('Bulk Order Details'!F260="","",'Bulk Order Details'!F260))</f>
        <v/>
      </c>
      <c r="AH250" s="156" t="str">
        <f>IF('Bulk Order Details'!R260="","","-"&amp;LOOKUP('Bulk Order Details'!R260,#REF!,#REF!))</f>
        <v/>
      </c>
      <c r="AI250" s="156" t="str">
        <f>IF('Bulk Order Details'!S260="","","-"&amp;LOOKUP('Bulk Order Details'!S260,#REF!,#REF!))</f>
        <v/>
      </c>
      <c r="AJ250" s="156" t="str">
        <f>IF('Bulk Order Details'!T260="","","-"&amp;LOOKUP('Bulk Order Details'!T260,#REF!,#REF!))</f>
        <v/>
      </c>
      <c r="AK250" s="156" t="str">
        <f>IF('Bulk Order Details'!U260="","","-"&amp;LOOKUP('Bulk Order Details'!U260,#REF!,#REF!))</f>
        <v/>
      </c>
      <c r="AL250" s="156" t="str">
        <f>IF('Bulk Order Details'!V260="","","-"&amp;LOOKUP('Bulk Order Details'!V260,#REF!,#REF!))</f>
        <v/>
      </c>
      <c r="AM250" s="156" t="str">
        <f t="shared" si="17"/>
        <v/>
      </c>
      <c r="AN250" s="156" t="str">
        <f>IF('Bulk Order Details'!N260="","","Na-"&amp;'Bulk Order Details'!N260)</f>
        <v/>
      </c>
      <c r="AO250" s="156" t="str">
        <f>IF('Bulk Order Details'!Q260="","","Fo-"&amp;'Bulk Order Details'!Q260)</f>
        <v/>
      </c>
      <c r="AP250" s="156" t="str">
        <f t="shared" si="18"/>
        <v/>
      </c>
      <c r="AQ250" s="37" t="str">
        <f t="shared" si="19"/>
        <v/>
      </c>
    </row>
    <row r="251" spans="2:43" ht="15" customHeight="1" x14ac:dyDescent="0.2">
      <c r="B251" s="34">
        <f>'Bulk Order Details'!B261</f>
        <v>248</v>
      </c>
      <c r="C251" s="34" t="str">
        <f>IF('Bulk Order Details'!C261="","",'Bulk Order Details'!C261&amp;" "&amp;'Bulk Order Details'!D261)</f>
        <v/>
      </c>
      <c r="D251" s="31" t="str">
        <f>IF('Bulk Order Details'!M261="","",VLOOKUP(1,Price[],3))</f>
        <v/>
      </c>
      <c r="E251" s="29" t="str">
        <f>IF('Bulk Order Details'!M261="","",Summary!$D$9)</f>
        <v/>
      </c>
      <c r="F251" s="16" t="str">
        <f>IF('Bulk Order Details'!I261="","",_xlfn.XLOOKUP('Bulk Order Details'!I261,Size[Display],Size[Price]))</f>
        <v/>
      </c>
      <c r="G251" s="16" t="str">
        <f>IF('Bulk Order Details'!J261="","",_xlfn.XLOOKUP('Bulk Order Details'!J261,Length[Display],Length[Price]))</f>
        <v/>
      </c>
      <c r="H251" s="16" t="str">
        <f>IF('Bulk Order Details'!K261="","",_xlfn.XLOOKUP('Bulk Order Details'!K261,Collection[Display],Collection[Price]))</f>
        <v/>
      </c>
      <c r="I251" s="16" t="str">
        <f>IF('Bulk Order Details'!L261="","",_xlfn.XLOOKUP('Bulk Order Details'!L261,Sleeve[Display],Sleeve[Price]))</f>
        <v/>
      </c>
      <c r="J251" s="16" t="str">
        <f>IF('Bulk Order Details'!M261="","",_xlfn.XLOOKUP('Bulk Order Details'!M261,Collar[Display],Collar[Price]))</f>
        <v/>
      </c>
      <c r="K251" s="16" t="str">
        <f>IF('Bulk Order Details'!N261="","",_xlfn.XLOOKUP("Name",Name[Name],Name[Price]))</f>
        <v/>
      </c>
      <c r="L251" s="18" t="str">
        <f>IFERROR(IF('Bulk Order Details'!R261="","",IF(_xlfn.XLOOKUP('Bulk Order Details'!R261,Logos[Display],Logos[Use])="Flat",_xlfn.XLOOKUP('Bulk Order Details'!R261,Logos[Display],Logos[Flat]),ROUND(_xlfn.XLOOKUP('Bulk Order Details'!R261,Logos[Display],Logos[Pct])*$E251,2))),"")</f>
        <v/>
      </c>
      <c r="M251" s="22" t="str">
        <f>IFERROR(IF('Bulk Order Details'!S261="","",IF(_xlfn.XLOOKUP('Bulk Order Details'!S261,Chest[Display],Chest[Use])="Flat",_xlfn.XLOOKUP('Bulk Order Details'!S261,Chest[Display],Chest[Flat]),ROUND(_xlfn.XLOOKUP('Bulk Order Details'!S261,Chest[Display],Chest[Pct])*$E251,2))),"")</f>
        <v/>
      </c>
      <c r="N251" s="22" t="str">
        <f>IFERROR(IF('Bulk Order Details'!T261="","",IF(_xlfn.XLOOKUP('Bulk Order Details'!T261,Chest[Display],Chest[Use])="Flat",_xlfn.XLOOKUP('Bulk Order Details'!T261,Chest[Display],Chest[Flat]),ROUND(_xlfn.XLOOKUP('Bulk Order Details'!T261,Chest[Display],Chest[Pct])*$E251,2))),"")</f>
        <v/>
      </c>
      <c r="O251" s="22" t="str">
        <f>IFERROR(IF('Bulk Order Details'!U261="","",IF(_xlfn.XLOOKUP('Bulk Order Details'!U261,LeftSleeve[Display],LeftSleeve[Use])="Flat",_xlfn.XLOOKUP('Bulk Order Details'!U261,LeftSleeve[Display],LeftSleeve[Flat]),ROUND(_xlfn.XLOOKUP('Bulk Order Details'!U261,LeftSleeve[Display],LeftSleeve[Pct])*$E251,2))),"")</f>
        <v/>
      </c>
      <c r="P251" s="22" t="str">
        <f>IFERROR(IF('Bulk Order Details'!V261="","",IF(_xlfn.XLOOKUP('Bulk Order Details'!V261,RightSleeve[Display],RightSleeve[Use])="Flat",_xlfn.XLOOKUP('Bulk Order Details'!V261,RightSleeve[Display],RightSleeve[Flat]),ROUND(_xlfn.XLOOKUP('Bulk Order Details'!V261,RightSleeve[Display],RightSleeve[Pct])*$E251,2))),"")</f>
        <v/>
      </c>
      <c r="Q251" s="27" t="str">
        <f>IF('Bulk Order Details'!M261="","",SUM(F251:P251))</f>
        <v/>
      </c>
      <c r="R251" s="24" t="str">
        <f t="shared" si="16"/>
        <v/>
      </c>
      <c r="S251" s="23" t="str">
        <f>IFERROR(MIN(IF(Summary!$D$11="Yes",-J251,0),IF(H251&gt;0,-J251,0)),"")</f>
        <v/>
      </c>
      <c r="T251" s="16" t="str">
        <f>IFERROR(IF(Summary!$D$10="Yes",-K251,""),"")</f>
        <v/>
      </c>
      <c r="U251" s="18" t="str">
        <f>IFERROR(IF(Summary!$D$12="Yes",-L251,""),"")</f>
        <v/>
      </c>
      <c r="V251" s="25" t="str">
        <f>IF('Bulk Order Details'!M261="","",SUM(R251:U251))</f>
        <v/>
      </c>
      <c r="W251" s="36" t="str">
        <f>IF('Bulk Order Details'!M261="","",D251+Q251)</f>
        <v/>
      </c>
      <c r="X251" s="37" t="str">
        <f>IF('Bulk Order Details'!M261="","",D251+Q251+V251)</f>
        <v/>
      </c>
      <c r="Y251" s="168" t="str">
        <f t="shared" si="15"/>
        <v/>
      </c>
      <c r="Z251" s="173" t="str">
        <f>IF('Bulk Order Details'!M261="","",MAX(1,'Bulk Order Details'!G261))</f>
        <v/>
      </c>
      <c r="AA251" s="196" t="str">
        <f>IF(Pricing_Details[[#This Row],[Quantity]]="","",Pricing_Details[[#This Row],[Retail Price]]*Pricing_Details[[#This Row],[Quantity]])</f>
        <v/>
      </c>
      <c r="AB251" s="196" t="str">
        <f>IF(Pricing_Details[[#This Row],[Quantity]]="","",Pricing_Details[[#This Row],[Total Discount]]*Pricing_Details[[#This Row],[Quantity]])</f>
        <v/>
      </c>
      <c r="AC251" s="176" t="str">
        <f>IFERROR(ROUND(Pricing_Details[[#This Row],[Actual Price]]*Pricing_Details[[#This Row],[Quantity]],2),"")</f>
        <v/>
      </c>
      <c r="AE251" s="156" t="str">
        <f>IF('Bulk Order Details'!M261="","",VLOOKUP('Bulk Order Details'!K261,Collection[],3)&amp;VLOOKUP('Bulk Order Details'!M261,Collar[],4)&amp;VLOOKUP('Bulk Order Details'!L261,Sleeve[],4))</f>
        <v/>
      </c>
      <c r="AF251" s="156" t="str">
        <f>IF('Bulk Order Details'!M261="","",LOOKUP('Bulk Order Details'!H261,Cut[Display],Cut[Code])&amp;LOOKUP('Bulk Order Details'!I261,#REF!,#REF!)&amp;IF('Bulk Order Details'!J261="","",LOOKUP('Bulk Order Details'!J261,Length[Display],Length[Code])))</f>
        <v/>
      </c>
      <c r="AG251" s="156" t="str">
        <f>IF('Bulk Order Details'!M261="","",IF('Bulk Order Details'!F261="","",'Bulk Order Details'!F261))</f>
        <v/>
      </c>
      <c r="AH251" s="156" t="str">
        <f>IF('Bulk Order Details'!R261="","","-"&amp;LOOKUP('Bulk Order Details'!R261,#REF!,#REF!))</f>
        <v/>
      </c>
      <c r="AI251" s="156" t="str">
        <f>IF('Bulk Order Details'!S261="","","-"&amp;LOOKUP('Bulk Order Details'!S261,#REF!,#REF!))</f>
        <v/>
      </c>
      <c r="AJ251" s="156" t="str">
        <f>IF('Bulk Order Details'!T261="","","-"&amp;LOOKUP('Bulk Order Details'!T261,#REF!,#REF!))</f>
        <v/>
      </c>
      <c r="AK251" s="156" t="str">
        <f>IF('Bulk Order Details'!U261="","","-"&amp;LOOKUP('Bulk Order Details'!U261,#REF!,#REF!))</f>
        <v/>
      </c>
      <c r="AL251" s="156" t="str">
        <f>IF('Bulk Order Details'!V261="","","-"&amp;LOOKUP('Bulk Order Details'!V261,#REF!,#REF!))</f>
        <v/>
      </c>
      <c r="AM251" s="156" t="str">
        <f t="shared" si="17"/>
        <v/>
      </c>
      <c r="AN251" s="156" t="str">
        <f>IF('Bulk Order Details'!N261="","","Na-"&amp;'Bulk Order Details'!N261)</f>
        <v/>
      </c>
      <c r="AO251" s="156" t="str">
        <f>IF('Bulk Order Details'!Q261="","","Fo-"&amp;'Bulk Order Details'!Q261)</f>
        <v/>
      </c>
      <c r="AP251" s="156" t="str">
        <f t="shared" si="18"/>
        <v/>
      </c>
      <c r="AQ251" s="37" t="str">
        <f t="shared" si="19"/>
        <v/>
      </c>
    </row>
    <row r="252" spans="2:43" ht="15" customHeight="1" x14ac:dyDescent="0.2">
      <c r="B252" s="34">
        <f>'Bulk Order Details'!B262</f>
        <v>249</v>
      </c>
      <c r="C252" s="34" t="str">
        <f>IF('Bulk Order Details'!C262="","",'Bulk Order Details'!C262&amp;" "&amp;'Bulk Order Details'!D262)</f>
        <v/>
      </c>
      <c r="D252" s="31" t="str">
        <f>IF('Bulk Order Details'!M262="","",VLOOKUP(1,Price[],3))</f>
        <v/>
      </c>
      <c r="E252" s="29" t="str">
        <f>IF('Bulk Order Details'!M262="","",Summary!$D$9)</f>
        <v/>
      </c>
      <c r="F252" s="16" t="str">
        <f>IF('Bulk Order Details'!I262="","",_xlfn.XLOOKUP('Bulk Order Details'!I262,Size[Display],Size[Price]))</f>
        <v/>
      </c>
      <c r="G252" s="16" t="str">
        <f>IF('Bulk Order Details'!J262="","",_xlfn.XLOOKUP('Bulk Order Details'!J262,Length[Display],Length[Price]))</f>
        <v/>
      </c>
      <c r="H252" s="16" t="str">
        <f>IF('Bulk Order Details'!K262="","",_xlfn.XLOOKUP('Bulk Order Details'!K262,Collection[Display],Collection[Price]))</f>
        <v/>
      </c>
      <c r="I252" s="16" t="str">
        <f>IF('Bulk Order Details'!L262="","",_xlfn.XLOOKUP('Bulk Order Details'!L262,Sleeve[Display],Sleeve[Price]))</f>
        <v/>
      </c>
      <c r="J252" s="16" t="str">
        <f>IF('Bulk Order Details'!M262="","",_xlfn.XLOOKUP('Bulk Order Details'!M262,Collar[Display],Collar[Price]))</f>
        <v/>
      </c>
      <c r="K252" s="16" t="str">
        <f>IF('Bulk Order Details'!N262="","",_xlfn.XLOOKUP("Name",Name[Name],Name[Price]))</f>
        <v/>
      </c>
      <c r="L252" s="18" t="str">
        <f>IFERROR(IF('Bulk Order Details'!R262="","",IF(_xlfn.XLOOKUP('Bulk Order Details'!R262,Logos[Display],Logos[Use])="Flat",_xlfn.XLOOKUP('Bulk Order Details'!R262,Logos[Display],Logos[Flat]),ROUND(_xlfn.XLOOKUP('Bulk Order Details'!R262,Logos[Display],Logos[Pct])*$E252,2))),"")</f>
        <v/>
      </c>
      <c r="M252" s="22" t="str">
        <f>IFERROR(IF('Bulk Order Details'!S262="","",IF(_xlfn.XLOOKUP('Bulk Order Details'!S262,Chest[Display],Chest[Use])="Flat",_xlfn.XLOOKUP('Bulk Order Details'!S262,Chest[Display],Chest[Flat]),ROUND(_xlfn.XLOOKUP('Bulk Order Details'!S262,Chest[Display],Chest[Pct])*$E252,2))),"")</f>
        <v/>
      </c>
      <c r="N252" s="22" t="str">
        <f>IFERROR(IF('Bulk Order Details'!T262="","",IF(_xlfn.XLOOKUP('Bulk Order Details'!T262,Chest[Display],Chest[Use])="Flat",_xlfn.XLOOKUP('Bulk Order Details'!T262,Chest[Display],Chest[Flat]),ROUND(_xlfn.XLOOKUP('Bulk Order Details'!T262,Chest[Display],Chest[Pct])*$E252,2))),"")</f>
        <v/>
      </c>
      <c r="O252" s="22" t="str">
        <f>IFERROR(IF('Bulk Order Details'!U262="","",IF(_xlfn.XLOOKUP('Bulk Order Details'!U262,LeftSleeve[Display],LeftSleeve[Use])="Flat",_xlfn.XLOOKUP('Bulk Order Details'!U262,LeftSleeve[Display],LeftSleeve[Flat]),ROUND(_xlfn.XLOOKUP('Bulk Order Details'!U262,LeftSleeve[Display],LeftSleeve[Pct])*$E252,2))),"")</f>
        <v/>
      </c>
      <c r="P252" s="22" t="str">
        <f>IFERROR(IF('Bulk Order Details'!V262="","",IF(_xlfn.XLOOKUP('Bulk Order Details'!V262,RightSleeve[Display],RightSleeve[Use])="Flat",_xlfn.XLOOKUP('Bulk Order Details'!V262,RightSleeve[Display],RightSleeve[Flat]),ROUND(_xlfn.XLOOKUP('Bulk Order Details'!V262,RightSleeve[Display],RightSleeve[Pct])*$E252,2))),"")</f>
        <v/>
      </c>
      <c r="Q252" s="27" t="str">
        <f>IF('Bulk Order Details'!M262="","",SUM(F252:P252))</f>
        <v/>
      </c>
      <c r="R252" s="24" t="str">
        <f t="shared" si="16"/>
        <v/>
      </c>
      <c r="S252" s="23" t="str">
        <f>IFERROR(MIN(IF(Summary!$D$11="Yes",-J252,0),IF(H252&gt;0,-J252,0)),"")</f>
        <v/>
      </c>
      <c r="T252" s="16" t="str">
        <f>IFERROR(IF(Summary!$D$10="Yes",-K252,""),"")</f>
        <v/>
      </c>
      <c r="U252" s="18" t="str">
        <f>IFERROR(IF(Summary!$D$12="Yes",-L252,""),"")</f>
        <v/>
      </c>
      <c r="V252" s="25" t="str">
        <f>IF('Bulk Order Details'!M262="","",SUM(R252:U252))</f>
        <v/>
      </c>
      <c r="W252" s="36" t="str">
        <f>IF('Bulk Order Details'!M262="","",D252+Q252)</f>
        <v/>
      </c>
      <c r="X252" s="37" t="str">
        <f>IF('Bulk Order Details'!M262="","",D252+Q252+V252)</f>
        <v/>
      </c>
      <c r="Y252" s="168" t="str">
        <f t="shared" si="15"/>
        <v/>
      </c>
      <c r="Z252" s="173" t="str">
        <f>IF('Bulk Order Details'!M262="","",MAX(1,'Bulk Order Details'!G262))</f>
        <v/>
      </c>
      <c r="AA252" s="196" t="str">
        <f>IF(Pricing_Details[[#This Row],[Quantity]]="","",Pricing_Details[[#This Row],[Retail Price]]*Pricing_Details[[#This Row],[Quantity]])</f>
        <v/>
      </c>
      <c r="AB252" s="196" t="str">
        <f>IF(Pricing_Details[[#This Row],[Quantity]]="","",Pricing_Details[[#This Row],[Total Discount]]*Pricing_Details[[#This Row],[Quantity]])</f>
        <v/>
      </c>
      <c r="AC252" s="176" t="str">
        <f>IFERROR(ROUND(Pricing_Details[[#This Row],[Actual Price]]*Pricing_Details[[#This Row],[Quantity]],2),"")</f>
        <v/>
      </c>
      <c r="AE252" s="156" t="str">
        <f>IF('Bulk Order Details'!M262="","",VLOOKUP('Bulk Order Details'!K262,Collection[],3)&amp;VLOOKUP('Bulk Order Details'!M262,Collar[],4)&amp;VLOOKUP('Bulk Order Details'!L262,Sleeve[],4))</f>
        <v/>
      </c>
      <c r="AF252" s="156" t="str">
        <f>IF('Bulk Order Details'!M262="","",LOOKUP('Bulk Order Details'!H262,Cut[Display],Cut[Code])&amp;LOOKUP('Bulk Order Details'!I262,#REF!,#REF!)&amp;IF('Bulk Order Details'!J262="","",LOOKUP('Bulk Order Details'!J262,Length[Display],Length[Code])))</f>
        <v/>
      </c>
      <c r="AG252" s="156" t="str">
        <f>IF('Bulk Order Details'!M262="","",IF('Bulk Order Details'!F262="","",'Bulk Order Details'!F262))</f>
        <v/>
      </c>
      <c r="AH252" s="156" t="str">
        <f>IF('Bulk Order Details'!R262="","","-"&amp;LOOKUP('Bulk Order Details'!R262,#REF!,#REF!))</f>
        <v/>
      </c>
      <c r="AI252" s="156" t="str">
        <f>IF('Bulk Order Details'!S262="","","-"&amp;LOOKUP('Bulk Order Details'!S262,#REF!,#REF!))</f>
        <v/>
      </c>
      <c r="AJ252" s="156" t="str">
        <f>IF('Bulk Order Details'!T262="","","-"&amp;LOOKUP('Bulk Order Details'!T262,#REF!,#REF!))</f>
        <v/>
      </c>
      <c r="AK252" s="156" t="str">
        <f>IF('Bulk Order Details'!U262="","","-"&amp;LOOKUP('Bulk Order Details'!U262,#REF!,#REF!))</f>
        <v/>
      </c>
      <c r="AL252" s="156" t="str">
        <f>IF('Bulk Order Details'!V262="","","-"&amp;LOOKUP('Bulk Order Details'!V262,#REF!,#REF!))</f>
        <v/>
      </c>
      <c r="AM252" s="156" t="str">
        <f t="shared" si="17"/>
        <v/>
      </c>
      <c r="AN252" s="156" t="str">
        <f>IF('Bulk Order Details'!N262="","","Na-"&amp;'Bulk Order Details'!N262)</f>
        <v/>
      </c>
      <c r="AO252" s="156" t="str">
        <f>IF('Bulk Order Details'!Q262="","","Fo-"&amp;'Bulk Order Details'!Q262)</f>
        <v/>
      </c>
      <c r="AP252" s="156" t="str">
        <f t="shared" si="18"/>
        <v/>
      </c>
      <c r="AQ252" s="37" t="str">
        <f t="shared" si="19"/>
        <v/>
      </c>
    </row>
    <row r="253" spans="2:43" ht="15" customHeight="1" x14ac:dyDescent="0.2">
      <c r="B253" s="34">
        <f>'Bulk Order Details'!B263</f>
        <v>250</v>
      </c>
      <c r="C253" s="34" t="str">
        <f>IF('Bulk Order Details'!C263="","",'Bulk Order Details'!C263&amp;" "&amp;'Bulk Order Details'!D263)</f>
        <v/>
      </c>
      <c r="D253" s="31" t="str">
        <f>IF('Bulk Order Details'!M263="","",VLOOKUP(1,Price[],3))</f>
        <v/>
      </c>
      <c r="E253" s="29" t="str">
        <f>IF('Bulk Order Details'!M263="","",Summary!$D$9)</f>
        <v/>
      </c>
      <c r="F253" s="16" t="str">
        <f>IF('Bulk Order Details'!I263="","",_xlfn.XLOOKUP('Bulk Order Details'!I263,Size[Display],Size[Price]))</f>
        <v/>
      </c>
      <c r="G253" s="16" t="str">
        <f>IF('Bulk Order Details'!J263="","",_xlfn.XLOOKUP('Bulk Order Details'!J263,Length[Display],Length[Price]))</f>
        <v/>
      </c>
      <c r="H253" s="16" t="str">
        <f>IF('Bulk Order Details'!K263="","",_xlfn.XLOOKUP('Bulk Order Details'!K263,Collection[Display],Collection[Price]))</f>
        <v/>
      </c>
      <c r="I253" s="16" t="str">
        <f>IF('Bulk Order Details'!L263="","",_xlfn.XLOOKUP('Bulk Order Details'!L263,Sleeve[Display],Sleeve[Price]))</f>
        <v/>
      </c>
      <c r="J253" s="16" t="str">
        <f>IF('Bulk Order Details'!M263="","",_xlfn.XLOOKUP('Bulk Order Details'!M263,Collar[Display],Collar[Price]))</f>
        <v/>
      </c>
      <c r="K253" s="16" t="str">
        <f>IF('Bulk Order Details'!N263="","",_xlfn.XLOOKUP("Name",Name[Name],Name[Price]))</f>
        <v/>
      </c>
      <c r="L253" s="18" t="str">
        <f>IFERROR(IF('Bulk Order Details'!R263="","",IF(_xlfn.XLOOKUP('Bulk Order Details'!R263,Logos[Display],Logos[Use])="Flat",_xlfn.XLOOKUP('Bulk Order Details'!R263,Logos[Display],Logos[Flat]),ROUND(_xlfn.XLOOKUP('Bulk Order Details'!R263,Logos[Display],Logos[Pct])*$E253,2))),"")</f>
        <v/>
      </c>
      <c r="M253" s="22" t="str">
        <f>IFERROR(IF('Bulk Order Details'!S263="","",IF(_xlfn.XLOOKUP('Bulk Order Details'!S263,Chest[Display],Chest[Use])="Flat",_xlfn.XLOOKUP('Bulk Order Details'!S263,Chest[Display],Chest[Flat]),ROUND(_xlfn.XLOOKUP('Bulk Order Details'!S263,Chest[Display],Chest[Pct])*$E253,2))),"")</f>
        <v/>
      </c>
      <c r="N253" s="22" t="str">
        <f>IFERROR(IF('Bulk Order Details'!T263="","",IF(_xlfn.XLOOKUP('Bulk Order Details'!T263,Chest[Display],Chest[Use])="Flat",_xlfn.XLOOKUP('Bulk Order Details'!T263,Chest[Display],Chest[Flat]),ROUND(_xlfn.XLOOKUP('Bulk Order Details'!T263,Chest[Display],Chest[Pct])*$E253,2))),"")</f>
        <v/>
      </c>
      <c r="O253" s="22" t="str">
        <f>IFERROR(IF('Bulk Order Details'!U263="","",IF(_xlfn.XLOOKUP('Bulk Order Details'!U263,LeftSleeve[Display],LeftSleeve[Use])="Flat",_xlfn.XLOOKUP('Bulk Order Details'!U263,LeftSleeve[Display],LeftSleeve[Flat]),ROUND(_xlfn.XLOOKUP('Bulk Order Details'!U263,LeftSleeve[Display],LeftSleeve[Pct])*$E253,2))),"")</f>
        <v/>
      </c>
      <c r="P253" s="22" t="str">
        <f>IFERROR(IF('Bulk Order Details'!V263="","",IF(_xlfn.XLOOKUP('Bulk Order Details'!V263,RightSleeve[Display],RightSleeve[Use])="Flat",_xlfn.XLOOKUP('Bulk Order Details'!V263,RightSleeve[Display],RightSleeve[Flat]),ROUND(_xlfn.XLOOKUP('Bulk Order Details'!V263,RightSleeve[Display],RightSleeve[Pct])*$E253,2))),"")</f>
        <v/>
      </c>
      <c r="Q253" s="27" t="str">
        <f>IF('Bulk Order Details'!M263="","",SUM(F253:P253))</f>
        <v/>
      </c>
      <c r="R253" s="24" t="str">
        <f t="shared" si="16"/>
        <v/>
      </c>
      <c r="S253" s="23" t="str">
        <f>IFERROR(MIN(IF(Summary!$D$11="Yes",-J253,0),IF(H253&gt;0,-J253,0)),"")</f>
        <v/>
      </c>
      <c r="T253" s="16" t="str">
        <f>IFERROR(IF(Summary!$D$10="Yes",-K253,""),"")</f>
        <v/>
      </c>
      <c r="U253" s="18" t="str">
        <f>IFERROR(IF(Summary!$D$12="Yes",-L253,""),"")</f>
        <v/>
      </c>
      <c r="V253" s="25" t="str">
        <f>IF('Bulk Order Details'!M263="","",SUM(R253:U253))</f>
        <v/>
      </c>
      <c r="W253" s="36" t="str">
        <f>IF('Bulk Order Details'!M263="","",D253+Q253)</f>
        <v/>
      </c>
      <c r="X253" s="37" t="str">
        <f>IF('Bulk Order Details'!M263="","",D253+Q253+V253)</f>
        <v/>
      </c>
      <c r="Y253" s="168" t="str">
        <f t="shared" si="15"/>
        <v/>
      </c>
      <c r="Z253" s="173" t="str">
        <f>IF('Bulk Order Details'!M263="","",MAX(1,'Bulk Order Details'!G263))</f>
        <v/>
      </c>
      <c r="AA253" s="196" t="str">
        <f>IF(Pricing_Details[[#This Row],[Quantity]]="","",Pricing_Details[[#This Row],[Retail Price]]*Pricing_Details[[#This Row],[Quantity]])</f>
        <v/>
      </c>
      <c r="AB253" s="196" t="str">
        <f>IF(Pricing_Details[[#This Row],[Quantity]]="","",Pricing_Details[[#This Row],[Total Discount]]*Pricing_Details[[#This Row],[Quantity]])</f>
        <v/>
      </c>
      <c r="AC253" s="176" t="str">
        <f>IFERROR(ROUND(Pricing_Details[[#This Row],[Actual Price]]*Pricing_Details[[#This Row],[Quantity]],2),"")</f>
        <v/>
      </c>
      <c r="AE253" s="156" t="str">
        <f>IF('Bulk Order Details'!M263="","",VLOOKUP('Bulk Order Details'!K263,Collection[],3)&amp;VLOOKUP('Bulk Order Details'!M263,Collar[],4)&amp;VLOOKUP('Bulk Order Details'!L263,Sleeve[],4))</f>
        <v/>
      </c>
      <c r="AF253" s="156" t="str">
        <f>IF('Bulk Order Details'!M263="","",LOOKUP('Bulk Order Details'!H263,Cut[Display],Cut[Code])&amp;LOOKUP('Bulk Order Details'!I263,#REF!,#REF!)&amp;IF('Bulk Order Details'!J263="","",LOOKUP('Bulk Order Details'!J263,Length[Display],Length[Code])))</f>
        <v/>
      </c>
      <c r="AG253" s="156" t="str">
        <f>IF('Bulk Order Details'!M263="","",IF('Bulk Order Details'!F263="","",'Bulk Order Details'!F263))</f>
        <v/>
      </c>
      <c r="AH253" s="156" t="str">
        <f>IF('Bulk Order Details'!R263="","","-"&amp;LOOKUP('Bulk Order Details'!R263,#REF!,#REF!))</f>
        <v/>
      </c>
      <c r="AI253" s="156" t="str">
        <f>IF('Bulk Order Details'!S263="","","-"&amp;LOOKUP('Bulk Order Details'!S263,#REF!,#REF!))</f>
        <v/>
      </c>
      <c r="AJ253" s="156" t="str">
        <f>IF('Bulk Order Details'!T263="","","-"&amp;LOOKUP('Bulk Order Details'!T263,#REF!,#REF!))</f>
        <v/>
      </c>
      <c r="AK253" s="156" t="str">
        <f>IF('Bulk Order Details'!U263="","","-"&amp;LOOKUP('Bulk Order Details'!U263,#REF!,#REF!))</f>
        <v/>
      </c>
      <c r="AL253" s="156" t="str">
        <f>IF('Bulk Order Details'!V263="","","-"&amp;LOOKUP('Bulk Order Details'!V263,#REF!,#REF!))</f>
        <v/>
      </c>
      <c r="AM253" s="156" t="str">
        <f t="shared" si="17"/>
        <v/>
      </c>
      <c r="AN253" s="156" t="str">
        <f>IF('Bulk Order Details'!N263="","","Na-"&amp;'Bulk Order Details'!N263)</f>
        <v/>
      </c>
      <c r="AO253" s="156" t="str">
        <f>IF('Bulk Order Details'!Q263="","","Fo-"&amp;'Bulk Order Details'!Q263)</f>
        <v/>
      </c>
      <c r="AP253" s="156" t="str">
        <f t="shared" si="18"/>
        <v/>
      </c>
      <c r="AQ253" s="37" t="str">
        <f t="shared" si="19"/>
        <v/>
      </c>
    </row>
    <row r="254" spans="2:43" ht="15" customHeight="1" x14ac:dyDescent="0.2">
      <c r="B254" s="34">
        <f>'Bulk Order Details'!B264</f>
        <v>251</v>
      </c>
      <c r="C254" s="34" t="str">
        <f>IF('Bulk Order Details'!C264="","",'Bulk Order Details'!C264&amp;" "&amp;'Bulk Order Details'!D264)</f>
        <v/>
      </c>
      <c r="D254" s="31" t="str">
        <f>IF('Bulk Order Details'!M264="","",VLOOKUP(1,Price[],3))</f>
        <v/>
      </c>
      <c r="E254" s="29" t="str">
        <f>IF('Bulk Order Details'!M264="","",Summary!$D$9)</f>
        <v/>
      </c>
      <c r="F254" s="16" t="str">
        <f>IF('Bulk Order Details'!I264="","",_xlfn.XLOOKUP('Bulk Order Details'!I264,Size[Display],Size[Price]))</f>
        <v/>
      </c>
      <c r="G254" s="16" t="str">
        <f>IF('Bulk Order Details'!J264="","",_xlfn.XLOOKUP('Bulk Order Details'!J264,Length[Display],Length[Price]))</f>
        <v/>
      </c>
      <c r="H254" s="16" t="str">
        <f>IF('Bulk Order Details'!K264="","",_xlfn.XLOOKUP('Bulk Order Details'!K264,Collection[Display],Collection[Price]))</f>
        <v/>
      </c>
      <c r="I254" s="16" t="str">
        <f>IF('Bulk Order Details'!L264="","",_xlfn.XLOOKUP('Bulk Order Details'!L264,Sleeve[Display],Sleeve[Price]))</f>
        <v/>
      </c>
      <c r="J254" s="16" t="str">
        <f>IF('Bulk Order Details'!M264="","",_xlfn.XLOOKUP('Bulk Order Details'!M264,Collar[Display],Collar[Price]))</f>
        <v/>
      </c>
      <c r="K254" s="16" t="str">
        <f>IF('Bulk Order Details'!N264="","",_xlfn.XLOOKUP("Name",Name[Name],Name[Price]))</f>
        <v/>
      </c>
      <c r="L254" s="18" t="str">
        <f>IFERROR(IF('Bulk Order Details'!R264="","",IF(_xlfn.XLOOKUP('Bulk Order Details'!R264,Logos[Display],Logos[Use])="Flat",_xlfn.XLOOKUP('Bulk Order Details'!R264,Logos[Display],Logos[Flat]),ROUND(_xlfn.XLOOKUP('Bulk Order Details'!R264,Logos[Display],Logos[Pct])*$E254,2))),"")</f>
        <v/>
      </c>
      <c r="M254" s="22" t="str">
        <f>IFERROR(IF('Bulk Order Details'!S264="","",IF(_xlfn.XLOOKUP('Bulk Order Details'!S264,Chest[Display],Chest[Use])="Flat",_xlfn.XLOOKUP('Bulk Order Details'!S264,Chest[Display],Chest[Flat]),ROUND(_xlfn.XLOOKUP('Bulk Order Details'!S264,Chest[Display],Chest[Pct])*$E254,2))),"")</f>
        <v/>
      </c>
      <c r="N254" s="22" t="str">
        <f>IFERROR(IF('Bulk Order Details'!T264="","",IF(_xlfn.XLOOKUP('Bulk Order Details'!T264,Chest[Display],Chest[Use])="Flat",_xlfn.XLOOKUP('Bulk Order Details'!T264,Chest[Display],Chest[Flat]),ROUND(_xlfn.XLOOKUP('Bulk Order Details'!T264,Chest[Display],Chest[Pct])*$E254,2))),"")</f>
        <v/>
      </c>
      <c r="O254" s="22" t="str">
        <f>IFERROR(IF('Bulk Order Details'!U264="","",IF(_xlfn.XLOOKUP('Bulk Order Details'!U264,LeftSleeve[Display],LeftSleeve[Use])="Flat",_xlfn.XLOOKUP('Bulk Order Details'!U264,LeftSleeve[Display],LeftSleeve[Flat]),ROUND(_xlfn.XLOOKUP('Bulk Order Details'!U264,LeftSleeve[Display],LeftSleeve[Pct])*$E254,2))),"")</f>
        <v/>
      </c>
      <c r="P254" s="22" t="str">
        <f>IFERROR(IF('Bulk Order Details'!V264="","",IF(_xlfn.XLOOKUP('Bulk Order Details'!V264,RightSleeve[Display],RightSleeve[Use])="Flat",_xlfn.XLOOKUP('Bulk Order Details'!V264,RightSleeve[Display],RightSleeve[Flat]),ROUND(_xlfn.XLOOKUP('Bulk Order Details'!V264,RightSleeve[Display],RightSleeve[Pct])*$E254,2))),"")</f>
        <v/>
      </c>
      <c r="Q254" s="27" t="str">
        <f>IF('Bulk Order Details'!M264="","",SUM(F254:P254))</f>
        <v/>
      </c>
      <c r="R254" s="24" t="str">
        <f t="shared" si="16"/>
        <v/>
      </c>
      <c r="S254" s="23" t="str">
        <f>IFERROR(MIN(IF(Summary!$D$11="Yes",-J254,0),IF(H254&gt;0,-J254,0)),"")</f>
        <v/>
      </c>
      <c r="T254" s="16" t="str">
        <f>IFERROR(IF(Summary!$D$10="Yes",-K254,""),"")</f>
        <v/>
      </c>
      <c r="U254" s="18" t="str">
        <f>IFERROR(IF(Summary!$D$12="Yes",-L254,""),"")</f>
        <v/>
      </c>
      <c r="V254" s="25" t="str">
        <f>IF('Bulk Order Details'!M264="","",SUM(R254:U254))</f>
        <v/>
      </c>
      <c r="W254" s="36" t="str">
        <f>IF('Bulk Order Details'!M264="","",D254+Q254)</f>
        <v/>
      </c>
      <c r="X254" s="37" t="str">
        <f>IF('Bulk Order Details'!M264="","",D254+Q254+V254)</f>
        <v/>
      </c>
      <c r="Y254" s="168" t="str">
        <f t="shared" si="15"/>
        <v/>
      </c>
      <c r="Z254" s="173" t="str">
        <f>IF('Bulk Order Details'!M264="","",MAX(1,'Bulk Order Details'!G264))</f>
        <v/>
      </c>
      <c r="AA254" s="196" t="str">
        <f>IF(Pricing_Details[[#This Row],[Quantity]]="","",Pricing_Details[[#This Row],[Retail Price]]*Pricing_Details[[#This Row],[Quantity]])</f>
        <v/>
      </c>
      <c r="AB254" s="196" t="str">
        <f>IF(Pricing_Details[[#This Row],[Quantity]]="","",Pricing_Details[[#This Row],[Total Discount]]*Pricing_Details[[#This Row],[Quantity]])</f>
        <v/>
      </c>
      <c r="AC254" s="176" t="str">
        <f>IFERROR(ROUND(Pricing_Details[[#This Row],[Actual Price]]*Pricing_Details[[#This Row],[Quantity]],2),"")</f>
        <v/>
      </c>
      <c r="AE254" s="156" t="str">
        <f>IF('Bulk Order Details'!M264="","",VLOOKUP('Bulk Order Details'!K264,Collection[],3)&amp;VLOOKUP('Bulk Order Details'!M264,Collar[],4)&amp;VLOOKUP('Bulk Order Details'!L264,Sleeve[],4))</f>
        <v/>
      </c>
      <c r="AF254" s="156" t="str">
        <f>IF('Bulk Order Details'!M264="","",LOOKUP('Bulk Order Details'!H264,Cut[Display],Cut[Code])&amp;LOOKUP('Bulk Order Details'!I264,#REF!,#REF!)&amp;IF('Bulk Order Details'!J264="","",LOOKUP('Bulk Order Details'!J264,Length[Display],Length[Code])))</f>
        <v/>
      </c>
      <c r="AG254" s="156" t="str">
        <f>IF('Bulk Order Details'!M264="","",IF('Bulk Order Details'!F264="","",'Bulk Order Details'!F264))</f>
        <v/>
      </c>
      <c r="AH254" s="156" t="str">
        <f>IF('Bulk Order Details'!R264="","","-"&amp;LOOKUP('Bulk Order Details'!R264,#REF!,#REF!))</f>
        <v/>
      </c>
      <c r="AI254" s="156" t="str">
        <f>IF('Bulk Order Details'!S264="","","-"&amp;LOOKUP('Bulk Order Details'!S264,#REF!,#REF!))</f>
        <v/>
      </c>
      <c r="AJ254" s="156" t="str">
        <f>IF('Bulk Order Details'!T264="","","-"&amp;LOOKUP('Bulk Order Details'!T264,#REF!,#REF!))</f>
        <v/>
      </c>
      <c r="AK254" s="156" t="str">
        <f>IF('Bulk Order Details'!U264="","","-"&amp;LOOKUP('Bulk Order Details'!U264,#REF!,#REF!))</f>
        <v/>
      </c>
      <c r="AL254" s="156" t="str">
        <f>IF('Bulk Order Details'!V264="","","-"&amp;LOOKUP('Bulk Order Details'!V264,#REF!,#REF!))</f>
        <v/>
      </c>
      <c r="AM254" s="156" t="str">
        <f t="shared" si="17"/>
        <v/>
      </c>
      <c r="AN254" s="156" t="str">
        <f>IF('Bulk Order Details'!N264="","","Na-"&amp;'Bulk Order Details'!N264)</f>
        <v/>
      </c>
      <c r="AO254" s="156" t="str">
        <f>IF('Bulk Order Details'!Q264="","","Fo-"&amp;'Bulk Order Details'!Q264)</f>
        <v/>
      </c>
      <c r="AP254" s="156" t="str">
        <f t="shared" si="18"/>
        <v/>
      </c>
      <c r="AQ254" s="37" t="str">
        <f t="shared" si="19"/>
        <v/>
      </c>
    </row>
    <row r="255" spans="2:43" ht="15" customHeight="1" x14ac:dyDescent="0.2">
      <c r="B255" s="34">
        <f>'Bulk Order Details'!B265</f>
        <v>252</v>
      </c>
      <c r="C255" s="34" t="str">
        <f>IF('Bulk Order Details'!C265="","",'Bulk Order Details'!C265&amp;" "&amp;'Bulk Order Details'!D265)</f>
        <v/>
      </c>
      <c r="D255" s="31" t="str">
        <f>IF('Bulk Order Details'!M265="","",VLOOKUP(1,Price[],3))</f>
        <v/>
      </c>
      <c r="E255" s="29" t="str">
        <f>IF('Bulk Order Details'!M265="","",Summary!$D$9)</f>
        <v/>
      </c>
      <c r="F255" s="16" t="str">
        <f>IF('Bulk Order Details'!I265="","",_xlfn.XLOOKUP('Bulk Order Details'!I265,Size[Display],Size[Price]))</f>
        <v/>
      </c>
      <c r="G255" s="16" t="str">
        <f>IF('Bulk Order Details'!J265="","",_xlfn.XLOOKUP('Bulk Order Details'!J265,Length[Display],Length[Price]))</f>
        <v/>
      </c>
      <c r="H255" s="16" t="str">
        <f>IF('Bulk Order Details'!K265="","",_xlfn.XLOOKUP('Bulk Order Details'!K265,Collection[Display],Collection[Price]))</f>
        <v/>
      </c>
      <c r="I255" s="16" t="str">
        <f>IF('Bulk Order Details'!L265="","",_xlfn.XLOOKUP('Bulk Order Details'!L265,Sleeve[Display],Sleeve[Price]))</f>
        <v/>
      </c>
      <c r="J255" s="16" t="str">
        <f>IF('Bulk Order Details'!M265="","",_xlfn.XLOOKUP('Bulk Order Details'!M265,Collar[Display],Collar[Price]))</f>
        <v/>
      </c>
      <c r="K255" s="16" t="str">
        <f>IF('Bulk Order Details'!N265="","",_xlfn.XLOOKUP("Name",Name[Name],Name[Price]))</f>
        <v/>
      </c>
      <c r="L255" s="18" t="str">
        <f>IFERROR(IF('Bulk Order Details'!R265="","",IF(_xlfn.XLOOKUP('Bulk Order Details'!R265,Logos[Display],Logos[Use])="Flat",_xlfn.XLOOKUP('Bulk Order Details'!R265,Logos[Display],Logos[Flat]),ROUND(_xlfn.XLOOKUP('Bulk Order Details'!R265,Logos[Display],Logos[Pct])*$E255,2))),"")</f>
        <v/>
      </c>
      <c r="M255" s="22" t="str">
        <f>IFERROR(IF('Bulk Order Details'!S265="","",IF(_xlfn.XLOOKUP('Bulk Order Details'!S265,Chest[Display],Chest[Use])="Flat",_xlfn.XLOOKUP('Bulk Order Details'!S265,Chest[Display],Chest[Flat]),ROUND(_xlfn.XLOOKUP('Bulk Order Details'!S265,Chest[Display],Chest[Pct])*$E255,2))),"")</f>
        <v/>
      </c>
      <c r="N255" s="22" t="str">
        <f>IFERROR(IF('Bulk Order Details'!T265="","",IF(_xlfn.XLOOKUP('Bulk Order Details'!T265,Chest[Display],Chest[Use])="Flat",_xlfn.XLOOKUP('Bulk Order Details'!T265,Chest[Display],Chest[Flat]),ROUND(_xlfn.XLOOKUP('Bulk Order Details'!T265,Chest[Display],Chest[Pct])*$E255,2))),"")</f>
        <v/>
      </c>
      <c r="O255" s="22" t="str">
        <f>IFERROR(IF('Bulk Order Details'!U265="","",IF(_xlfn.XLOOKUP('Bulk Order Details'!U265,LeftSleeve[Display],LeftSleeve[Use])="Flat",_xlfn.XLOOKUP('Bulk Order Details'!U265,LeftSleeve[Display],LeftSleeve[Flat]),ROUND(_xlfn.XLOOKUP('Bulk Order Details'!U265,LeftSleeve[Display],LeftSleeve[Pct])*$E255,2))),"")</f>
        <v/>
      </c>
      <c r="P255" s="22" t="str">
        <f>IFERROR(IF('Bulk Order Details'!V265="","",IF(_xlfn.XLOOKUP('Bulk Order Details'!V265,RightSleeve[Display],RightSleeve[Use])="Flat",_xlfn.XLOOKUP('Bulk Order Details'!V265,RightSleeve[Display],RightSleeve[Flat]),ROUND(_xlfn.XLOOKUP('Bulk Order Details'!V265,RightSleeve[Display],RightSleeve[Pct])*$E255,2))),"")</f>
        <v/>
      </c>
      <c r="Q255" s="27" t="str">
        <f>IF('Bulk Order Details'!M265="","",SUM(F255:P255))</f>
        <v/>
      </c>
      <c r="R255" s="24" t="str">
        <f t="shared" si="16"/>
        <v/>
      </c>
      <c r="S255" s="23" t="str">
        <f>IFERROR(MIN(IF(Summary!$D$11="Yes",-J255,0),IF(H255&gt;0,-J255,0)),"")</f>
        <v/>
      </c>
      <c r="T255" s="16" t="str">
        <f>IFERROR(IF(Summary!$D$10="Yes",-K255,""),"")</f>
        <v/>
      </c>
      <c r="U255" s="18" t="str">
        <f>IFERROR(IF(Summary!$D$12="Yes",-L255,""),"")</f>
        <v/>
      </c>
      <c r="V255" s="25" t="str">
        <f>IF('Bulk Order Details'!M265="","",SUM(R255:U255))</f>
        <v/>
      </c>
      <c r="W255" s="36" t="str">
        <f>IF('Bulk Order Details'!M265="","",D255+Q255)</f>
        <v/>
      </c>
      <c r="X255" s="37" t="str">
        <f>IF('Bulk Order Details'!M265="","",D255+Q255+V255)</f>
        <v/>
      </c>
      <c r="Y255" s="168" t="str">
        <f t="shared" si="15"/>
        <v/>
      </c>
      <c r="Z255" s="173" t="str">
        <f>IF('Bulk Order Details'!M265="","",MAX(1,'Bulk Order Details'!G265))</f>
        <v/>
      </c>
      <c r="AA255" s="196" t="str">
        <f>IF(Pricing_Details[[#This Row],[Quantity]]="","",Pricing_Details[[#This Row],[Retail Price]]*Pricing_Details[[#This Row],[Quantity]])</f>
        <v/>
      </c>
      <c r="AB255" s="196" t="str">
        <f>IF(Pricing_Details[[#This Row],[Quantity]]="","",Pricing_Details[[#This Row],[Total Discount]]*Pricing_Details[[#This Row],[Quantity]])</f>
        <v/>
      </c>
      <c r="AC255" s="176" t="str">
        <f>IFERROR(ROUND(Pricing_Details[[#This Row],[Actual Price]]*Pricing_Details[[#This Row],[Quantity]],2),"")</f>
        <v/>
      </c>
      <c r="AE255" s="156" t="str">
        <f>IF('Bulk Order Details'!M265="","",VLOOKUP('Bulk Order Details'!K265,Collection[],3)&amp;VLOOKUP('Bulk Order Details'!M265,Collar[],4)&amp;VLOOKUP('Bulk Order Details'!L265,Sleeve[],4))</f>
        <v/>
      </c>
      <c r="AF255" s="156" t="str">
        <f>IF('Bulk Order Details'!M265="","",LOOKUP('Bulk Order Details'!H265,Cut[Display],Cut[Code])&amp;LOOKUP('Bulk Order Details'!I265,#REF!,#REF!)&amp;IF('Bulk Order Details'!J265="","",LOOKUP('Bulk Order Details'!J265,Length[Display],Length[Code])))</f>
        <v/>
      </c>
      <c r="AG255" s="156" t="str">
        <f>IF('Bulk Order Details'!M265="","",IF('Bulk Order Details'!F265="","",'Bulk Order Details'!F265))</f>
        <v/>
      </c>
      <c r="AH255" s="156" t="str">
        <f>IF('Bulk Order Details'!R265="","","-"&amp;LOOKUP('Bulk Order Details'!R265,#REF!,#REF!))</f>
        <v/>
      </c>
      <c r="AI255" s="156" t="str">
        <f>IF('Bulk Order Details'!S265="","","-"&amp;LOOKUP('Bulk Order Details'!S265,#REF!,#REF!))</f>
        <v/>
      </c>
      <c r="AJ255" s="156" t="str">
        <f>IF('Bulk Order Details'!T265="","","-"&amp;LOOKUP('Bulk Order Details'!T265,#REF!,#REF!))</f>
        <v/>
      </c>
      <c r="AK255" s="156" t="str">
        <f>IF('Bulk Order Details'!U265="","","-"&amp;LOOKUP('Bulk Order Details'!U265,#REF!,#REF!))</f>
        <v/>
      </c>
      <c r="AL255" s="156" t="str">
        <f>IF('Bulk Order Details'!V265="","","-"&amp;LOOKUP('Bulk Order Details'!V265,#REF!,#REF!))</f>
        <v/>
      </c>
      <c r="AM255" s="156" t="str">
        <f t="shared" si="17"/>
        <v/>
      </c>
      <c r="AN255" s="156" t="str">
        <f>IF('Bulk Order Details'!N265="","","Na-"&amp;'Bulk Order Details'!N265)</f>
        <v/>
      </c>
      <c r="AO255" s="156" t="str">
        <f>IF('Bulk Order Details'!Q265="","","Fo-"&amp;'Bulk Order Details'!Q265)</f>
        <v/>
      </c>
      <c r="AP255" s="156" t="str">
        <f t="shared" si="18"/>
        <v/>
      </c>
      <c r="AQ255" s="37" t="str">
        <f t="shared" si="19"/>
        <v/>
      </c>
    </row>
    <row r="256" spans="2:43" ht="15" customHeight="1" x14ac:dyDescent="0.2">
      <c r="B256" s="34">
        <f>'Bulk Order Details'!B266</f>
        <v>253</v>
      </c>
      <c r="C256" s="34" t="str">
        <f>IF('Bulk Order Details'!C266="","",'Bulk Order Details'!C266&amp;" "&amp;'Bulk Order Details'!D266)</f>
        <v/>
      </c>
      <c r="D256" s="31" t="str">
        <f>IF('Bulk Order Details'!M266="","",VLOOKUP(1,Price[],3))</f>
        <v/>
      </c>
      <c r="E256" s="29" t="str">
        <f>IF('Bulk Order Details'!M266="","",Summary!$D$9)</f>
        <v/>
      </c>
      <c r="F256" s="16" t="str">
        <f>IF('Bulk Order Details'!I266="","",_xlfn.XLOOKUP('Bulk Order Details'!I266,Size[Display],Size[Price]))</f>
        <v/>
      </c>
      <c r="G256" s="16" t="str">
        <f>IF('Bulk Order Details'!J266="","",_xlfn.XLOOKUP('Bulk Order Details'!J266,Length[Display],Length[Price]))</f>
        <v/>
      </c>
      <c r="H256" s="16" t="str">
        <f>IF('Bulk Order Details'!K266="","",_xlfn.XLOOKUP('Bulk Order Details'!K266,Collection[Display],Collection[Price]))</f>
        <v/>
      </c>
      <c r="I256" s="16" t="str">
        <f>IF('Bulk Order Details'!L266="","",_xlfn.XLOOKUP('Bulk Order Details'!L266,Sleeve[Display],Sleeve[Price]))</f>
        <v/>
      </c>
      <c r="J256" s="16" t="str">
        <f>IF('Bulk Order Details'!M266="","",_xlfn.XLOOKUP('Bulk Order Details'!M266,Collar[Display],Collar[Price]))</f>
        <v/>
      </c>
      <c r="K256" s="16" t="str">
        <f>IF('Bulk Order Details'!N266="","",_xlfn.XLOOKUP("Name",Name[Name],Name[Price]))</f>
        <v/>
      </c>
      <c r="L256" s="18" t="str">
        <f>IFERROR(IF('Bulk Order Details'!R266="","",IF(_xlfn.XLOOKUP('Bulk Order Details'!R266,Logos[Display],Logos[Use])="Flat",_xlfn.XLOOKUP('Bulk Order Details'!R266,Logos[Display],Logos[Flat]),ROUND(_xlfn.XLOOKUP('Bulk Order Details'!R266,Logos[Display],Logos[Pct])*$E256,2))),"")</f>
        <v/>
      </c>
      <c r="M256" s="22" t="str">
        <f>IFERROR(IF('Bulk Order Details'!S266="","",IF(_xlfn.XLOOKUP('Bulk Order Details'!S266,Chest[Display],Chest[Use])="Flat",_xlfn.XLOOKUP('Bulk Order Details'!S266,Chest[Display],Chest[Flat]),ROUND(_xlfn.XLOOKUP('Bulk Order Details'!S266,Chest[Display],Chest[Pct])*$E256,2))),"")</f>
        <v/>
      </c>
      <c r="N256" s="22" t="str">
        <f>IFERROR(IF('Bulk Order Details'!T266="","",IF(_xlfn.XLOOKUP('Bulk Order Details'!T266,Chest[Display],Chest[Use])="Flat",_xlfn.XLOOKUP('Bulk Order Details'!T266,Chest[Display],Chest[Flat]),ROUND(_xlfn.XLOOKUP('Bulk Order Details'!T266,Chest[Display],Chest[Pct])*$E256,2))),"")</f>
        <v/>
      </c>
      <c r="O256" s="22" t="str">
        <f>IFERROR(IF('Bulk Order Details'!U266="","",IF(_xlfn.XLOOKUP('Bulk Order Details'!U266,LeftSleeve[Display],LeftSleeve[Use])="Flat",_xlfn.XLOOKUP('Bulk Order Details'!U266,LeftSleeve[Display],LeftSleeve[Flat]),ROUND(_xlfn.XLOOKUP('Bulk Order Details'!U266,LeftSleeve[Display],LeftSleeve[Pct])*$E256,2))),"")</f>
        <v/>
      </c>
      <c r="P256" s="22" t="str">
        <f>IFERROR(IF('Bulk Order Details'!V266="","",IF(_xlfn.XLOOKUP('Bulk Order Details'!V266,RightSleeve[Display],RightSleeve[Use])="Flat",_xlfn.XLOOKUP('Bulk Order Details'!V266,RightSleeve[Display],RightSleeve[Flat]),ROUND(_xlfn.XLOOKUP('Bulk Order Details'!V266,RightSleeve[Display],RightSleeve[Pct])*$E256,2))),"")</f>
        <v/>
      </c>
      <c r="Q256" s="27" t="str">
        <f>IF('Bulk Order Details'!M266="","",SUM(F256:P256))</f>
        <v/>
      </c>
      <c r="R256" s="24" t="str">
        <f t="shared" si="16"/>
        <v/>
      </c>
      <c r="S256" s="23" t="str">
        <f>IFERROR(MIN(IF(Summary!$D$11="Yes",-J256,0),IF(H256&gt;0,-J256,0)),"")</f>
        <v/>
      </c>
      <c r="T256" s="16" t="str">
        <f>IFERROR(IF(Summary!$D$10="Yes",-K256,""),"")</f>
        <v/>
      </c>
      <c r="U256" s="18" t="str">
        <f>IFERROR(IF(Summary!$D$12="Yes",-L256,""),"")</f>
        <v/>
      </c>
      <c r="V256" s="25" t="str">
        <f>IF('Bulk Order Details'!M266="","",SUM(R256:U256))</f>
        <v/>
      </c>
      <c r="W256" s="36" t="str">
        <f>IF('Bulk Order Details'!M266="","",D256+Q256)</f>
        <v/>
      </c>
      <c r="X256" s="37" t="str">
        <f>IF('Bulk Order Details'!M266="","",D256+Q256+V256)</f>
        <v/>
      </c>
      <c r="Y256" s="168" t="str">
        <f t="shared" si="15"/>
        <v/>
      </c>
      <c r="Z256" s="173" t="str">
        <f>IF('Bulk Order Details'!M266="","",MAX(1,'Bulk Order Details'!G266))</f>
        <v/>
      </c>
      <c r="AA256" s="196" t="str">
        <f>IF(Pricing_Details[[#This Row],[Quantity]]="","",Pricing_Details[[#This Row],[Retail Price]]*Pricing_Details[[#This Row],[Quantity]])</f>
        <v/>
      </c>
      <c r="AB256" s="196" t="str">
        <f>IF(Pricing_Details[[#This Row],[Quantity]]="","",Pricing_Details[[#This Row],[Total Discount]]*Pricing_Details[[#This Row],[Quantity]])</f>
        <v/>
      </c>
      <c r="AC256" s="176" t="str">
        <f>IFERROR(ROUND(Pricing_Details[[#This Row],[Actual Price]]*Pricing_Details[[#This Row],[Quantity]],2),"")</f>
        <v/>
      </c>
      <c r="AE256" s="156" t="str">
        <f>IF('Bulk Order Details'!M266="","",VLOOKUP('Bulk Order Details'!K266,Collection[],3)&amp;VLOOKUP('Bulk Order Details'!M266,Collar[],4)&amp;VLOOKUP('Bulk Order Details'!L266,Sleeve[],4))</f>
        <v/>
      </c>
      <c r="AF256" s="156" t="str">
        <f>IF('Bulk Order Details'!M266="","",LOOKUP('Bulk Order Details'!H266,Cut[Display],Cut[Code])&amp;LOOKUP('Bulk Order Details'!I266,#REF!,#REF!)&amp;IF('Bulk Order Details'!J266="","",LOOKUP('Bulk Order Details'!J266,Length[Display],Length[Code])))</f>
        <v/>
      </c>
      <c r="AG256" s="156" t="str">
        <f>IF('Bulk Order Details'!M266="","",IF('Bulk Order Details'!F266="","",'Bulk Order Details'!F266))</f>
        <v/>
      </c>
      <c r="AH256" s="156" t="str">
        <f>IF('Bulk Order Details'!R266="","","-"&amp;LOOKUP('Bulk Order Details'!R266,#REF!,#REF!))</f>
        <v/>
      </c>
      <c r="AI256" s="156" t="str">
        <f>IF('Bulk Order Details'!S266="","","-"&amp;LOOKUP('Bulk Order Details'!S266,#REF!,#REF!))</f>
        <v/>
      </c>
      <c r="AJ256" s="156" t="str">
        <f>IF('Bulk Order Details'!T266="","","-"&amp;LOOKUP('Bulk Order Details'!T266,#REF!,#REF!))</f>
        <v/>
      </c>
      <c r="AK256" s="156" t="str">
        <f>IF('Bulk Order Details'!U266="","","-"&amp;LOOKUP('Bulk Order Details'!U266,#REF!,#REF!))</f>
        <v/>
      </c>
      <c r="AL256" s="156" t="str">
        <f>IF('Bulk Order Details'!V266="","","-"&amp;LOOKUP('Bulk Order Details'!V266,#REF!,#REF!))</f>
        <v/>
      </c>
      <c r="AM256" s="156" t="str">
        <f t="shared" si="17"/>
        <v/>
      </c>
      <c r="AN256" s="156" t="str">
        <f>IF('Bulk Order Details'!N266="","","Na-"&amp;'Bulk Order Details'!N266)</f>
        <v/>
      </c>
      <c r="AO256" s="156" t="str">
        <f>IF('Bulk Order Details'!Q266="","","Fo-"&amp;'Bulk Order Details'!Q266)</f>
        <v/>
      </c>
      <c r="AP256" s="156" t="str">
        <f t="shared" si="18"/>
        <v/>
      </c>
      <c r="AQ256" s="37" t="str">
        <f t="shared" si="19"/>
        <v/>
      </c>
    </row>
    <row r="257" spans="2:43" ht="15" customHeight="1" x14ac:dyDescent="0.2">
      <c r="B257" s="34">
        <f>'Bulk Order Details'!B267</f>
        <v>254</v>
      </c>
      <c r="C257" s="34" t="str">
        <f>IF('Bulk Order Details'!C267="","",'Bulk Order Details'!C267&amp;" "&amp;'Bulk Order Details'!D267)</f>
        <v/>
      </c>
      <c r="D257" s="31" t="str">
        <f>IF('Bulk Order Details'!M267="","",VLOOKUP(1,Price[],3))</f>
        <v/>
      </c>
      <c r="E257" s="29" t="str">
        <f>IF('Bulk Order Details'!M267="","",Summary!$D$9)</f>
        <v/>
      </c>
      <c r="F257" s="16" t="str">
        <f>IF('Bulk Order Details'!I267="","",_xlfn.XLOOKUP('Bulk Order Details'!I267,Size[Display],Size[Price]))</f>
        <v/>
      </c>
      <c r="G257" s="16" t="str">
        <f>IF('Bulk Order Details'!J267="","",_xlfn.XLOOKUP('Bulk Order Details'!J267,Length[Display],Length[Price]))</f>
        <v/>
      </c>
      <c r="H257" s="16" t="str">
        <f>IF('Bulk Order Details'!K267="","",_xlfn.XLOOKUP('Bulk Order Details'!K267,Collection[Display],Collection[Price]))</f>
        <v/>
      </c>
      <c r="I257" s="16" t="str">
        <f>IF('Bulk Order Details'!L267="","",_xlfn.XLOOKUP('Bulk Order Details'!L267,Sleeve[Display],Sleeve[Price]))</f>
        <v/>
      </c>
      <c r="J257" s="16" t="str">
        <f>IF('Bulk Order Details'!M267="","",_xlfn.XLOOKUP('Bulk Order Details'!M267,Collar[Display],Collar[Price]))</f>
        <v/>
      </c>
      <c r="K257" s="16" t="str">
        <f>IF('Bulk Order Details'!N267="","",_xlfn.XLOOKUP("Name",Name[Name],Name[Price]))</f>
        <v/>
      </c>
      <c r="L257" s="18" t="str">
        <f>IFERROR(IF('Bulk Order Details'!R267="","",IF(_xlfn.XLOOKUP('Bulk Order Details'!R267,Logos[Display],Logos[Use])="Flat",_xlfn.XLOOKUP('Bulk Order Details'!R267,Logos[Display],Logos[Flat]),ROUND(_xlfn.XLOOKUP('Bulk Order Details'!R267,Logos[Display],Logos[Pct])*$E257,2))),"")</f>
        <v/>
      </c>
      <c r="M257" s="22" t="str">
        <f>IFERROR(IF('Bulk Order Details'!S267="","",IF(_xlfn.XLOOKUP('Bulk Order Details'!S267,Chest[Display],Chest[Use])="Flat",_xlfn.XLOOKUP('Bulk Order Details'!S267,Chest[Display],Chest[Flat]),ROUND(_xlfn.XLOOKUP('Bulk Order Details'!S267,Chest[Display],Chest[Pct])*$E257,2))),"")</f>
        <v/>
      </c>
      <c r="N257" s="22" t="str">
        <f>IFERROR(IF('Bulk Order Details'!T267="","",IF(_xlfn.XLOOKUP('Bulk Order Details'!T267,Chest[Display],Chest[Use])="Flat",_xlfn.XLOOKUP('Bulk Order Details'!T267,Chest[Display],Chest[Flat]),ROUND(_xlfn.XLOOKUP('Bulk Order Details'!T267,Chest[Display],Chest[Pct])*$E257,2))),"")</f>
        <v/>
      </c>
      <c r="O257" s="22" t="str">
        <f>IFERROR(IF('Bulk Order Details'!U267="","",IF(_xlfn.XLOOKUP('Bulk Order Details'!U267,LeftSleeve[Display],LeftSleeve[Use])="Flat",_xlfn.XLOOKUP('Bulk Order Details'!U267,LeftSleeve[Display],LeftSleeve[Flat]),ROUND(_xlfn.XLOOKUP('Bulk Order Details'!U267,LeftSleeve[Display],LeftSleeve[Pct])*$E257,2))),"")</f>
        <v/>
      </c>
      <c r="P257" s="22" t="str">
        <f>IFERROR(IF('Bulk Order Details'!V267="","",IF(_xlfn.XLOOKUP('Bulk Order Details'!V267,RightSleeve[Display],RightSleeve[Use])="Flat",_xlfn.XLOOKUP('Bulk Order Details'!V267,RightSleeve[Display],RightSleeve[Flat]),ROUND(_xlfn.XLOOKUP('Bulk Order Details'!V267,RightSleeve[Display],RightSleeve[Pct])*$E257,2))),"")</f>
        <v/>
      </c>
      <c r="Q257" s="27" t="str">
        <f>IF('Bulk Order Details'!M267="","",SUM(F257:P257))</f>
        <v/>
      </c>
      <c r="R257" s="24" t="str">
        <f t="shared" si="16"/>
        <v/>
      </c>
      <c r="S257" s="23" t="str">
        <f>IFERROR(MIN(IF(Summary!$D$11="Yes",-J257,0),IF(H257&gt;0,-J257,0)),"")</f>
        <v/>
      </c>
      <c r="T257" s="16" t="str">
        <f>IFERROR(IF(Summary!$D$10="Yes",-K257,""),"")</f>
        <v/>
      </c>
      <c r="U257" s="18" t="str">
        <f>IFERROR(IF(Summary!$D$12="Yes",-L257,""),"")</f>
        <v/>
      </c>
      <c r="V257" s="25" t="str">
        <f>IF('Bulk Order Details'!M267="","",SUM(R257:U257))</f>
        <v/>
      </c>
      <c r="W257" s="36" t="str">
        <f>IF('Bulk Order Details'!M267="","",D257+Q257)</f>
        <v/>
      </c>
      <c r="X257" s="37" t="str">
        <f>IF('Bulk Order Details'!M267="","",D257+Q257+V257)</f>
        <v/>
      </c>
      <c r="Y257" s="168" t="str">
        <f t="shared" si="15"/>
        <v/>
      </c>
      <c r="Z257" s="173" t="str">
        <f>IF('Bulk Order Details'!M267="","",MAX(1,'Bulk Order Details'!G267))</f>
        <v/>
      </c>
      <c r="AA257" s="196" t="str">
        <f>IF(Pricing_Details[[#This Row],[Quantity]]="","",Pricing_Details[[#This Row],[Retail Price]]*Pricing_Details[[#This Row],[Quantity]])</f>
        <v/>
      </c>
      <c r="AB257" s="196" t="str">
        <f>IF(Pricing_Details[[#This Row],[Quantity]]="","",Pricing_Details[[#This Row],[Total Discount]]*Pricing_Details[[#This Row],[Quantity]])</f>
        <v/>
      </c>
      <c r="AC257" s="176" t="str">
        <f>IFERROR(ROUND(Pricing_Details[[#This Row],[Actual Price]]*Pricing_Details[[#This Row],[Quantity]],2),"")</f>
        <v/>
      </c>
      <c r="AE257" s="156" t="str">
        <f>IF('Bulk Order Details'!M267="","",VLOOKUP('Bulk Order Details'!K267,Collection[],3)&amp;VLOOKUP('Bulk Order Details'!M267,Collar[],4)&amp;VLOOKUP('Bulk Order Details'!L267,Sleeve[],4))</f>
        <v/>
      </c>
      <c r="AF257" s="156" t="str">
        <f>IF('Bulk Order Details'!M267="","",LOOKUP('Bulk Order Details'!H267,Cut[Display],Cut[Code])&amp;LOOKUP('Bulk Order Details'!I267,#REF!,#REF!)&amp;IF('Bulk Order Details'!J267="","",LOOKUP('Bulk Order Details'!J267,Length[Display],Length[Code])))</f>
        <v/>
      </c>
      <c r="AG257" s="156" t="str">
        <f>IF('Bulk Order Details'!M267="","",IF('Bulk Order Details'!F267="","",'Bulk Order Details'!F267))</f>
        <v/>
      </c>
      <c r="AH257" s="156" t="str">
        <f>IF('Bulk Order Details'!R267="","","-"&amp;LOOKUP('Bulk Order Details'!R267,#REF!,#REF!))</f>
        <v/>
      </c>
      <c r="AI257" s="156" t="str">
        <f>IF('Bulk Order Details'!S267="","","-"&amp;LOOKUP('Bulk Order Details'!S267,#REF!,#REF!))</f>
        <v/>
      </c>
      <c r="AJ257" s="156" t="str">
        <f>IF('Bulk Order Details'!T267="","","-"&amp;LOOKUP('Bulk Order Details'!T267,#REF!,#REF!))</f>
        <v/>
      </c>
      <c r="AK257" s="156" t="str">
        <f>IF('Bulk Order Details'!U267="","","-"&amp;LOOKUP('Bulk Order Details'!U267,#REF!,#REF!))</f>
        <v/>
      </c>
      <c r="AL257" s="156" t="str">
        <f>IF('Bulk Order Details'!V267="","","-"&amp;LOOKUP('Bulk Order Details'!V267,#REF!,#REF!))</f>
        <v/>
      </c>
      <c r="AM257" s="156" t="str">
        <f t="shared" si="17"/>
        <v/>
      </c>
      <c r="AN257" s="156" t="str">
        <f>IF('Bulk Order Details'!N267="","","Na-"&amp;'Bulk Order Details'!N267)</f>
        <v/>
      </c>
      <c r="AO257" s="156" t="str">
        <f>IF('Bulk Order Details'!Q267="","","Fo-"&amp;'Bulk Order Details'!Q267)</f>
        <v/>
      </c>
      <c r="AP257" s="156" t="str">
        <f t="shared" si="18"/>
        <v/>
      </c>
      <c r="AQ257" s="37" t="str">
        <f t="shared" si="19"/>
        <v/>
      </c>
    </row>
    <row r="258" spans="2:43" ht="15" customHeight="1" x14ac:dyDescent="0.2">
      <c r="B258" s="34">
        <f>'Bulk Order Details'!B268</f>
        <v>255</v>
      </c>
      <c r="C258" s="34" t="str">
        <f>IF('Bulk Order Details'!C268="","",'Bulk Order Details'!C268&amp;" "&amp;'Bulk Order Details'!D268)</f>
        <v/>
      </c>
      <c r="D258" s="31" t="str">
        <f>IF('Bulk Order Details'!M268="","",VLOOKUP(1,Price[],3))</f>
        <v/>
      </c>
      <c r="E258" s="29" t="str">
        <f>IF('Bulk Order Details'!M268="","",Summary!$D$9)</f>
        <v/>
      </c>
      <c r="F258" s="16" t="str">
        <f>IF('Bulk Order Details'!I268="","",_xlfn.XLOOKUP('Bulk Order Details'!I268,Size[Display],Size[Price]))</f>
        <v/>
      </c>
      <c r="G258" s="16" t="str">
        <f>IF('Bulk Order Details'!J268="","",_xlfn.XLOOKUP('Bulk Order Details'!J268,Length[Display],Length[Price]))</f>
        <v/>
      </c>
      <c r="H258" s="16" t="str">
        <f>IF('Bulk Order Details'!K268="","",_xlfn.XLOOKUP('Bulk Order Details'!K268,Collection[Display],Collection[Price]))</f>
        <v/>
      </c>
      <c r="I258" s="16" t="str">
        <f>IF('Bulk Order Details'!L268="","",_xlfn.XLOOKUP('Bulk Order Details'!L268,Sleeve[Display],Sleeve[Price]))</f>
        <v/>
      </c>
      <c r="J258" s="16" t="str">
        <f>IF('Bulk Order Details'!M268="","",_xlfn.XLOOKUP('Bulk Order Details'!M268,Collar[Display],Collar[Price]))</f>
        <v/>
      </c>
      <c r="K258" s="16" t="str">
        <f>IF('Bulk Order Details'!N268="","",_xlfn.XLOOKUP("Name",Name[Name],Name[Price]))</f>
        <v/>
      </c>
      <c r="L258" s="18" t="str">
        <f>IFERROR(IF('Bulk Order Details'!R268="","",IF(_xlfn.XLOOKUP('Bulk Order Details'!R268,Logos[Display],Logos[Use])="Flat",_xlfn.XLOOKUP('Bulk Order Details'!R268,Logos[Display],Logos[Flat]),ROUND(_xlfn.XLOOKUP('Bulk Order Details'!R268,Logos[Display],Logos[Pct])*$E258,2))),"")</f>
        <v/>
      </c>
      <c r="M258" s="22" t="str">
        <f>IFERROR(IF('Bulk Order Details'!S268="","",IF(_xlfn.XLOOKUP('Bulk Order Details'!S268,Chest[Display],Chest[Use])="Flat",_xlfn.XLOOKUP('Bulk Order Details'!S268,Chest[Display],Chest[Flat]),ROUND(_xlfn.XLOOKUP('Bulk Order Details'!S268,Chest[Display],Chest[Pct])*$E258,2))),"")</f>
        <v/>
      </c>
      <c r="N258" s="22" t="str">
        <f>IFERROR(IF('Bulk Order Details'!T268="","",IF(_xlfn.XLOOKUP('Bulk Order Details'!T268,Chest[Display],Chest[Use])="Flat",_xlfn.XLOOKUP('Bulk Order Details'!T268,Chest[Display],Chest[Flat]),ROUND(_xlfn.XLOOKUP('Bulk Order Details'!T268,Chest[Display],Chest[Pct])*$E258,2))),"")</f>
        <v/>
      </c>
      <c r="O258" s="22" t="str">
        <f>IFERROR(IF('Bulk Order Details'!U268="","",IF(_xlfn.XLOOKUP('Bulk Order Details'!U268,LeftSleeve[Display],LeftSleeve[Use])="Flat",_xlfn.XLOOKUP('Bulk Order Details'!U268,LeftSleeve[Display],LeftSleeve[Flat]),ROUND(_xlfn.XLOOKUP('Bulk Order Details'!U268,LeftSleeve[Display],LeftSleeve[Pct])*$E258,2))),"")</f>
        <v/>
      </c>
      <c r="P258" s="22" t="str">
        <f>IFERROR(IF('Bulk Order Details'!V268="","",IF(_xlfn.XLOOKUP('Bulk Order Details'!V268,RightSleeve[Display],RightSleeve[Use])="Flat",_xlfn.XLOOKUP('Bulk Order Details'!V268,RightSleeve[Display],RightSleeve[Flat]),ROUND(_xlfn.XLOOKUP('Bulk Order Details'!V268,RightSleeve[Display],RightSleeve[Pct])*$E258,2))),"")</f>
        <v/>
      </c>
      <c r="Q258" s="27" t="str">
        <f>IF('Bulk Order Details'!M268="","",SUM(F258:P258))</f>
        <v/>
      </c>
      <c r="R258" s="24" t="str">
        <f t="shared" si="16"/>
        <v/>
      </c>
      <c r="S258" s="23" t="str">
        <f>IFERROR(MIN(IF(Summary!$D$11="Yes",-J258,0),IF(H258&gt;0,-J258,0)),"")</f>
        <v/>
      </c>
      <c r="T258" s="16" t="str">
        <f>IFERROR(IF(Summary!$D$10="Yes",-K258,""),"")</f>
        <v/>
      </c>
      <c r="U258" s="18" t="str">
        <f>IFERROR(IF(Summary!$D$12="Yes",-L258,""),"")</f>
        <v/>
      </c>
      <c r="V258" s="25" t="str">
        <f>IF('Bulk Order Details'!M268="","",SUM(R258:U258))</f>
        <v/>
      </c>
      <c r="W258" s="36" t="str">
        <f>IF('Bulk Order Details'!M268="","",D258+Q258)</f>
        <v/>
      </c>
      <c r="X258" s="37" t="str">
        <f>IF('Bulk Order Details'!M268="","",D258+Q258+V258)</f>
        <v/>
      </c>
      <c r="Y258" s="168" t="str">
        <f t="shared" si="15"/>
        <v/>
      </c>
      <c r="Z258" s="173" t="str">
        <f>IF('Bulk Order Details'!M268="","",MAX(1,'Bulk Order Details'!G268))</f>
        <v/>
      </c>
      <c r="AA258" s="196" t="str">
        <f>IF(Pricing_Details[[#This Row],[Quantity]]="","",Pricing_Details[[#This Row],[Retail Price]]*Pricing_Details[[#This Row],[Quantity]])</f>
        <v/>
      </c>
      <c r="AB258" s="196" t="str">
        <f>IF(Pricing_Details[[#This Row],[Quantity]]="","",Pricing_Details[[#This Row],[Total Discount]]*Pricing_Details[[#This Row],[Quantity]])</f>
        <v/>
      </c>
      <c r="AC258" s="176" t="str">
        <f>IFERROR(ROUND(Pricing_Details[[#This Row],[Actual Price]]*Pricing_Details[[#This Row],[Quantity]],2),"")</f>
        <v/>
      </c>
      <c r="AE258" s="156" t="str">
        <f>IF('Bulk Order Details'!M268="","",VLOOKUP('Bulk Order Details'!K268,Collection[],3)&amp;VLOOKUP('Bulk Order Details'!M268,Collar[],4)&amp;VLOOKUP('Bulk Order Details'!L268,Sleeve[],4))</f>
        <v/>
      </c>
      <c r="AF258" s="156" t="str">
        <f>IF('Bulk Order Details'!M268="","",LOOKUP('Bulk Order Details'!H268,Cut[Display],Cut[Code])&amp;LOOKUP('Bulk Order Details'!I268,#REF!,#REF!)&amp;IF('Bulk Order Details'!J268="","",LOOKUP('Bulk Order Details'!J268,Length[Display],Length[Code])))</f>
        <v/>
      </c>
      <c r="AG258" s="156" t="str">
        <f>IF('Bulk Order Details'!M268="","",IF('Bulk Order Details'!F268="","",'Bulk Order Details'!F268))</f>
        <v/>
      </c>
      <c r="AH258" s="156" t="str">
        <f>IF('Bulk Order Details'!R268="","","-"&amp;LOOKUP('Bulk Order Details'!R268,#REF!,#REF!))</f>
        <v/>
      </c>
      <c r="AI258" s="156" t="str">
        <f>IF('Bulk Order Details'!S268="","","-"&amp;LOOKUP('Bulk Order Details'!S268,#REF!,#REF!))</f>
        <v/>
      </c>
      <c r="AJ258" s="156" t="str">
        <f>IF('Bulk Order Details'!T268="","","-"&amp;LOOKUP('Bulk Order Details'!T268,#REF!,#REF!))</f>
        <v/>
      </c>
      <c r="AK258" s="156" t="str">
        <f>IF('Bulk Order Details'!U268="","","-"&amp;LOOKUP('Bulk Order Details'!U268,#REF!,#REF!))</f>
        <v/>
      </c>
      <c r="AL258" s="156" t="str">
        <f>IF('Bulk Order Details'!V268="","","-"&amp;LOOKUP('Bulk Order Details'!V268,#REF!,#REF!))</f>
        <v/>
      </c>
      <c r="AM258" s="156" t="str">
        <f t="shared" si="17"/>
        <v/>
      </c>
      <c r="AN258" s="156" t="str">
        <f>IF('Bulk Order Details'!N268="","","Na-"&amp;'Bulk Order Details'!N268)</f>
        <v/>
      </c>
      <c r="AO258" s="156" t="str">
        <f>IF('Bulk Order Details'!Q268="","","Fo-"&amp;'Bulk Order Details'!Q268)</f>
        <v/>
      </c>
      <c r="AP258" s="156" t="str">
        <f t="shared" si="18"/>
        <v/>
      </c>
      <c r="AQ258" s="37" t="str">
        <f t="shared" si="19"/>
        <v/>
      </c>
    </row>
    <row r="259" spans="2:43" ht="15" customHeight="1" x14ac:dyDescent="0.2">
      <c r="B259" s="34">
        <f>'Bulk Order Details'!B269</f>
        <v>256</v>
      </c>
      <c r="C259" s="34" t="str">
        <f>IF('Bulk Order Details'!C269="","",'Bulk Order Details'!C269&amp;" "&amp;'Bulk Order Details'!D269)</f>
        <v/>
      </c>
      <c r="D259" s="31" t="str">
        <f>IF('Bulk Order Details'!M269="","",VLOOKUP(1,Price[],3))</f>
        <v/>
      </c>
      <c r="E259" s="29" t="str">
        <f>IF('Bulk Order Details'!M269="","",Summary!$D$9)</f>
        <v/>
      </c>
      <c r="F259" s="16" t="str">
        <f>IF('Bulk Order Details'!I269="","",_xlfn.XLOOKUP('Bulk Order Details'!I269,Size[Display],Size[Price]))</f>
        <v/>
      </c>
      <c r="G259" s="16" t="str">
        <f>IF('Bulk Order Details'!J269="","",_xlfn.XLOOKUP('Bulk Order Details'!J269,Length[Display],Length[Price]))</f>
        <v/>
      </c>
      <c r="H259" s="16" t="str">
        <f>IF('Bulk Order Details'!K269="","",_xlfn.XLOOKUP('Bulk Order Details'!K269,Collection[Display],Collection[Price]))</f>
        <v/>
      </c>
      <c r="I259" s="16" t="str">
        <f>IF('Bulk Order Details'!L269="","",_xlfn.XLOOKUP('Bulk Order Details'!L269,Sleeve[Display],Sleeve[Price]))</f>
        <v/>
      </c>
      <c r="J259" s="16" t="str">
        <f>IF('Bulk Order Details'!M269="","",_xlfn.XLOOKUP('Bulk Order Details'!M269,Collar[Display],Collar[Price]))</f>
        <v/>
      </c>
      <c r="K259" s="16" t="str">
        <f>IF('Bulk Order Details'!N269="","",_xlfn.XLOOKUP("Name",Name[Name],Name[Price]))</f>
        <v/>
      </c>
      <c r="L259" s="18" t="str">
        <f>IFERROR(IF('Bulk Order Details'!R269="","",IF(_xlfn.XLOOKUP('Bulk Order Details'!R269,Logos[Display],Logos[Use])="Flat",_xlfn.XLOOKUP('Bulk Order Details'!R269,Logos[Display],Logos[Flat]),ROUND(_xlfn.XLOOKUP('Bulk Order Details'!R269,Logos[Display],Logos[Pct])*$E259,2))),"")</f>
        <v/>
      </c>
      <c r="M259" s="22" t="str">
        <f>IFERROR(IF('Bulk Order Details'!S269="","",IF(_xlfn.XLOOKUP('Bulk Order Details'!S269,Chest[Display],Chest[Use])="Flat",_xlfn.XLOOKUP('Bulk Order Details'!S269,Chest[Display],Chest[Flat]),ROUND(_xlfn.XLOOKUP('Bulk Order Details'!S269,Chest[Display],Chest[Pct])*$E259,2))),"")</f>
        <v/>
      </c>
      <c r="N259" s="22" t="str">
        <f>IFERROR(IF('Bulk Order Details'!T269="","",IF(_xlfn.XLOOKUP('Bulk Order Details'!T269,Chest[Display],Chest[Use])="Flat",_xlfn.XLOOKUP('Bulk Order Details'!T269,Chest[Display],Chest[Flat]),ROUND(_xlfn.XLOOKUP('Bulk Order Details'!T269,Chest[Display],Chest[Pct])*$E259,2))),"")</f>
        <v/>
      </c>
      <c r="O259" s="22" t="str">
        <f>IFERROR(IF('Bulk Order Details'!U269="","",IF(_xlfn.XLOOKUP('Bulk Order Details'!U269,LeftSleeve[Display],LeftSleeve[Use])="Flat",_xlfn.XLOOKUP('Bulk Order Details'!U269,LeftSleeve[Display],LeftSleeve[Flat]),ROUND(_xlfn.XLOOKUP('Bulk Order Details'!U269,LeftSleeve[Display],LeftSleeve[Pct])*$E259,2))),"")</f>
        <v/>
      </c>
      <c r="P259" s="22" t="str">
        <f>IFERROR(IF('Bulk Order Details'!V269="","",IF(_xlfn.XLOOKUP('Bulk Order Details'!V269,RightSleeve[Display],RightSleeve[Use])="Flat",_xlfn.XLOOKUP('Bulk Order Details'!V269,RightSleeve[Display],RightSleeve[Flat]),ROUND(_xlfn.XLOOKUP('Bulk Order Details'!V269,RightSleeve[Display],RightSleeve[Pct])*$E259,2))),"")</f>
        <v/>
      </c>
      <c r="Q259" s="27" t="str">
        <f>IF('Bulk Order Details'!M269="","",SUM(F259:P259))</f>
        <v/>
      </c>
      <c r="R259" s="24" t="str">
        <f t="shared" si="16"/>
        <v/>
      </c>
      <c r="S259" s="23" t="str">
        <f>IFERROR(MIN(IF(Summary!$D$11="Yes",-J259,0),IF(H259&gt;0,-J259,0)),"")</f>
        <v/>
      </c>
      <c r="T259" s="16" t="str">
        <f>IFERROR(IF(Summary!$D$10="Yes",-K259,""),"")</f>
        <v/>
      </c>
      <c r="U259" s="18" t="str">
        <f>IFERROR(IF(Summary!$D$12="Yes",-L259,""),"")</f>
        <v/>
      </c>
      <c r="V259" s="25" t="str">
        <f>IF('Bulk Order Details'!M269="","",SUM(R259:U259))</f>
        <v/>
      </c>
      <c r="W259" s="36" t="str">
        <f>IF('Bulk Order Details'!M269="","",D259+Q259)</f>
        <v/>
      </c>
      <c r="X259" s="37" t="str">
        <f>IF('Bulk Order Details'!M269="","",D259+Q259+V259)</f>
        <v/>
      </c>
      <c r="Y259" s="168" t="str">
        <f t="shared" si="15"/>
        <v/>
      </c>
      <c r="Z259" s="173" t="str">
        <f>IF('Bulk Order Details'!M269="","",MAX(1,'Bulk Order Details'!G269))</f>
        <v/>
      </c>
      <c r="AA259" s="196" t="str">
        <f>IF(Pricing_Details[[#This Row],[Quantity]]="","",Pricing_Details[[#This Row],[Retail Price]]*Pricing_Details[[#This Row],[Quantity]])</f>
        <v/>
      </c>
      <c r="AB259" s="196" t="str">
        <f>IF(Pricing_Details[[#This Row],[Quantity]]="","",Pricing_Details[[#This Row],[Total Discount]]*Pricing_Details[[#This Row],[Quantity]])</f>
        <v/>
      </c>
      <c r="AC259" s="176" t="str">
        <f>IFERROR(ROUND(Pricing_Details[[#This Row],[Actual Price]]*Pricing_Details[[#This Row],[Quantity]],2),"")</f>
        <v/>
      </c>
      <c r="AE259" s="156" t="str">
        <f>IF('Bulk Order Details'!M269="","",VLOOKUP('Bulk Order Details'!K269,Collection[],3)&amp;VLOOKUP('Bulk Order Details'!M269,Collar[],4)&amp;VLOOKUP('Bulk Order Details'!L269,Sleeve[],4))</f>
        <v/>
      </c>
      <c r="AF259" s="156" t="str">
        <f>IF('Bulk Order Details'!M269="","",LOOKUP('Bulk Order Details'!H269,Cut[Display],Cut[Code])&amp;LOOKUP('Bulk Order Details'!I269,#REF!,#REF!)&amp;IF('Bulk Order Details'!J269="","",LOOKUP('Bulk Order Details'!J269,Length[Display],Length[Code])))</f>
        <v/>
      </c>
      <c r="AG259" s="156" t="str">
        <f>IF('Bulk Order Details'!M269="","",IF('Bulk Order Details'!F269="","",'Bulk Order Details'!F269))</f>
        <v/>
      </c>
      <c r="AH259" s="156" t="str">
        <f>IF('Bulk Order Details'!R269="","","-"&amp;LOOKUP('Bulk Order Details'!R269,#REF!,#REF!))</f>
        <v/>
      </c>
      <c r="AI259" s="156" t="str">
        <f>IF('Bulk Order Details'!S269="","","-"&amp;LOOKUP('Bulk Order Details'!S269,#REF!,#REF!))</f>
        <v/>
      </c>
      <c r="AJ259" s="156" t="str">
        <f>IF('Bulk Order Details'!T269="","","-"&amp;LOOKUP('Bulk Order Details'!T269,#REF!,#REF!))</f>
        <v/>
      </c>
      <c r="AK259" s="156" t="str">
        <f>IF('Bulk Order Details'!U269="","","-"&amp;LOOKUP('Bulk Order Details'!U269,#REF!,#REF!))</f>
        <v/>
      </c>
      <c r="AL259" s="156" t="str">
        <f>IF('Bulk Order Details'!V269="","","-"&amp;LOOKUP('Bulk Order Details'!V269,#REF!,#REF!))</f>
        <v/>
      </c>
      <c r="AM259" s="156" t="str">
        <f t="shared" si="17"/>
        <v/>
      </c>
      <c r="AN259" s="156" t="str">
        <f>IF('Bulk Order Details'!N269="","","Na-"&amp;'Bulk Order Details'!N269)</f>
        <v/>
      </c>
      <c r="AO259" s="156" t="str">
        <f>IF('Bulk Order Details'!Q269="","","Fo-"&amp;'Bulk Order Details'!Q269)</f>
        <v/>
      </c>
      <c r="AP259" s="156" t="str">
        <f t="shared" si="18"/>
        <v/>
      </c>
      <c r="AQ259" s="37" t="str">
        <f t="shared" si="19"/>
        <v/>
      </c>
    </row>
    <row r="260" spans="2:43" ht="15" customHeight="1" x14ac:dyDescent="0.2">
      <c r="B260" s="34">
        <f>'Bulk Order Details'!B270</f>
        <v>257</v>
      </c>
      <c r="C260" s="34" t="str">
        <f>IF('Bulk Order Details'!C270="","",'Bulk Order Details'!C270&amp;" "&amp;'Bulk Order Details'!D270)</f>
        <v/>
      </c>
      <c r="D260" s="31" t="str">
        <f>IF('Bulk Order Details'!M270="","",VLOOKUP(1,Price[],3))</f>
        <v/>
      </c>
      <c r="E260" s="29" t="str">
        <f>IF('Bulk Order Details'!M270="","",Summary!$D$9)</f>
        <v/>
      </c>
      <c r="F260" s="16" t="str">
        <f>IF('Bulk Order Details'!I270="","",_xlfn.XLOOKUP('Bulk Order Details'!I270,Size[Display],Size[Price]))</f>
        <v/>
      </c>
      <c r="G260" s="16" t="str">
        <f>IF('Bulk Order Details'!J270="","",_xlfn.XLOOKUP('Bulk Order Details'!J270,Length[Display],Length[Price]))</f>
        <v/>
      </c>
      <c r="H260" s="16" t="str">
        <f>IF('Bulk Order Details'!K270="","",_xlfn.XLOOKUP('Bulk Order Details'!K270,Collection[Display],Collection[Price]))</f>
        <v/>
      </c>
      <c r="I260" s="16" t="str">
        <f>IF('Bulk Order Details'!L270="","",_xlfn.XLOOKUP('Bulk Order Details'!L270,Sleeve[Display],Sleeve[Price]))</f>
        <v/>
      </c>
      <c r="J260" s="16" t="str">
        <f>IF('Bulk Order Details'!M270="","",_xlfn.XLOOKUP('Bulk Order Details'!M270,Collar[Display],Collar[Price]))</f>
        <v/>
      </c>
      <c r="K260" s="16" t="str">
        <f>IF('Bulk Order Details'!N270="","",_xlfn.XLOOKUP("Name",Name[Name],Name[Price]))</f>
        <v/>
      </c>
      <c r="L260" s="18" t="str">
        <f>IFERROR(IF('Bulk Order Details'!R270="","",IF(_xlfn.XLOOKUP('Bulk Order Details'!R270,Logos[Display],Logos[Use])="Flat",_xlfn.XLOOKUP('Bulk Order Details'!R270,Logos[Display],Logos[Flat]),ROUND(_xlfn.XLOOKUP('Bulk Order Details'!R270,Logos[Display],Logos[Pct])*$E260,2))),"")</f>
        <v/>
      </c>
      <c r="M260" s="22" t="str">
        <f>IFERROR(IF('Bulk Order Details'!S270="","",IF(_xlfn.XLOOKUP('Bulk Order Details'!S270,Chest[Display],Chest[Use])="Flat",_xlfn.XLOOKUP('Bulk Order Details'!S270,Chest[Display],Chest[Flat]),ROUND(_xlfn.XLOOKUP('Bulk Order Details'!S270,Chest[Display],Chest[Pct])*$E260,2))),"")</f>
        <v/>
      </c>
      <c r="N260" s="22" t="str">
        <f>IFERROR(IF('Bulk Order Details'!T270="","",IF(_xlfn.XLOOKUP('Bulk Order Details'!T270,Chest[Display],Chest[Use])="Flat",_xlfn.XLOOKUP('Bulk Order Details'!T270,Chest[Display],Chest[Flat]),ROUND(_xlfn.XLOOKUP('Bulk Order Details'!T270,Chest[Display],Chest[Pct])*$E260,2))),"")</f>
        <v/>
      </c>
      <c r="O260" s="22" t="str">
        <f>IFERROR(IF('Bulk Order Details'!U270="","",IF(_xlfn.XLOOKUP('Bulk Order Details'!U270,LeftSleeve[Display],LeftSleeve[Use])="Flat",_xlfn.XLOOKUP('Bulk Order Details'!U270,LeftSleeve[Display],LeftSleeve[Flat]),ROUND(_xlfn.XLOOKUP('Bulk Order Details'!U270,LeftSleeve[Display],LeftSleeve[Pct])*$E260,2))),"")</f>
        <v/>
      </c>
      <c r="P260" s="22" t="str">
        <f>IFERROR(IF('Bulk Order Details'!V270="","",IF(_xlfn.XLOOKUP('Bulk Order Details'!V270,RightSleeve[Display],RightSleeve[Use])="Flat",_xlfn.XLOOKUP('Bulk Order Details'!V270,RightSleeve[Display],RightSleeve[Flat]),ROUND(_xlfn.XLOOKUP('Bulk Order Details'!V270,RightSleeve[Display],RightSleeve[Pct])*$E260,2))),"")</f>
        <v/>
      </c>
      <c r="Q260" s="27" t="str">
        <f>IF('Bulk Order Details'!M270="","",SUM(F260:P260))</f>
        <v/>
      </c>
      <c r="R260" s="24" t="str">
        <f t="shared" si="16"/>
        <v/>
      </c>
      <c r="S260" s="23" t="str">
        <f>IFERROR(MIN(IF(Summary!$D$11="Yes",-J260,0),IF(H260&gt;0,-J260,0)),"")</f>
        <v/>
      </c>
      <c r="T260" s="16" t="str">
        <f>IFERROR(IF(Summary!$D$10="Yes",-K260,""),"")</f>
        <v/>
      </c>
      <c r="U260" s="18" t="str">
        <f>IFERROR(IF(Summary!$D$12="Yes",-L260,""),"")</f>
        <v/>
      </c>
      <c r="V260" s="25" t="str">
        <f>IF('Bulk Order Details'!M270="","",SUM(R260:U260))</f>
        <v/>
      </c>
      <c r="W260" s="36" t="str">
        <f>IF('Bulk Order Details'!M270="","",D260+Q260)</f>
        <v/>
      </c>
      <c r="X260" s="37" t="str">
        <f>IF('Bulk Order Details'!M270="","",D260+Q260+V260)</f>
        <v/>
      </c>
      <c r="Y260" s="168" t="str">
        <f t="shared" ref="Y260:Y303" si="20">IFERROR((W260-X260)/W260,"")</f>
        <v/>
      </c>
      <c r="Z260" s="173" t="str">
        <f>IF('Bulk Order Details'!M270="","",MAX(1,'Bulk Order Details'!G270))</f>
        <v/>
      </c>
      <c r="AA260" s="196" t="str">
        <f>IF(Pricing_Details[[#This Row],[Quantity]]="","",Pricing_Details[[#This Row],[Retail Price]]*Pricing_Details[[#This Row],[Quantity]])</f>
        <v/>
      </c>
      <c r="AB260" s="196" t="str">
        <f>IF(Pricing_Details[[#This Row],[Quantity]]="","",Pricing_Details[[#This Row],[Total Discount]]*Pricing_Details[[#This Row],[Quantity]])</f>
        <v/>
      </c>
      <c r="AC260" s="176" t="str">
        <f>IFERROR(ROUND(Pricing_Details[[#This Row],[Actual Price]]*Pricing_Details[[#This Row],[Quantity]],2),"")</f>
        <v/>
      </c>
      <c r="AE260" s="156" t="str">
        <f>IF('Bulk Order Details'!M270="","",VLOOKUP('Bulk Order Details'!K270,Collection[],3)&amp;VLOOKUP('Bulk Order Details'!M270,Collar[],4)&amp;VLOOKUP('Bulk Order Details'!L270,Sleeve[],4))</f>
        <v/>
      </c>
      <c r="AF260" s="156" t="str">
        <f>IF('Bulk Order Details'!M270="","",LOOKUP('Bulk Order Details'!H270,Cut[Display],Cut[Code])&amp;LOOKUP('Bulk Order Details'!I270,#REF!,#REF!)&amp;IF('Bulk Order Details'!J270="","",LOOKUP('Bulk Order Details'!J270,Length[Display],Length[Code])))</f>
        <v/>
      </c>
      <c r="AG260" s="156" t="str">
        <f>IF('Bulk Order Details'!M270="","",IF('Bulk Order Details'!F270="","",'Bulk Order Details'!F270))</f>
        <v/>
      </c>
      <c r="AH260" s="156" t="str">
        <f>IF('Bulk Order Details'!R270="","","-"&amp;LOOKUP('Bulk Order Details'!R270,#REF!,#REF!))</f>
        <v/>
      </c>
      <c r="AI260" s="156" t="str">
        <f>IF('Bulk Order Details'!S270="","","-"&amp;LOOKUP('Bulk Order Details'!S270,#REF!,#REF!))</f>
        <v/>
      </c>
      <c r="AJ260" s="156" t="str">
        <f>IF('Bulk Order Details'!T270="","","-"&amp;LOOKUP('Bulk Order Details'!T270,#REF!,#REF!))</f>
        <v/>
      </c>
      <c r="AK260" s="156" t="str">
        <f>IF('Bulk Order Details'!U270="","","-"&amp;LOOKUP('Bulk Order Details'!U270,#REF!,#REF!))</f>
        <v/>
      </c>
      <c r="AL260" s="156" t="str">
        <f>IF('Bulk Order Details'!V270="","","-"&amp;LOOKUP('Bulk Order Details'!V270,#REF!,#REF!))</f>
        <v/>
      </c>
      <c r="AM260" s="156" t="str">
        <f t="shared" si="17"/>
        <v/>
      </c>
      <c r="AN260" s="156" t="str">
        <f>IF('Bulk Order Details'!N270="","","Na-"&amp;'Bulk Order Details'!N270)</f>
        <v/>
      </c>
      <c r="AO260" s="156" t="str">
        <f>IF('Bulk Order Details'!Q270="","","Fo-"&amp;'Bulk Order Details'!Q270)</f>
        <v/>
      </c>
      <c r="AP260" s="156" t="str">
        <f t="shared" si="18"/>
        <v/>
      </c>
      <c r="AQ260" s="37" t="str">
        <f t="shared" si="19"/>
        <v/>
      </c>
    </row>
    <row r="261" spans="2:43" ht="15" customHeight="1" x14ac:dyDescent="0.2">
      <c r="B261" s="34">
        <f>'Bulk Order Details'!B271</f>
        <v>258</v>
      </c>
      <c r="C261" s="34" t="str">
        <f>IF('Bulk Order Details'!C271="","",'Bulk Order Details'!C271&amp;" "&amp;'Bulk Order Details'!D271)</f>
        <v/>
      </c>
      <c r="D261" s="31" t="str">
        <f>IF('Bulk Order Details'!M271="","",VLOOKUP(1,Price[],3))</f>
        <v/>
      </c>
      <c r="E261" s="29" t="str">
        <f>IF('Bulk Order Details'!M271="","",Summary!$D$9)</f>
        <v/>
      </c>
      <c r="F261" s="16" t="str">
        <f>IF('Bulk Order Details'!I271="","",_xlfn.XLOOKUP('Bulk Order Details'!I271,Size[Display],Size[Price]))</f>
        <v/>
      </c>
      <c r="G261" s="16" t="str">
        <f>IF('Bulk Order Details'!J271="","",_xlfn.XLOOKUP('Bulk Order Details'!J271,Length[Display],Length[Price]))</f>
        <v/>
      </c>
      <c r="H261" s="16" t="str">
        <f>IF('Bulk Order Details'!K271="","",_xlfn.XLOOKUP('Bulk Order Details'!K271,Collection[Display],Collection[Price]))</f>
        <v/>
      </c>
      <c r="I261" s="16" t="str">
        <f>IF('Bulk Order Details'!L271="","",_xlfn.XLOOKUP('Bulk Order Details'!L271,Sleeve[Display],Sleeve[Price]))</f>
        <v/>
      </c>
      <c r="J261" s="16" t="str">
        <f>IF('Bulk Order Details'!M271="","",_xlfn.XLOOKUP('Bulk Order Details'!M271,Collar[Display],Collar[Price]))</f>
        <v/>
      </c>
      <c r="K261" s="16" t="str">
        <f>IF('Bulk Order Details'!N271="","",_xlfn.XLOOKUP("Name",Name[Name],Name[Price]))</f>
        <v/>
      </c>
      <c r="L261" s="18" t="str">
        <f>IFERROR(IF('Bulk Order Details'!R271="","",IF(_xlfn.XLOOKUP('Bulk Order Details'!R271,Logos[Display],Logos[Use])="Flat",_xlfn.XLOOKUP('Bulk Order Details'!R271,Logos[Display],Logos[Flat]),ROUND(_xlfn.XLOOKUP('Bulk Order Details'!R271,Logos[Display],Logos[Pct])*$E261,2))),"")</f>
        <v/>
      </c>
      <c r="M261" s="22" t="str">
        <f>IFERROR(IF('Bulk Order Details'!S271="","",IF(_xlfn.XLOOKUP('Bulk Order Details'!S271,Chest[Display],Chest[Use])="Flat",_xlfn.XLOOKUP('Bulk Order Details'!S271,Chest[Display],Chest[Flat]),ROUND(_xlfn.XLOOKUP('Bulk Order Details'!S271,Chest[Display],Chest[Pct])*$E261,2))),"")</f>
        <v/>
      </c>
      <c r="N261" s="22" t="str">
        <f>IFERROR(IF('Bulk Order Details'!T271="","",IF(_xlfn.XLOOKUP('Bulk Order Details'!T271,Chest[Display],Chest[Use])="Flat",_xlfn.XLOOKUP('Bulk Order Details'!T271,Chest[Display],Chest[Flat]),ROUND(_xlfn.XLOOKUP('Bulk Order Details'!T271,Chest[Display],Chest[Pct])*$E261,2))),"")</f>
        <v/>
      </c>
      <c r="O261" s="22" t="str">
        <f>IFERROR(IF('Bulk Order Details'!U271="","",IF(_xlfn.XLOOKUP('Bulk Order Details'!U271,LeftSleeve[Display],LeftSleeve[Use])="Flat",_xlfn.XLOOKUP('Bulk Order Details'!U271,LeftSleeve[Display],LeftSleeve[Flat]),ROUND(_xlfn.XLOOKUP('Bulk Order Details'!U271,LeftSleeve[Display],LeftSleeve[Pct])*$E261,2))),"")</f>
        <v/>
      </c>
      <c r="P261" s="22" t="str">
        <f>IFERROR(IF('Bulk Order Details'!V271="","",IF(_xlfn.XLOOKUP('Bulk Order Details'!V271,RightSleeve[Display],RightSleeve[Use])="Flat",_xlfn.XLOOKUP('Bulk Order Details'!V271,RightSleeve[Display],RightSleeve[Flat]),ROUND(_xlfn.XLOOKUP('Bulk Order Details'!V271,RightSleeve[Display],RightSleeve[Pct])*$E261,2))),"")</f>
        <v/>
      </c>
      <c r="Q261" s="27" t="str">
        <f>IF('Bulk Order Details'!M271="","",SUM(F261:P261))</f>
        <v/>
      </c>
      <c r="R261" s="24" t="str">
        <f t="shared" ref="R261:R303" si="21">IFERROR(E261-D261,"")</f>
        <v/>
      </c>
      <c r="S261" s="23" t="str">
        <f>IFERROR(MIN(IF(Summary!$D$11="Yes",-J261,0),IF(H261&gt;0,-J261,0)),"")</f>
        <v/>
      </c>
      <c r="T261" s="16" t="str">
        <f>IFERROR(IF(Summary!$D$10="Yes",-K261,""),"")</f>
        <v/>
      </c>
      <c r="U261" s="18" t="str">
        <f>IFERROR(IF(Summary!$D$12="Yes",-L261,""),"")</f>
        <v/>
      </c>
      <c r="V261" s="25" t="str">
        <f>IF('Bulk Order Details'!M271="","",SUM(R261:U261))</f>
        <v/>
      </c>
      <c r="W261" s="36" t="str">
        <f>IF('Bulk Order Details'!M271="","",D261+Q261)</f>
        <v/>
      </c>
      <c r="X261" s="37" t="str">
        <f>IF('Bulk Order Details'!M271="","",D261+Q261+V261)</f>
        <v/>
      </c>
      <c r="Y261" s="168" t="str">
        <f t="shared" si="20"/>
        <v/>
      </c>
      <c r="Z261" s="173" t="str">
        <f>IF('Bulk Order Details'!M271="","",MAX(1,'Bulk Order Details'!G271))</f>
        <v/>
      </c>
      <c r="AA261" s="196" t="str">
        <f>IF(Pricing_Details[[#This Row],[Quantity]]="","",Pricing_Details[[#This Row],[Retail Price]]*Pricing_Details[[#This Row],[Quantity]])</f>
        <v/>
      </c>
      <c r="AB261" s="196" t="str">
        <f>IF(Pricing_Details[[#This Row],[Quantity]]="","",Pricing_Details[[#This Row],[Total Discount]]*Pricing_Details[[#This Row],[Quantity]])</f>
        <v/>
      </c>
      <c r="AC261" s="176" t="str">
        <f>IFERROR(ROUND(Pricing_Details[[#This Row],[Actual Price]]*Pricing_Details[[#This Row],[Quantity]],2),"")</f>
        <v/>
      </c>
      <c r="AE261" s="156" t="str">
        <f>IF('Bulk Order Details'!M271="","",VLOOKUP('Bulk Order Details'!K271,Collection[],3)&amp;VLOOKUP('Bulk Order Details'!M271,Collar[],4)&amp;VLOOKUP('Bulk Order Details'!L271,Sleeve[],4))</f>
        <v/>
      </c>
      <c r="AF261" s="156" t="str">
        <f>IF('Bulk Order Details'!M271="","",LOOKUP('Bulk Order Details'!H271,Cut[Display],Cut[Code])&amp;LOOKUP('Bulk Order Details'!I271,#REF!,#REF!)&amp;IF('Bulk Order Details'!J271="","",LOOKUP('Bulk Order Details'!J271,Length[Display],Length[Code])))</f>
        <v/>
      </c>
      <c r="AG261" s="156" t="str">
        <f>IF('Bulk Order Details'!M271="","",IF('Bulk Order Details'!F271="","",'Bulk Order Details'!F271))</f>
        <v/>
      </c>
      <c r="AH261" s="156" t="str">
        <f>IF('Bulk Order Details'!R271="","","-"&amp;LOOKUP('Bulk Order Details'!R271,#REF!,#REF!))</f>
        <v/>
      </c>
      <c r="AI261" s="156" t="str">
        <f>IF('Bulk Order Details'!S271="","","-"&amp;LOOKUP('Bulk Order Details'!S271,#REF!,#REF!))</f>
        <v/>
      </c>
      <c r="AJ261" s="156" t="str">
        <f>IF('Bulk Order Details'!T271="","","-"&amp;LOOKUP('Bulk Order Details'!T271,#REF!,#REF!))</f>
        <v/>
      </c>
      <c r="AK261" s="156" t="str">
        <f>IF('Bulk Order Details'!U271="","","-"&amp;LOOKUP('Bulk Order Details'!U271,#REF!,#REF!))</f>
        <v/>
      </c>
      <c r="AL261" s="156" t="str">
        <f>IF('Bulk Order Details'!V271="","","-"&amp;LOOKUP('Bulk Order Details'!V271,#REF!,#REF!))</f>
        <v/>
      </c>
      <c r="AM261" s="156" t="str">
        <f t="shared" ref="AM261:AM303" si="22">IF(_xlfn.CONCAT(AH261:AL261)="","","Lo"&amp;_xlfn.CONCAT(AH261:AL261))</f>
        <v/>
      </c>
      <c r="AN261" s="156" t="str">
        <f>IF('Bulk Order Details'!N271="","","Na-"&amp;'Bulk Order Details'!N271)</f>
        <v/>
      </c>
      <c r="AO261" s="156" t="str">
        <f>IF('Bulk Order Details'!Q271="","","Fo-"&amp;'Bulk Order Details'!Q271)</f>
        <v/>
      </c>
      <c r="AP261" s="156" t="str">
        <f t="shared" ref="AP261:AP303" si="23">IF(AE261="","",AE261&amp;"_"&amp;AF261&amp;"_"&amp;AG261&amp;IF(AM261="","","_"&amp;AM261)&amp;IF(AN261="","","_"&amp;AN261)&amp;IF(AO261="","","_"&amp;AO261))</f>
        <v/>
      </c>
      <c r="AQ261" s="37" t="str">
        <f t="shared" ref="AQ261:AQ303" si="24">IF(X261="","",X261)</f>
        <v/>
      </c>
    </row>
    <row r="262" spans="2:43" ht="15" customHeight="1" x14ac:dyDescent="0.2">
      <c r="B262" s="34">
        <f>'Bulk Order Details'!B272</f>
        <v>259</v>
      </c>
      <c r="C262" s="34" t="str">
        <f>IF('Bulk Order Details'!C272="","",'Bulk Order Details'!C272&amp;" "&amp;'Bulk Order Details'!D272)</f>
        <v/>
      </c>
      <c r="D262" s="31" t="str">
        <f>IF('Bulk Order Details'!M272="","",VLOOKUP(1,Price[],3))</f>
        <v/>
      </c>
      <c r="E262" s="29" t="str">
        <f>IF('Bulk Order Details'!M272="","",Summary!$D$9)</f>
        <v/>
      </c>
      <c r="F262" s="16" t="str">
        <f>IF('Bulk Order Details'!I272="","",_xlfn.XLOOKUP('Bulk Order Details'!I272,Size[Display],Size[Price]))</f>
        <v/>
      </c>
      <c r="G262" s="16" t="str">
        <f>IF('Bulk Order Details'!J272="","",_xlfn.XLOOKUP('Bulk Order Details'!J272,Length[Display],Length[Price]))</f>
        <v/>
      </c>
      <c r="H262" s="16" t="str">
        <f>IF('Bulk Order Details'!K272="","",_xlfn.XLOOKUP('Bulk Order Details'!K272,Collection[Display],Collection[Price]))</f>
        <v/>
      </c>
      <c r="I262" s="16" t="str">
        <f>IF('Bulk Order Details'!L272="","",_xlfn.XLOOKUP('Bulk Order Details'!L272,Sleeve[Display],Sleeve[Price]))</f>
        <v/>
      </c>
      <c r="J262" s="16" t="str">
        <f>IF('Bulk Order Details'!M272="","",_xlfn.XLOOKUP('Bulk Order Details'!M272,Collar[Display],Collar[Price]))</f>
        <v/>
      </c>
      <c r="K262" s="16" t="str">
        <f>IF('Bulk Order Details'!N272="","",_xlfn.XLOOKUP("Name",Name[Name],Name[Price]))</f>
        <v/>
      </c>
      <c r="L262" s="18" t="str">
        <f>IFERROR(IF('Bulk Order Details'!R272="","",IF(_xlfn.XLOOKUP('Bulk Order Details'!R272,Logos[Display],Logos[Use])="Flat",_xlfn.XLOOKUP('Bulk Order Details'!R272,Logos[Display],Logos[Flat]),ROUND(_xlfn.XLOOKUP('Bulk Order Details'!R272,Logos[Display],Logos[Pct])*$E262,2))),"")</f>
        <v/>
      </c>
      <c r="M262" s="22" t="str">
        <f>IFERROR(IF('Bulk Order Details'!S272="","",IF(_xlfn.XLOOKUP('Bulk Order Details'!S272,Chest[Display],Chest[Use])="Flat",_xlfn.XLOOKUP('Bulk Order Details'!S272,Chest[Display],Chest[Flat]),ROUND(_xlfn.XLOOKUP('Bulk Order Details'!S272,Chest[Display],Chest[Pct])*$E262,2))),"")</f>
        <v/>
      </c>
      <c r="N262" s="22" t="str">
        <f>IFERROR(IF('Bulk Order Details'!T272="","",IF(_xlfn.XLOOKUP('Bulk Order Details'!T272,Chest[Display],Chest[Use])="Flat",_xlfn.XLOOKUP('Bulk Order Details'!T272,Chest[Display],Chest[Flat]),ROUND(_xlfn.XLOOKUP('Bulk Order Details'!T272,Chest[Display],Chest[Pct])*$E262,2))),"")</f>
        <v/>
      </c>
      <c r="O262" s="22" t="str">
        <f>IFERROR(IF('Bulk Order Details'!U272="","",IF(_xlfn.XLOOKUP('Bulk Order Details'!U272,LeftSleeve[Display],LeftSleeve[Use])="Flat",_xlfn.XLOOKUP('Bulk Order Details'!U272,LeftSleeve[Display],LeftSleeve[Flat]),ROUND(_xlfn.XLOOKUP('Bulk Order Details'!U272,LeftSleeve[Display],LeftSleeve[Pct])*$E262,2))),"")</f>
        <v/>
      </c>
      <c r="P262" s="22" t="str">
        <f>IFERROR(IF('Bulk Order Details'!V272="","",IF(_xlfn.XLOOKUP('Bulk Order Details'!V272,RightSleeve[Display],RightSleeve[Use])="Flat",_xlfn.XLOOKUP('Bulk Order Details'!V272,RightSleeve[Display],RightSleeve[Flat]),ROUND(_xlfn.XLOOKUP('Bulk Order Details'!V272,RightSleeve[Display],RightSleeve[Pct])*$E262,2))),"")</f>
        <v/>
      </c>
      <c r="Q262" s="27" t="str">
        <f>IF('Bulk Order Details'!M272="","",SUM(F262:P262))</f>
        <v/>
      </c>
      <c r="R262" s="24" t="str">
        <f t="shared" si="21"/>
        <v/>
      </c>
      <c r="S262" s="23" t="str">
        <f>IFERROR(MIN(IF(Summary!$D$11="Yes",-J262,0),IF(H262&gt;0,-J262,0)),"")</f>
        <v/>
      </c>
      <c r="T262" s="16" t="str">
        <f>IFERROR(IF(Summary!$D$10="Yes",-K262,""),"")</f>
        <v/>
      </c>
      <c r="U262" s="18" t="str">
        <f>IFERROR(IF(Summary!$D$12="Yes",-L262,""),"")</f>
        <v/>
      </c>
      <c r="V262" s="25" t="str">
        <f>IF('Bulk Order Details'!M272="","",SUM(R262:U262))</f>
        <v/>
      </c>
      <c r="W262" s="36" t="str">
        <f>IF('Bulk Order Details'!M272="","",D262+Q262)</f>
        <v/>
      </c>
      <c r="X262" s="37" t="str">
        <f>IF('Bulk Order Details'!M272="","",D262+Q262+V262)</f>
        <v/>
      </c>
      <c r="Y262" s="168" t="str">
        <f t="shared" si="20"/>
        <v/>
      </c>
      <c r="Z262" s="173" t="str">
        <f>IF('Bulk Order Details'!M272="","",MAX(1,'Bulk Order Details'!G272))</f>
        <v/>
      </c>
      <c r="AA262" s="196" t="str">
        <f>IF(Pricing_Details[[#This Row],[Quantity]]="","",Pricing_Details[[#This Row],[Retail Price]]*Pricing_Details[[#This Row],[Quantity]])</f>
        <v/>
      </c>
      <c r="AB262" s="196" t="str">
        <f>IF(Pricing_Details[[#This Row],[Quantity]]="","",Pricing_Details[[#This Row],[Total Discount]]*Pricing_Details[[#This Row],[Quantity]])</f>
        <v/>
      </c>
      <c r="AC262" s="176" t="str">
        <f>IFERROR(ROUND(Pricing_Details[[#This Row],[Actual Price]]*Pricing_Details[[#This Row],[Quantity]],2),"")</f>
        <v/>
      </c>
      <c r="AE262" s="156" t="str">
        <f>IF('Bulk Order Details'!M272="","",VLOOKUP('Bulk Order Details'!K272,Collection[],3)&amp;VLOOKUP('Bulk Order Details'!M272,Collar[],4)&amp;VLOOKUP('Bulk Order Details'!L272,Sleeve[],4))</f>
        <v/>
      </c>
      <c r="AF262" s="156" t="str">
        <f>IF('Bulk Order Details'!M272="","",LOOKUP('Bulk Order Details'!H272,Cut[Display],Cut[Code])&amp;LOOKUP('Bulk Order Details'!I272,#REF!,#REF!)&amp;IF('Bulk Order Details'!J272="","",LOOKUP('Bulk Order Details'!J272,Length[Display],Length[Code])))</f>
        <v/>
      </c>
      <c r="AG262" s="156" t="str">
        <f>IF('Bulk Order Details'!M272="","",IF('Bulk Order Details'!F272="","",'Bulk Order Details'!F272))</f>
        <v/>
      </c>
      <c r="AH262" s="156" t="str">
        <f>IF('Bulk Order Details'!R272="","","-"&amp;LOOKUP('Bulk Order Details'!R272,#REF!,#REF!))</f>
        <v/>
      </c>
      <c r="AI262" s="156" t="str">
        <f>IF('Bulk Order Details'!S272="","","-"&amp;LOOKUP('Bulk Order Details'!S272,#REF!,#REF!))</f>
        <v/>
      </c>
      <c r="AJ262" s="156" t="str">
        <f>IF('Bulk Order Details'!T272="","","-"&amp;LOOKUP('Bulk Order Details'!T272,#REF!,#REF!))</f>
        <v/>
      </c>
      <c r="AK262" s="156" t="str">
        <f>IF('Bulk Order Details'!U272="","","-"&amp;LOOKUP('Bulk Order Details'!U272,#REF!,#REF!))</f>
        <v/>
      </c>
      <c r="AL262" s="156" t="str">
        <f>IF('Bulk Order Details'!V272="","","-"&amp;LOOKUP('Bulk Order Details'!V272,#REF!,#REF!))</f>
        <v/>
      </c>
      <c r="AM262" s="156" t="str">
        <f t="shared" si="22"/>
        <v/>
      </c>
      <c r="AN262" s="156" t="str">
        <f>IF('Bulk Order Details'!N272="","","Na-"&amp;'Bulk Order Details'!N272)</f>
        <v/>
      </c>
      <c r="AO262" s="156" t="str">
        <f>IF('Bulk Order Details'!Q272="","","Fo-"&amp;'Bulk Order Details'!Q272)</f>
        <v/>
      </c>
      <c r="AP262" s="156" t="str">
        <f t="shared" si="23"/>
        <v/>
      </c>
      <c r="AQ262" s="37" t="str">
        <f t="shared" si="24"/>
        <v/>
      </c>
    </row>
    <row r="263" spans="2:43" ht="15" customHeight="1" x14ac:dyDescent="0.2">
      <c r="B263" s="34">
        <f>'Bulk Order Details'!B273</f>
        <v>260</v>
      </c>
      <c r="C263" s="34" t="str">
        <f>IF('Bulk Order Details'!C273="","",'Bulk Order Details'!C273&amp;" "&amp;'Bulk Order Details'!D273)</f>
        <v/>
      </c>
      <c r="D263" s="31" t="str">
        <f>IF('Bulk Order Details'!M273="","",VLOOKUP(1,Price[],3))</f>
        <v/>
      </c>
      <c r="E263" s="29" t="str">
        <f>IF('Bulk Order Details'!M273="","",Summary!$D$9)</f>
        <v/>
      </c>
      <c r="F263" s="16" t="str">
        <f>IF('Bulk Order Details'!I273="","",_xlfn.XLOOKUP('Bulk Order Details'!I273,Size[Display],Size[Price]))</f>
        <v/>
      </c>
      <c r="G263" s="16" t="str">
        <f>IF('Bulk Order Details'!J273="","",_xlfn.XLOOKUP('Bulk Order Details'!J273,Length[Display],Length[Price]))</f>
        <v/>
      </c>
      <c r="H263" s="16" t="str">
        <f>IF('Bulk Order Details'!K273="","",_xlfn.XLOOKUP('Bulk Order Details'!K273,Collection[Display],Collection[Price]))</f>
        <v/>
      </c>
      <c r="I263" s="16" t="str">
        <f>IF('Bulk Order Details'!L273="","",_xlfn.XLOOKUP('Bulk Order Details'!L273,Sleeve[Display],Sleeve[Price]))</f>
        <v/>
      </c>
      <c r="J263" s="16" t="str">
        <f>IF('Bulk Order Details'!M273="","",_xlfn.XLOOKUP('Bulk Order Details'!M273,Collar[Display],Collar[Price]))</f>
        <v/>
      </c>
      <c r="K263" s="16" t="str">
        <f>IF('Bulk Order Details'!N273="","",_xlfn.XLOOKUP("Name",Name[Name],Name[Price]))</f>
        <v/>
      </c>
      <c r="L263" s="18" t="str">
        <f>IFERROR(IF('Bulk Order Details'!R273="","",IF(_xlfn.XLOOKUP('Bulk Order Details'!R273,Logos[Display],Logos[Use])="Flat",_xlfn.XLOOKUP('Bulk Order Details'!R273,Logos[Display],Logos[Flat]),ROUND(_xlfn.XLOOKUP('Bulk Order Details'!R273,Logos[Display],Logos[Pct])*$E263,2))),"")</f>
        <v/>
      </c>
      <c r="M263" s="22" t="str">
        <f>IFERROR(IF('Bulk Order Details'!S273="","",IF(_xlfn.XLOOKUP('Bulk Order Details'!S273,Chest[Display],Chest[Use])="Flat",_xlfn.XLOOKUP('Bulk Order Details'!S273,Chest[Display],Chest[Flat]),ROUND(_xlfn.XLOOKUP('Bulk Order Details'!S273,Chest[Display],Chest[Pct])*$E263,2))),"")</f>
        <v/>
      </c>
      <c r="N263" s="22" t="str">
        <f>IFERROR(IF('Bulk Order Details'!T273="","",IF(_xlfn.XLOOKUP('Bulk Order Details'!T273,Chest[Display],Chest[Use])="Flat",_xlfn.XLOOKUP('Bulk Order Details'!T273,Chest[Display],Chest[Flat]),ROUND(_xlfn.XLOOKUP('Bulk Order Details'!T273,Chest[Display],Chest[Pct])*$E263,2))),"")</f>
        <v/>
      </c>
      <c r="O263" s="22" t="str">
        <f>IFERROR(IF('Bulk Order Details'!U273="","",IF(_xlfn.XLOOKUP('Bulk Order Details'!U273,LeftSleeve[Display],LeftSleeve[Use])="Flat",_xlfn.XLOOKUP('Bulk Order Details'!U273,LeftSleeve[Display],LeftSleeve[Flat]),ROUND(_xlfn.XLOOKUP('Bulk Order Details'!U273,LeftSleeve[Display],LeftSleeve[Pct])*$E263,2))),"")</f>
        <v/>
      </c>
      <c r="P263" s="22" t="str">
        <f>IFERROR(IF('Bulk Order Details'!V273="","",IF(_xlfn.XLOOKUP('Bulk Order Details'!V273,RightSleeve[Display],RightSleeve[Use])="Flat",_xlfn.XLOOKUP('Bulk Order Details'!V273,RightSleeve[Display],RightSleeve[Flat]),ROUND(_xlfn.XLOOKUP('Bulk Order Details'!V273,RightSleeve[Display],RightSleeve[Pct])*$E263,2))),"")</f>
        <v/>
      </c>
      <c r="Q263" s="27" t="str">
        <f>IF('Bulk Order Details'!M273="","",SUM(F263:P263))</f>
        <v/>
      </c>
      <c r="R263" s="24" t="str">
        <f t="shared" si="21"/>
        <v/>
      </c>
      <c r="S263" s="23" t="str">
        <f>IFERROR(MIN(IF(Summary!$D$11="Yes",-J263,0),IF(H263&gt;0,-J263,0)),"")</f>
        <v/>
      </c>
      <c r="T263" s="16" t="str">
        <f>IFERROR(IF(Summary!$D$10="Yes",-K263,""),"")</f>
        <v/>
      </c>
      <c r="U263" s="18" t="str">
        <f>IFERROR(IF(Summary!$D$12="Yes",-L263,""),"")</f>
        <v/>
      </c>
      <c r="V263" s="25" t="str">
        <f>IF('Bulk Order Details'!M273="","",SUM(R263:U263))</f>
        <v/>
      </c>
      <c r="W263" s="36" t="str">
        <f>IF('Bulk Order Details'!M273="","",D263+Q263)</f>
        <v/>
      </c>
      <c r="X263" s="37" t="str">
        <f>IF('Bulk Order Details'!M273="","",D263+Q263+V263)</f>
        <v/>
      </c>
      <c r="Y263" s="168" t="str">
        <f t="shared" si="20"/>
        <v/>
      </c>
      <c r="Z263" s="173" t="str">
        <f>IF('Bulk Order Details'!M273="","",MAX(1,'Bulk Order Details'!G273))</f>
        <v/>
      </c>
      <c r="AA263" s="196" t="str">
        <f>IF(Pricing_Details[[#This Row],[Quantity]]="","",Pricing_Details[[#This Row],[Retail Price]]*Pricing_Details[[#This Row],[Quantity]])</f>
        <v/>
      </c>
      <c r="AB263" s="196" t="str">
        <f>IF(Pricing_Details[[#This Row],[Quantity]]="","",Pricing_Details[[#This Row],[Total Discount]]*Pricing_Details[[#This Row],[Quantity]])</f>
        <v/>
      </c>
      <c r="AC263" s="176" t="str">
        <f>IFERROR(ROUND(Pricing_Details[[#This Row],[Actual Price]]*Pricing_Details[[#This Row],[Quantity]],2),"")</f>
        <v/>
      </c>
      <c r="AE263" s="156" t="str">
        <f>IF('Bulk Order Details'!M273="","",VLOOKUP('Bulk Order Details'!K273,Collection[],3)&amp;VLOOKUP('Bulk Order Details'!M273,Collar[],4)&amp;VLOOKUP('Bulk Order Details'!L273,Sleeve[],4))</f>
        <v/>
      </c>
      <c r="AF263" s="156" t="str">
        <f>IF('Bulk Order Details'!M273="","",LOOKUP('Bulk Order Details'!H273,Cut[Display],Cut[Code])&amp;LOOKUP('Bulk Order Details'!I273,#REF!,#REF!)&amp;IF('Bulk Order Details'!J273="","",LOOKUP('Bulk Order Details'!J273,Length[Display],Length[Code])))</f>
        <v/>
      </c>
      <c r="AG263" s="156" t="str">
        <f>IF('Bulk Order Details'!M273="","",IF('Bulk Order Details'!F273="","",'Bulk Order Details'!F273))</f>
        <v/>
      </c>
      <c r="AH263" s="156" t="str">
        <f>IF('Bulk Order Details'!R273="","","-"&amp;LOOKUP('Bulk Order Details'!R273,#REF!,#REF!))</f>
        <v/>
      </c>
      <c r="AI263" s="156" t="str">
        <f>IF('Bulk Order Details'!S273="","","-"&amp;LOOKUP('Bulk Order Details'!S273,#REF!,#REF!))</f>
        <v/>
      </c>
      <c r="AJ263" s="156" t="str">
        <f>IF('Bulk Order Details'!T273="","","-"&amp;LOOKUP('Bulk Order Details'!T273,#REF!,#REF!))</f>
        <v/>
      </c>
      <c r="AK263" s="156" t="str">
        <f>IF('Bulk Order Details'!U273="","","-"&amp;LOOKUP('Bulk Order Details'!U273,#REF!,#REF!))</f>
        <v/>
      </c>
      <c r="AL263" s="156" t="str">
        <f>IF('Bulk Order Details'!V273="","","-"&amp;LOOKUP('Bulk Order Details'!V273,#REF!,#REF!))</f>
        <v/>
      </c>
      <c r="AM263" s="156" t="str">
        <f t="shared" si="22"/>
        <v/>
      </c>
      <c r="AN263" s="156" t="str">
        <f>IF('Bulk Order Details'!N273="","","Na-"&amp;'Bulk Order Details'!N273)</f>
        <v/>
      </c>
      <c r="AO263" s="156" t="str">
        <f>IF('Bulk Order Details'!Q273="","","Fo-"&amp;'Bulk Order Details'!Q273)</f>
        <v/>
      </c>
      <c r="AP263" s="156" t="str">
        <f t="shared" si="23"/>
        <v/>
      </c>
      <c r="AQ263" s="37" t="str">
        <f t="shared" si="24"/>
        <v/>
      </c>
    </row>
    <row r="264" spans="2:43" ht="15" customHeight="1" x14ac:dyDescent="0.2">
      <c r="B264" s="34">
        <f>'Bulk Order Details'!B274</f>
        <v>261</v>
      </c>
      <c r="C264" s="34" t="str">
        <f>IF('Bulk Order Details'!C274="","",'Bulk Order Details'!C274&amp;" "&amp;'Bulk Order Details'!D274)</f>
        <v/>
      </c>
      <c r="D264" s="31" t="str">
        <f>IF('Bulk Order Details'!M274="","",VLOOKUP(1,Price[],3))</f>
        <v/>
      </c>
      <c r="E264" s="29" t="str">
        <f>IF('Bulk Order Details'!M274="","",Summary!$D$9)</f>
        <v/>
      </c>
      <c r="F264" s="16" t="str">
        <f>IF('Bulk Order Details'!I274="","",_xlfn.XLOOKUP('Bulk Order Details'!I274,Size[Display],Size[Price]))</f>
        <v/>
      </c>
      <c r="G264" s="16" t="str">
        <f>IF('Bulk Order Details'!J274="","",_xlfn.XLOOKUP('Bulk Order Details'!J274,Length[Display],Length[Price]))</f>
        <v/>
      </c>
      <c r="H264" s="16" t="str">
        <f>IF('Bulk Order Details'!K274="","",_xlfn.XLOOKUP('Bulk Order Details'!K274,Collection[Display],Collection[Price]))</f>
        <v/>
      </c>
      <c r="I264" s="16" t="str">
        <f>IF('Bulk Order Details'!L274="","",_xlfn.XLOOKUP('Bulk Order Details'!L274,Sleeve[Display],Sleeve[Price]))</f>
        <v/>
      </c>
      <c r="J264" s="16" t="str">
        <f>IF('Bulk Order Details'!M274="","",_xlfn.XLOOKUP('Bulk Order Details'!M274,Collar[Display],Collar[Price]))</f>
        <v/>
      </c>
      <c r="K264" s="16" t="str">
        <f>IF('Bulk Order Details'!N274="","",_xlfn.XLOOKUP("Name",Name[Name],Name[Price]))</f>
        <v/>
      </c>
      <c r="L264" s="18" t="str">
        <f>IFERROR(IF('Bulk Order Details'!R274="","",IF(_xlfn.XLOOKUP('Bulk Order Details'!R274,Logos[Display],Logos[Use])="Flat",_xlfn.XLOOKUP('Bulk Order Details'!R274,Logos[Display],Logos[Flat]),ROUND(_xlfn.XLOOKUP('Bulk Order Details'!R274,Logos[Display],Logos[Pct])*$E264,2))),"")</f>
        <v/>
      </c>
      <c r="M264" s="22" t="str">
        <f>IFERROR(IF('Bulk Order Details'!S274="","",IF(_xlfn.XLOOKUP('Bulk Order Details'!S274,Chest[Display],Chest[Use])="Flat",_xlfn.XLOOKUP('Bulk Order Details'!S274,Chest[Display],Chest[Flat]),ROUND(_xlfn.XLOOKUP('Bulk Order Details'!S274,Chest[Display],Chest[Pct])*$E264,2))),"")</f>
        <v/>
      </c>
      <c r="N264" s="22" t="str">
        <f>IFERROR(IF('Bulk Order Details'!T274="","",IF(_xlfn.XLOOKUP('Bulk Order Details'!T274,Chest[Display],Chest[Use])="Flat",_xlfn.XLOOKUP('Bulk Order Details'!T274,Chest[Display],Chest[Flat]),ROUND(_xlfn.XLOOKUP('Bulk Order Details'!T274,Chest[Display],Chest[Pct])*$E264,2))),"")</f>
        <v/>
      </c>
      <c r="O264" s="22" t="str">
        <f>IFERROR(IF('Bulk Order Details'!U274="","",IF(_xlfn.XLOOKUP('Bulk Order Details'!U274,LeftSleeve[Display],LeftSleeve[Use])="Flat",_xlfn.XLOOKUP('Bulk Order Details'!U274,LeftSleeve[Display],LeftSleeve[Flat]),ROUND(_xlfn.XLOOKUP('Bulk Order Details'!U274,LeftSleeve[Display],LeftSleeve[Pct])*$E264,2))),"")</f>
        <v/>
      </c>
      <c r="P264" s="22" t="str">
        <f>IFERROR(IF('Bulk Order Details'!V274="","",IF(_xlfn.XLOOKUP('Bulk Order Details'!V274,RightSleeve[Display],RightSleeve[Use])="Flat",_xlfn.XLOOKUP('Bulk Order Details'!V274,RightSleeve[Display],RightSleeve[Flat]),ROUND(_xlfn.XLOOKUP('Bulk Order Details'!V274,RightSleeve[Display],RightSleeve[Pct])*$E264,2))),"")</f>
        <v/>
      </c>
      <c r="Q264" s="27" t="str">
        <f>IF('Bulk Order Details'!M274="","",SUM(F264:P264))</f>
        <v/>
      </c>
      <c r="R264" s="24" t="str">
        <f t="shared" si="21"/>
        <v/>
      </c>
      <c r="S264" s="23" t="str">
        <f>IFERROR(MIN(IF(Summary!$D$11="Yes",-J264,0),IF(H264&gt;0,-J264,0)),"")</f>
        <v/>
      </c>
      <c r="T264" s="16" t="str">
        <f>IFERROR(IF(Summary!$D$10="Yes",-K264,""),"")</f>
        <v/>
      </c>
      <c r="U264" s="18" t="str">
        <f>IFERROR(IF(Summary!$D$12="Yes",-L264,""),"")</f>
        <v/>
      </c>
      <c r="V264" s="25" t="str">
        <f>IF('Bulk Order Details'!M274="","",SUM(R264:U264))</f>
        <v/>
      </c>
      <c r="W264" s="36" t="str">
        <f>IF('Bulk Order Details'!M274="","",D264+Q264)</f>
        <v/>
      </c>
      <c r="X264" s="37" t="str">
        <f>IF('Bulk Order Details'!M274="","",D264+Q264+V264)</f>
        <v/>
      </c>
      <c r="Y264" s="168" t="str">
        <f t="shared" si="20"/>
        <v/>
      </c>
      <c r="Z264" s="173" t="str">
        <f>IF('Bulk Order Details'!M274="","",MAX(1,'Bulk Order Details'!G274))</f>
        <v/>
      </c>
      <c r="AA264" s="196" t="str">
        <f>IF(Pricing_Details[[#This Row],[Quantity]]="","",Pricing_Details[[#This Row],[Retail Price]]*Pricing_Details[[#This Row],[Quantity]])</f>
        <v/>
      </c>
      <c r="AB264" s="196" t="str">
        <f>IF(Pricing_Details[[#This Row],[Quantity]]="","",Pricing_Details[[#This Row],[Total Discount]]*Pricing_Details[[#This Row],[Quantity]])</f>
        <v/>
      </c>
      <c r="AC264" s="176" t="str">
        <f>IFERROR(ROUND(Pricing_Details[[#This Row],[Actual Price]]*Pricing_Details[[#This Row],[Quantity]],2),"")</f>
        <v/>
      </c>
      <c r="AE264" s="156" t="str">
        <f>IF('Bulk Order Details'!M274="","",VLOOKUP('Bulk Order Details'!K274,Collection[],3)&amp;VLOOKUP('Bulk Order Details'!M274,Collar[],4)&amp;VLOOKUP('Bulk Order Details'!L274,Sleeve[],4))</f>
        <v/>
      </c>
      <c r="AF264" s="156" t="str">
        <f>IF('Bulk Order Details'!M274="","",LOOKUP('Bulk Order Details'!H274,Cut[Display],Cut[Code])&amp;LOOKUP('Bulk Order Details'!I274,#REF!,#REF!)&amp;IF('Bulk Order Details'!J274="","",LOOKUP('Bulk Order Details'!J274,Length[Display],Length[Code])))</f>
        <v/>
      </c>
      <c r="AG264" s="156" t="str">
        <f>IF('Bulk Order Details'!M274="","",IF('Bulk Order Details'!F274="","",'Bulk Order Details'!F274))</f>
        <v/>
      </c>
      <c r="AH264" s="156" t="str">
        <f>IF('Bulk Order Details'!R274="","","-"&amp;LOOKUP('Bulk Order Details'!R274,#REF!,#REF!))</f>
        <v/>
      </c>
      <c r="AI264" s="156" t="str">
        <f>IF('Bulk Order Details'!S274="","","-"&amp;LOOKUP('Bulk Order Details'!S274,#REF!,#REF!))</f>
        <v/>
      </c>
      <c r="AJ264" s="156" t="str">
        <f>IF('Bulk Order Details'!T274="","","-"&amp;LOOKUP('Bulk Order Details'!T274,#REF!,#REF!))</f>
        <v/>
      </c>
      <c r="AK264" s="156" t="str">
        <f>IF('Bulk Order Details'!U274="","","-"&amp;LOOKUP('Bulk Order Details'!U274,#REF!,#REF!))</f>
        <v/>
      </c>
      <c r="AL264" s="156" t="str">
        <f>IF('Bulk Order Details'!V274="","","-"&amp;LOOKUP('Bulk Order Details'!V274,#REF!,#REF!))</f>
        <v/>
      </c>
      <c r="AM264" s="156" t="str">
        <f t="shared" si="22"/>
        <v/>
      </c>
      <c r="AN264" s="156" t="str">
        <f>IF('Bulk Order Details'!N274="","","Na-"&amp;'Bulk Order Details'!N274)</f>
        <v/>
      </c>
      <c r="AO264" s="156" t="str">
        <f>IF('Bulk Order Details'!Q274="","","Fo-"&amp;'Bulk Order Details'!Q274)</f>
        <v/>
      </c>
      <c r="AP264" s="156" t="str">
        <f t="shared" si="23"/>
        <v/>
      </c>
      <c r="AQ264" s="37" t="str">
        <f t="shared" si="24"/>
        <v/>
      </c>
    </row>
    <row r="265" spans="2:43" ht="15" customHeight="1" x14ac:dyDescent="0.2">
      <c r="B265" s="34">
        <f>'Bulk Order Details'!B275</f>
        <v>262</v>
      </c>
      <c r="C265" s="34" t="str">
        <f>IF('Bulk Order Details'!C275="","",'Bulk Order Details'!C275&amp;" "&amp;'Bulk Order Details'!D275)</f>
        <v/>
      </c>
      <c r="D265" s="31" t="str">
        <f>IF('Bulk Order Details'!M275="","",VLOOKUP(1,Price[],3))</f>
        <v/>
      </c>
      <c r="E265" s="29" t="str">
        <f>IF('Bulk Order Details'!M275="","",Summary!$D$9)</f>
        <v/>
      </c>
      <c r="F265" s="16" t="str">
        <f>IF('Bulk Order Details'!I275="","",_xlfn.XLOOKUP('Bulk Order Details'!I275,Size[Display],Size[Price]))</f>
        <v/>
      </c>
      <c r="G265" s="16" t="str">
        <f>IF('Bulk Order Details'!J275="","",_xlfn.XLOOKUP('Bulk Order Details'!J275,Length[Display],Length[Price]))</f>
        <v/>
      </c>
      <c r="H265" s="16" t="str">
        <f>IF('Bulk Order Details'!K275="","",_xlfn.XLOOKUP('Bulk Order Details'!K275,Collection[Display],Collection[Price]))</f>
        <v/>
      </c>
      <c r="I265" s="16" t="str">
        <f>IF('Bulk Order Details'!L275="","",_xlfn.XLOOKUP('Bulk Order Details'!L275,Sleeve[Display],Sleeve[Price]))</f>
        <v/>
      </c>
      <c r="J265" s="16" t="str">
        <f>IF('Bulk Order Details'!M275="","",_xlfn.XLOOKUP('Bulk Order Details'!M275,Collar[Display],Collar[Price]))</f>
        <v/>
      </c>
      <c r="K265" s="16" t="str">
        <f>IF('Bulk Order Details'!N275="","",_xlfn.XLOOKUP("Name",Name[Name],Name[Price]))</f>
        <v/>
      </c>
      <c r="L265" s="18" t="str">
        <f>IFERROR(IF('Bulk Order Details'!R275="","",IF(_xlfn.XLOOKUP('Bulk Order Details'!R275,Logos[Display],Logos[Use])="Flat",_xlfn.XLOOKUP('Bulk Order Details'!R275,Logos[Display],Logos[Flat]),ROUND(_xlfn.XLOOKUP('Bulk Order Details'!R275,Logos[Display],Logos[Pct])*$E265,2))),"")</f>
        <v/>
      </c>
      <c r="M265" s="22" t="str">
        <f>IFERROR(IF('Bulk Order Details'!S275="","",IF(_xlfn.XLOOKUP('Bulk Order Details'!S275,Chest[Display],Chest[Use])="Flat",_xlfn.XLOOKUP('Bulk Order Details'!S275,Chest[Display],Chest[Flat]),ROUND(_xlfn.XLOOKUP('Bulk Order Details'!S275,Chest[Display],Chest[Pct])*$E265,2))),"")</f>
        <v/>
      </c>
      <c r="N265" s="22" t="str">
        <f>IFERROR(IF('Bulk Order Details'!T275="","",IF(_xlfn.XLOOKUP('Bulk Order Details'!T275,Chest[Display],Chest[Use])="Flat",_xlfn.XLOOKUP('Bulk Order Details'!T275,Chest[Display],Chest[Flat]),ROUND(_xlfn.XLOOKUP('Bulk Order Details'!T275,Chest[Display],Chest[Pct])*$E265,2))),"")</f>
        <v/>
      </c>
      <c r="O265" s="22" t="str">
        <f>IFERROR(IF('Bulk Order Details'!U275="","",IF(_xlfn.XLOOKUP('Bulk Order Details'!U275,LeftSleeve[Display],LeftSleeve[Use])="Flat",_xlfn.XLOOKUP('Bulk Order Details'!U275,LeftSleeve[Display],LeftSleeve[Flat]),ROUND(_xlfn.XLOOKUP('Bulk Order Details'!U275,LeftSleeve[Display],LeftSleeve[Pct])*$E265,2))),"")</f>
        <v/>
      </c>
      <c r="P265" s="22" t="str">
        <f>IFERROR(IF('Bulk Order Details'!V275="","",IF(_xlfn.XLOOKUP('Bulk Order Details'!V275,RightSleeve[Display],RightSleeve[Use])="Flat",_xlfn.XLOOKUP('Bulk Order Details'!V275,RightSleeve[Display],RightSleeve[Flat]),ROUND(_xlfn.XLOOKUP('Bulk Order Details'!V275,RightSleeve[Display],RightSleeve[Pct])*$E265,2))),"")</f>
        <v/>
      </c>
      <c r="Q265" s="27" t="str">
        <f>IF('Bulk Order Details'!M275="","",SUM(F265:P265))</f>
        <v/>
      </c>
      <c r="R265" s="24" t="str">
        <f t="shared" si="21"/>
        <v/>
      </c>
      <c r="S265" s="23" t="str">
        <f>IFERROR(MIN(IF(Summary!$D$11="Yes",-J265,0),IF(H265&gt;0,-J265,0)),"")</f>
        <v/>
      </c>
      <c r="T265" s="16" t="str">
        <f>IFERROR(IF(Summary!$D$10="Yes",-K265,""),"")</f>
        <v/>
      </c>
      <c r="U265" s="18" t="str">
        <f>IFERROR(IF(Summary!$D$12="Yes",-L265,""),"")</f>
        <v/>
      </c>
      <c r="V265" s="25" t="str">
        <f>IF('Bulk Order Details'!M275="","",SUM(R265:U265))</f>
        <v/>
      </c>
      <c r="W265" s="36" t="str">
        <f>IF('Bulk Order Details'!M275="","",D265+Q265)</f>
        <v/>
      </c>
      <c r="X265" s="37" t="str">
        <f>IF('Bulk Order Details'!M275="","",D265+Q265+V265)</f>
        <v/>
      </c>
      <c r="Y265" s="168" t="str">
        <f t="shared" si="20"/>
        <v/>
      </c>
      <c r="Z265" s="173" t="str">
        <f>IF('Bulk Order Details'!M275="","",MAX(1,'Bulk Order Details'!G275))</f>
        <v/>
      </c>
      <c r="AA265" s="196" t="str">
        <f>IF(Pricing_Details[[#This Row],[Quantity]]="","",Pricing_Details[[#This Row],[Retail Price]]*Pricing_Details[[#This Row],[Quantity]])</f>
        <v/>
      </c>
      <c r="AB265" s="196" t="str">
        <f>IF(Pricing_Details[[#This Row],[Quantity]]="","",Pricing_Details[[#This Row],[Total Discount]]*Pricing_Details[[#This Row],[Quantity]])</f>
        <v/>
      </c>
      <c r="AC265" s="176" t="str">
        <f>IFERROR(ROUND(Pricing_Details[[#This Row],[Actual Price]]*Pricing_Details[[#This Row],[Quantity]],2),"")</f>
        <v/>
      </c>
      <c r="AE265" s="156" t="str">
        <f>IF('Bulk Order Details'!M275="","",VLOOKUP('Bulk Order Details'!K275,Collection[],3)&amp;VLOOKUP('Bulk Order Details'!M275,Collar[],4)&amp;VLOOKUP('Bulk Order Details'!L275,Sleeve[],4))</f>
        <v/>
      </c>
      <c r="AF265" s="156" t="str">
        <f>IF('Bulk Order Details'!M275="","",LOOKUP('Bulk Order Details'!H275,Cut[Display],Cut[Code])&amp;LOOKUP('Bulk Order Details'!I275,#REF!,#REF!)&amp;IF('Bulk Order Details'!J275="","",LOOKUP('Bulk Order Details'!J275,Length[Display],Length[Code])))</f>
        <v/>
      </c>
      <c r="AG265" s="156" t="str">
        <f>IF('Bulk Order Details'!M275="","",IF('Bulk Order Details'!F275="","",'Bulk Order Details'!F275))</f>
        <v/>
      </c>
      <c r="AH265" s="156" t="str">
        <f>IF('Bulk Order Details'!R275="","","-"&amp;LOOKUP('Bulk Order Details'!R275,#REF!,#REF!))</f>
        <v/>
      </c>
      <c r="AI265" s="156" t="str">
        <f>IF('Bulk Order Details'!S275="","","-"&amp;LOOKUP('Bulk Order Details'!S275,#REF!,#REF!))</f>
        <v/>
      </c>
      <c r="AJ265" s="156" t="str">
        <f>IF('Bulk Order Details'!T275="","","-"&amp;LOOKUP('Bulk Order Details'!T275,#REF!,#REF!))</f>
        <v/>
      </c>
      <c r="AK265" s="156" t="str">
        <f>IF('Bulk Order Details'!U275="","","-"&amp;LOOKUP('Bulk Order Details'!U275,#REF!,#REF!))</f>
        <v/>
      </c>
      <c r="AL265" s="156" t="str">
        <f>IF('Bulk Order Details'!V275="","","-"&amp;LOOKUP('Bulk Order Details'!V275,#REF!,#REF!))</f>
        <v/>
      </c>
      <c r="AM265" s="156" t="str">
        <f t="shared" si="22"/>
        <v/>
      </c>
      <c r="AN265" s="156" t="str">
        <f>IF('Bulk Order Details'!N275="","","Na-"&amp;'Bulk Order Details'!N275)</f>
        <v/>
      </c>
      <c r="AO265" s="156" t="str">
        <f>IF('Bulk Order Details'!Q275="","","Fo-"&amp;'Bulk Order Details'!Q275)</f>
        <v/>
      </c>
      <c r="AP265" s="156" t="str">
        <f t="shared" si="23"/>
        <v/>
      </c>
      <c r="AQ265" s="37" t="str">
        <f t="shared" si="24"/>
        <v/>
      </c>
    </row>
    <row r="266" spans="2:43" ht="15" customHeight="1" x14ac:dyDescent="0.2">
      <c r="B266" s="34">
        <f>'Bulk Order Details'!B276</f>
        <v>263</v>
      </c>
      <c r="C266" s="34" t="str">
        <f>IF('Bulk Order Details'!C276="","",'Bulk Order Details'!C276&amp;" "&amp;'Bulk Order Details'!D276)</f>
        <v/>
      </c>
      <c r="D266" s="31" t="str">
        <f>IF('Bulk Order Details'!M276="","",VLOOKUP(1,Price[],3))</f>
        <v/>
      </c>
      <c r="E266" s="29" t="str">
        <f>IF('Bulk Order Details'!M276="","",Summary!$D$9)</f>
        <v/>
      </c>
      <c r="F266" s="16" t="str">
        <f>IF('Bulk Order Details'!I276="","",_xlfn.XLOOKUP('Bulk Order Details'!I276,Size[Display],Size[Price]))</f>
        <v/>
      </c>
      <c r="G266" s="16" t="str">
        <f>IF('Bulk Order Details'!J276="","",_xlfn.XLOOKUP('Bulk Order Details'!J276,Length[Display],Length[Price]))</f>
        <v/>
      </c>
      <c r="H266" s="16" t="str">
        <f>IF('Bulk Order Details'!K276="","",_xlfn.XLOOKUP('Bulk Order Details'!K276,Collection[Display],Collection[Price]))</f>
        <v/>
      </c>
      <c r="I266" s="16" t="str">
        <f>IF('Bulk Order Details'!L276="","",_xlfn.XLOOKUP('Bulk Order Details'!L276,Sleeve[Display],Sleeve[Price]))</f>
        <v/>
      </c>
      <c r="J266" s="16" t="str">
        <f>IF('Bulk Order Details'!M276="","",_xlfn.XLOOKUP('Bulk Order Details'!M276,Collar[Display],Collar[Price]))</f>
        <v/>
      </c>
      <c r="K266" s="16" t="str">
        <f>IF('Bulk Order Details'!N276="","",_xlfn.XLOOKUP("Name",Name[Name],Name[Price]))</f>
        <v/>
      </c>
      <c r="L266" s="18" t="str">
        <f>IFERROR(IF('Bulk Order Details'!R276="","",IF(_xlfn.XLOOKUP('Bulk Order Details'!R276,Logos[Display],Logos[Use])="Flat",_xlfn.XLOOKUP('Bulk Order Details'!R276,Logos[Display],Logos[Flat]),ROUND(_xlfn.XLOOKUP('Bulk Order Details'!R276,Logos[Display],Logos[Pct])*$E266,2))),"")</f>
        <v/>
      </c>
      <c r="M266" s="22" t="str">
        <f>IFERROR(IF('Bulk Order Details'!S276="","",IF(_xlfn.XLOOKUP('Bulk Order Details'!S276,Chest[Display],Chest[Use])="Flat",_xlfn.XLOOKUP('Bulk Order Details'!S276,Chest[Display],Chest[Flat]),ROUND(_xlfn.XLOOKUP('Bulk Order Details'!S276,Chest[Display],Chest[Pct])*$E266,2))),"")</f>
        <v/>
      </c>
      <c r="N266" s="22" t="str">
        <f>IFERROR(IF('Bulk Order Details'!T276="","",IF(_xlfn.XLOOKUP('Bulk Order Details'!T276,Chest[Display],Chest[Use])="Flat",_xlfn.XLOOKUP('Bulk Order Details'!T276,Chest[Display],Chest[Flat]),ROUND(_xlfn.XLOOKUP('Bulk Order Details'!T276,Chest[Display],Chest[Pct])*$E266,2))),"")</f>
        <v/>
      </c>
      <c r="O266" s="22" t="str">
        <f>IFERROR(IF('Bulk Order Details'!U276="","",IF(_xlfn.XLOOKUP('Bulk Order Details'!U276,LeftSleeve[Display],LeftSleeve[Use])="Flat",_xlfn.XLOOKUP('Bulk Order Details'!U276,LeftSleeve[Display],LeftSleeve[Flat]),ROUND(_xlfn.XLOOKUP('Bulk Order Details'!U276,LeftSleeve[Display],LeftSleeve[Pct])*$E266,2))),"")</f>
        <v/>
      </c>
      <c r="P266" s="22" t="str">
        <f>IFERROR(IF('Bulk Order Details'!V276="","",IF(_xlfn.XLOOKUP('Bulk Order Details'!V276,RightSleeve[Display],RightSleeve[Use])="Flat",_xlfn.XLOOKUP('Bulk Order Details'!V276,RightSleeve[Display],RightSleeve[Flat]),ROUND(_xlfn.XLOOKUP('Bulk Order Details'!V276,RightSleeve[Display],RightSleeve[Pct])*$E266,2))),"")</f>
        <v/>
      </c>
      <c r="Q266" s="27" t="str">
        <f>IF('Bulk Order Details'!M276="","",SUM(F266:P266))</f>
        <v/>
      </c>
      <c r="R266" s="24" t="str">
        <f t="shared" si="21"/>
        <v/>
      </c>
      <c r="S266" s="23" t="str">
        <f>IFERROR(MIN(IF(Summary!$D$11="Yes",-J266,0),IF(H266&gt;0,-J266,0)),"")</f>
        <v/>
      </c>
      <c r="T266" s="16" t="str">
        <f>IFERROR(IF(Summary!$D$10="Yes",-K266,""),"")</f>
        <v/>
      </c>
      <c r="U266" s="18" t="str">
        <f>IFERROR(IF(Summary!$D$12="Yes",-L266,""),"")</f>
        <v/>
      </c>
      <c r="V266" s="25" t="str">
        <f>IF('Bulk Order Details'!M276="","",SUM(R266:U266))</f>
        <v/>
      </c>
      <c r="W266" s="36" t="str">
        <f>IF('Bulk Order Details'!M276="","",D266+Q266)</f>
        <v/>
      </c>
      <c r="X266" s="37" t="str">
        <f>IF('Bulk Order Details'!M276="","",D266+Q266+V266)</f>
        <v/>
      </c>
      <c r="Y266" s="168" t="str">
        <f t="shared" si="20"/>
        <v/>
      </c>
      <c r="Z266" s="173" t="str">
        <f>IF('Bulk Order Details'!M276="","",MAX(1,'Bulk Order Details'!G276))</f>
        <v/>
      </c>
      <c r="AA266" s="196" t="str">
        <f>IF(Pricing_Details[[#This Row],[Quantity]]="","",Pricing_Details[[#This Row],[Retail Price]]*Pricing_Details[[#This Row],[Quantity]])</f>
        <v/>
      </c>
      <c r="AB266" s="196" t="str">
        <f>IF(Pricing_Details[[#This Row],[Quantity]]="","",Pricing_Details[[#This Row],[Total Discount]]*Pricing_Details[[#This Row],[Quantity]])</f>
        <v/>
      </c>
      <c r="AC266" s="176" t="str">
        <f>IFERROR(ROUND(Pricing_Details[[#This Row],[Actual Price]]*Pricing_Details[[#This Row],[Quantity]],2),"")</f>
        <v/>
      </c>
      <c r="AE266" s="156" t="str">
        <f>IF('Bulk Order Details'!M276="","",VLOOKUP('Bulk Order Details'!K276,Collection[],3)&amp;VLOOKUP('Bulk Order Details'!M276,Collar[],4)&amp;VLOOKUP('Bulk Order Details'!L276,Sleeve[],4))</f>
        <v/>
      </c>
      <c r="AF266" s="156" t="str">
        <f>IF('Bulk Order Details'!M276="","",LOOKUP('Bulk Order Details'!H276,Cut[Display],Cut[Code])&amp;LOOKUP('Bulk Order Details'!I276,#REF!,#REF!)&amp;IF('Bulk Order Details'!J276="","",LOOKUP('Bulk Order Details'!J276,Length[Display],Length[Code])))</f>
        <v/>
      </c>
      <c r="AG266" s="156" t="str">
        <f>IF('Bulk Order Details'!M276="","",IF('Bulk Order Details'!F276="","",'Bulk Order Details'!F276))</f>
        <v/>
      </c>
      <c r="AH266" s="156" t="str">
        <f>IF('Bulk Order Details'!R276="","","-"&amp;LOOKUP('Bulk Order Details'!R276,#REF!,#REF!))</f>
        <v/>
      </c>
      <c r="AI266" s="156" t="str">
        <f>IF('Bulk Order Details'!S276="","","-"&amp;LOOKUP('Bulk Order Details'!S276,#REF!,#REF!))</f>
        <v/>
      </c>
      <c r="AJ266" s="156" t="str">
        <f>IF('Bulk Order Details'!T276="","","-"&amp;LOOKUP('Bulk Order Details'!T276,#REF!,#REF!))</f>
        <v/>
      </c>
      <c r="AK266" s="156" t="str">
        <f>IF('Bulk Order Details'!U276="","","-"&amp;LOOKUP('Bulk Order Details'!U276,#REF!,#REF!))</f>
        <v/>
      </c>
      <c r="AL266" s="156" t="str">
        <f>IF('Bulk Order Details'!V276="","","-"&amp;LOOKUP('Bulk Order Details'!V276,#REF!,#REF!))</f>
        <v/>
      </c>
      <c r="AM266" s="156" t="str">
        <f t="shared" si="22"/>
        <v/>
      </c>
      <c r="AN266" s="156" t="str">
        <f>IF('Bulk Order Details'!N276="","","Na-"&amp;'Bulk Order Details'!N276)</f>
        <v/>
      </c>
      <c r="AO266" s="156" t="str">
        <f>IF('Bulk Order Details'!Q276="","","Fo-"&amp;'Bulk Order Details'!Q276)</f>
        <v/>
      </c>
      <c r="AP266" s="156" t="str">
        <f t="shared" si="23"/>
        <v/>
      </c>
      <c r="AQ266" s="37" t="str">
        <f t="shared" si="24"/>
        <v/>
      </c>
    </row>
    <row r="267" spans="2:43" ht="15" customHeight="1" x14ac:dyDescent="0.2">
      <c r="B267" s="34">
        <f>'Bulk Order Details'!B277</f>
        <v>264</v>
      </c>
      <c r="C267" s="34" t="str">
        <f>IF('Bulk Order Details'!C277="","",'Bulk Order Details'!C277&amp;" "&amp;'Bulk Order Details'!D277)</f>
        <v/>
      </c>
      <c r="D267" s="31" t="str">
        <f>IF('Bulk Order Details'!M277="","",VLOOKUP(1,Price[],3))</f>
        <v/>
      </c>
      <c r="E267" s="29" t="str">
        <f>IF('Bulk Order Details'!M277="","",Summary!$D$9)</f>
        <v/>
      </c>
      <c r="F267" s="16" t="str">
        <f>IF('Bulk Order Details'!I277="","",_xlfn.XLOOKUP('Bulk Order Details'!I277,Size[Display],Size[Price]))</f>
        <v/>
      </c>
      <c r="G267" s="16" t="str">
        <f>IF('Bulk Order Details'!J277="","",_xlfn.XLOOKUP('Bulk Order Details'!J277,Length[Display],Length[Price]))</f>
        <v/>
      </c>
      <c r="H267" s="16" t="str">
        <f>IF('Bulk Order Details'!K277="","",_xlfn.XLOOKUP('Bulk Order Details'!K277,Collection[Display],Collection[Price]))</f>
        <v/>
      </c>
      <c r="I267" s="16" t="str">
        <f>IF('Bulk Order Details'!L277="","",_xlfn.XLOOKUP('Bulk Order Details'!L277,Sleeve[Display],Sleeve[Price]))</f>
        <v/>
      </c>
      <c r="J267" s="16" t="str">
        <f>IF('Bulk Order Details'!M277="","",_xlfn.XLOOKUP('Bulk Order Details'!M277,Collar[Display],Collar[Price]))</f>
        <v/>
      </c>
      <c r="K267" s="16" t="str">
        <f>IF('Bulk Order Details'!N277="","",_xlfn.XLOOKUP("Name",Name[Name],Name[Price]))</f>
        <v/>
      </c>
      <c r="L267" s="18" t="str">
        <f>IFERROR(IF('Bulk Order Details'!R277="","",IF(_xlfn.XLOOKUP('Bulk Order Details'!R277,Logos[Display],Logos[Use])="Flat",_xlfn.XLOOKUP('Bulk Order Details'!R277,Logos[Display],Logos[Flat]),ROUND(_xlfn.XLOOKUP('Bulk Order Details'!R277,Logos[Display],Logos[Pct])*$E267,2))),"")</f>
        <v/>
      </c>
      <c r="M267" s="22" t="str">
        <f>IFERROR(IF('Bulk Order Details'!S277="","",IF(_xlfn.XLOOKUP('Bulk Order Details'!S277,Chest[Display],Chest[Use])="Flat",_xlfn.XLOOKUP('Bulk Order Details'!S277,Chest[Display],Chest[Flat]),ROUND(_xlfn.XLOOKUP('Bulk Order Details'!S277,Chest[Display],Chest[Pct])*$E267,2))),"")</f>
        <v/>
      </c>
      <c r="N267" s="22" t="str">
        <f>IFERROR(IF('Bulk Order Details'!T277="","",IF(_xlfn.XLOOKUP('Bulk Order Details'!T277,Chest[Display],Chest[Use])="Flat",_xlfn.XLOOKUP('Bulk Order Details'!T277,Chest[Display],Chest[Flat]),ROUND(_xlfn.XLOOKUP('Bulk Order Details'!T277,Chest[Display],Chest[Pct])*$E267,2))),"")</f>
        <v/>
      </c>
      <c r="O267" s="22" t="str">
        <f>IFERROR(IF('Bulk Order Details'!U277="","",IF(_xlfn.XLOOKUP('Bulk Order Details'!U277,LeftSleeve[Display],LeftSleeve[Use])="Flat",_xlfn.XLOOKUP('Bulk Order Details'!U277,LeftSleeve[Display],LeftSleeve[Flat]),ROUND(_xlfn.XLOOKUP('Bulk Order Details'!U277,LeftSleeve[Display],LeftSleeve[Pct])*$E267,2))),"")</f>
        <v/>
      </c>
      <c r="P267" s="22" t="str">
        <f>IFERROR(IF('Bulk Order Details'!V277="","",IF(_xlfn.XLOOKUP('Bulk Order Details'!V277,RightSleeve[Display],RightSleeve[Use])="Flat",_xlfn.XLOOKUP('Bulk Order Details'!V277,RightSleeve[Display],RightSleeve[Flat]),ROUND(_xlfn.XLOOKUP('Bulk Order Details'!V277,RightSleeve[Display],RightSleeve[Pct])*$E267,2))),"")</f>
        <v/>
      </c>
      <c r="Q267" s="27" t="str">
        <f>IF('Bulk Order Details'!M277="","",SUM(F267:P267))</f>
        <v/>
      </c>
      <c r="R267" s="24" t="str">
        <f t="shared" si="21"/>
        <v/>
      </c>
      <c r="S267" s="23" t="str">
        <f>IFERROR(MIN(IF(Summary!$D$11="Yes",-J267,0),IF(H267&gt;0,-J267,0)),"")</f>
        <v/>
      </c>
      <c r="T267" s="16" t="str">
        <f>IFERROR(IF(Summary!$D$10="Yes",-K267,""),"")</f>
        <v/>
      </c>
      <c r="U267" s="18" t="str">
        <f>IFERROR(IF(Summary!$D$12="Yes",-L267,""),"")</f>
        <v/>
      </c>
      <c r="V267" s="25" t="str">
        <f>IF('Bulk Order Details'!M277="","",SUM(R267:U267))</f>
        <v/>
      </c>
      <c r="W267" s="36" t="str">
        <f>IF('Bulk Order Details'!M277="","",D267+Q267)</f>
        <v/>
      </c>
      <c r="X267" s="37" t="str">
        <f>IF('Bulk Order Details'!M277="","",D267+Q267+V267)</f>
        <v/>
      </c>
      <c r="Y267" s="168" t="str">
        <f t="shared" si="20"/>
        <v/>
      </c>
      <c r="Z267" s="173" t="str">
        <f>IF('Bulk Order Details'!M277="","",MAX(1,'Bulk Order Details'!G277))</f>
        <v/>
      </c>
      <c r="AA267" s="196" t="str">
        <f>IF(Pricing_Details[[#This Row],[Quantity]]="","",Pricing_Details[[#This Row],[Retail Price]]*Pricing_Details[[#This Row],[Quantity]])</f>
        <v/>
      </c>
      <c r="AB267" s="196" t="str">
        <f>IF(Pricing_Details[[#This Row],[Quantity]]="","",Pricing_Details[[#This Row],[Total Discount]]*Pricing_Details[[#This Row],[Quantity]])</f>
        <v/>
      </c>
      <c r="AC267" s="176" t="str">
        <f>IFERROR(ROUND(Pricing_Details[[#This Row],[Actual Price]]*Pricing_Details[[#This Row],[Quantity]],2),"")</f>
        <v/>
      </c>
      <c r="AE267" s="156" t="str">
        <f>IF('Bulk Order Details'!M277="","",VLOOKUP('Bulk Order Details'!K277,Collection[],3)&amp;VLOOKUP('Bulk Order Details'!M277,Collar[],4)&amp;VLOOKUP('Bulk Order Details'!L277,Sleeve[],4))</f>
        <v/>
      </c>
      <c r="AF267" s="156" t="str">
        <f>IF('Bulk Order Details'!M277="","",LOOKUP('Bulk Order Details'!H277,Cut[Display],Cut[Code])&amp;LOOKUP('Bulk Order Details'!I277,#REF!,#REF!)&amp;IF('Bulk Order Details'!J277="","",LOOKUP('Bulk Order Details'!J277,Length[Display],Length[Code])))</f>
        <v/>
      </c>
      <c r="AG267" s="156" t="str">
        <f>IF('Bulk Order Details'!M277="","",IF('Bulk Order Details'!F277="","",'Bulk Order Details'!F277))</f>
        <v/>
      </c>
      <c r="AH267" s="156" t="str">
        <f>IF('Bulk Order Details'!R277="","","-"&amp;LOOKUP('Bulk Order Details'!R277,#REF!,#REF!))</f>
        <v/>
      </c>
      <c r="AI267" s="156" t="str">
        <f>IF('Bulk Order Details'!S277="","","-"&amp;LOOKUP('Bulk Order Details'!S277,#REF!,#REF!))</f>
        <v/>
      </c>
      <c r="AJ267" s="156" t="str">
        <f>IF('Bulk Order Details'!T277="","","-"&amp;LOOKUP('Bulk Order Details'!T277,#REF!,#REF!))</f>
        <v/>
      </c>
      <c r="AK267" s="156" t="str">
        <f>IF('Bulk Order Details'!U277="","","-"&amp;LOOKUP('Bulk Order Details'!U277,#REF!,#REF!))</f>
        <v/>
      </c>
      <c r="AL267" s="156" t="str">
        <f>IF('Bulk Order Details'!V277="","","-"&amp;LOOKUP('Bulk Order Details'!V277,#REF!,#REF!))</f>
        <v/>
      </c>
      <c r="AM267" s="156" t="str">
        <f t="shared" si="22"/>
        <v/>
      </c>
      <c r="AN267" s="156" t="str">
        <f>IF('Bulk Order Details'!N277="","","Na-"&amp;'Bulk Order Details'!N277)</f>
        <v/>
      </c>
      <c r="AO267" s="156" t="str">
        <f>IF('Bulk Order Details'!Q277="","","Fo-"&amp;'Bulk Order Details'!Q277)</f>
        <v/>
      </c>
      <c r="AP267" s="156" t="str">
        <f t="shared" si="23"/>
        <v/>
      </c>
      <c r="AQ267" s="37" t="str">
        <f t="shared" si="24"/>
        <v/>
      </c>
    </row>
    <row r="268" spans="2:43" ht="15" customHeight="1" x14ac:dyDescent="0.2">
      <c r="B268" s="34">
        <f>'Bulk Order Details'!B278</f>
        <v>265</v>
      </c>
      <c r="C268" s="34" t="str">
        <f>IF('Bulk Order Details'!C278="","",'Bulk Order Details'!C278&amp;" "&amp;'Bulk Order Details'!D278)</f>
        <v/>
      </c>
      <c r="D268" s="31" t="str">
        <f>IF('Bulk Order Details'!M278="","",VLOOKUP(1,Price[],3))</f>
        <v/>
      </c>
      <c r="E268" s="29" t="str">
        <f>IF('Bulk Order Details'!M278="","",Summary!$D$9)</f>
        <v/>
      </c>
      <c r="F268" s="16" t="str">
        <f>IF('Bulk Order Details'!I278="","",_xlfn.XLOOKUP('Bulk Order Details'!I278,Size[Display],Size[Price]))</f>
        <v/>
      </c>
      <c r="G268" s="16" t="str">
        <f>IF('Bulk Order Details'!J278="","",_xlfn.XLOOKUP('Bulk Order Details'!J278,Length[Display],Length[Price]))</f>
        <v/>
      </c>
      <c r="H268" s="16" t="str">
        <f>IF('Bulk Order Details'!K278="","",_xlfn.XLOOKUP('Bulk Order Details'!K278,Collection[Display],Collection[Price]))</f>
        <v/>
      </c>
      <c r="I268" s="16" t="str">
        <f>IF('Bulk Order Details'!L278="","",_xlfn.XLOOKUP('Bulk Order Details'!L278,Sleeve[Display],Sleeve[Price]))</f>
        <v/>
      </c>
      <c r="J268" s="16" t="str">
        <f>IF('Bulk Order Details'!M278="","",_xlfn.XLOOKUP('Bulk Order Details'!M278,Collar[Display],Collar[Price]))</f>
        <v/>
      </c>
      <c r="K268" s="16" t="str">
        <f>IF('Bulk Order Details'!N278="","",_xlfn.XLOOKUP("Name",Name[Name],Name[Price]))</f>
        <v/>
      </c>
      <c r="L268" s="18" t="str">
        <f>IFERROR(IF('Bulk Order Details'!R278="","",IF(_xlfn.XLOOKUP('Bulk Order Details'!R278,Logos[Display],Logos[Use])="Flat",_xlfn.XLOOKUP('Bulk Order Details'!R278,Logos[Display],Logos[Flat]),ROUND(_xlfn.XLOOKUP('Bulk Order Details'!R278,Logos[Display],Logos[Pct])*$E268,2))),"")</f>
        <v/>
      </c>
      <c r="M268" s="22" t="str">
        <f>IFERROR(IF('Bulk Order Details'!S278="","",IF(_xlfn.XLOOKUP('Bulk Order Details'!S278,Chest[Display],Chest[Use])="Flat",_xlfn.XLOOKUP('Bulk Order Details'!S278,Chest[Display],Chest[Flat]),ROUND(_xlfn.XLOOKUP('Bulk Order Details'!S278,Chest[Display],Chest[Pct])*$E268,2))),"")</f>
        <v/>
      </c>
      <c r="N268" s="22" t="str">
        <f>IFERROR(IF('Bulk Order Details'!T278="","",IF(_xlfn.XLOOKUP('Bulk Order Details'!T278,Chest[Display],Chest[Use])="Flat",_xlfn.XLOOKUP('Bulk Order Details'!T278,Chest[Display],Chest[Flat]),ROUND(_xlfn.XLOOKUP('Bulk Order Details'!T278,Chest[Display],Chest[Pct])*$E268,2))),"")</f>
        <v/>
      </c>
      <c r="O268" s="22" t="str">
        <f>IFERROR(IF('Bulk Order Details'!U278="","",IF(_xlfn.XLOOKUP('Bulk Order Details'!U278,LeftSleeve[Display],LeftSleeve[Use])="Flat",_xlfn.XLOOKUP('Bulk Order Details'!U278,LeftSleeve[Display],LeftSleeve[Flat]),ROUND(_xlfn.XLOOKUP('Bulk Order Details'!U278,LeftSleeve[Display],LeftSleeve[Pct])*$E268,2))),"")</f>
        <v/>
      </c>
      <c r="P268" s="22" t="str">
        <f>IFERROR(IF('Bulk Order Details'!V278="","",IF(_xlfn.XLOOKUP('Bulk Order Details'!V278,RightSleeve[Display],RightSleeve[Use])="Flat",_xlfn.XLOOKUP('Bulk Order Details'!V278,RightSleeve[Display],RightSleeve[Flat]),ROUND(_xlfn.XLOOKUP('Bulk Order Details'!V278,RightSleeve[Display],RightSleeve[Pct])*$E268,2))),"")</f>
        <v/>
      </c>
      <c r="Q268" s="27" t="str">
        <f>IF('Bulk Order Details'!M278="","",SUM(F268:P268))</f>
        <v/>
      </c>
      <c r="R268" s="24" t="str">
        <f t="shared" si="21"/>
        <v/>
      </c>
      <c r="S268" s="23" t="str">
        <f>IFERROR(MIN(IF(Summary!$D$11="Yes",-J268,0),IF(H268&gt;0,-J268,0)),"")</f>
        <v/>
      </c>
      <c r="T268" s="16" t="str">
        <f>IFERROR(IF(Summary!$D$10="Yes",-K268,""),"")</f>
        <v/>
      </c>
      <c r="U268" s="18" t="str">
        <f>IFERROR(IF(Summary!$D$12="Yes",-L268,""),"")</f>
        <v/>
      </c>
      <c r="V268" s="25" t="str">
        <f>IF('Bulk Order Details'!M278="","",SUM(R268:U268))</f>
        <v/>
      </c>
      <c r="W268" s="36" t="str">
        <f>IF('Bulk Order Details'!M278="","",D268+Q268)</f>
        <v/>
      </c>
      <c r="X268" s="37" t="str">
        <f>IF('Bulk Order Details'!M278="","",D268+Q268+V268)</f>
        <v/>
      </c>
      <c r="Y268" s="168" t="str">
        <f t="shared" si="20"/>
        <v/>
      </c>
      <c r="Z268" s="173" t="str">
        <f>IF('Bulk Order Details'!M278="","",MAX(1,'Bulk Order Details'!G278))</f>
        <v/>
      </c>
      <c r="AA268" s="196" t="str">
        <f>IF(Pricing_Details[[#This Row],[Quantity]]="","",Pricing_Details[[#This Row],[Retail Price]]*Pricing_Details[[#This Row],[Quantity]])</f>
        <v/>
      </c>
      <c r="AB268" s="196" t="str">
        <f>IF(Pricing_Details[[#This Row],[Quantity]]="","",Pricing_Details[[#This Row],[Total Discount]]*Pricing_Details[[#This Row],[Quantity]])</f>
        <v/>
      </c>
      <c r="AC268" s="176" t="str">
        <f>IFERROR(ROUND(Pricing_Details[[#This Row],[Actual Price]]*Pricing_Details[[#This Row],[Quantity]],2),"")</f>
        <v/>
      </c>
      <c r="AE268" s="156" t="str">
        <f>IF('Bulk Order Details'!M278="","",VLOOKUP('Bulk Order Details'!K278,Collection[],3)&amp;VLOOKUP('Bulk Order Details'!M278,Collar[],4)&amp;VLOOKUP('Bulk Order Details'!L278,Sleeve[],4))</f>
        <v/>
      </c>
      <c r="AF268" s="156" t="str">
        <f>IF('Bulk Order Details'!M278="","",LOOKUP('Bulk Order Details'!H278,Cut[Display],Cut[Code])&amp;LOOKUP('Bulk Order Details'!I278,#REF!,#REF!)&amp;IF('Bulk Order Details'!J278="","",LOOKUP('Bulk Order Details'!J278,Length[Display],Length[Code])))</f>
        <v/>
      </c>
      <c r="AG268" s="156" t="str">
        <f>IF('Bulk Order Details'!M278="","",IF('Bulk Order Details'!F278="","",'Bulk Order Details'!F278))</f>
        <v/>
      </c>
      <c r="AH268" s="156" t="str">
        <f>IF('Bulk Order Details'!R278="","","-"&amp;LOOKUP('Bulk Order Details'!R278,#REF!,#REF!))</f>
        <v/>
      </c>
      <c r="AI268" s="156" t="str">
        <f>IF('Bulk Order Details'!S278="","","-"&amp;LOOKUP('Bulk Order Details'!S278,#REF!,#REF!))</f>
        <v/>
      </c>
      <c r="AJ268" s="156" t="str">
        <f>IF('Bulk Order Details'!T278="","","-"&amp;LOOKUP('Bulk Order Details'!T278,#REF!,#REF!))</f>
        <v/>
      </c>
      <c r="AK268" s="156" t="str">
        <f>IF('Bulk Order Details'!U278="","","-"&amp;LOOKUP('Bulk Order Details'!U278,#REF!,#REF!))</f>
        <v/>
      </c>
      <c r="AL268" s="156" t="str">
        <f>IF('Bulk Order Details'!V278="","","-"&amp;LOOKUP('Bulk Order Details'!V278,#REF!,#REF!))</f>
        <v/>
      </c>
      <c r="AM268" s="156" t="str">
        <f t="shared" si="22"/>
        <v/>
      </c>
      <c r="AN268" s="156" t="str">
        <f>IF('Bulk Order Details'!N278="","","Na-"&amp;'Bulk Order Details'!N278)</f>
        <v/>
      </c>
      <c r="AO268" s="156" t="str">
        <f>IF('Bulk Order Details'!Q278="","","Fo-"&amp;'Bulk Order Details'!Q278)</f>
        <v/>
      </c>
      <c r="AP268" s="156" t="str">
        <f t="shared" si="23"/>
        <v/>
      </c>
      <c r="AQ268" s="37" t="str">
        <f t="shared" si="24"/>
        <v/>
      </c>
    </row>
    <row r="269" spans="2:43" ht="15" customHeight="1" x14ac:dyDescent="0.2">
      <c r="B269" s="34">
        <f>'Bulk Order Details'!B279</f>
        <v>266</v>
      </c>
      <c r="C269" s="34" t="str">
        <f>IF('Bulk Order Details'!C279="","",'Bulk Order Details'!C279&amp;" "&amp;'Bulk Order Details'!D279)</f>
        <v/>
      </c>
      <c r="D269" s="31" t="str">
        <f>IF('Bulk Order Details'!M279="","",VLOOKUP(1,Price[],3))</f>
        <v/>
      </c>
      <c r="E269" s="29" t="str">
        <f>IF('Bulk Order Details'!M279="","",Summary!$D$9)</f>
        <v/>
      </c>
      <c r="F269" s="16" t="str">
        <f>IF('Bulk Order Details'!I279="","",_xlfn.XLOOKUP('Bulk Order Details'!I279,Size[Display],Size[Price]))</f>
        <v/>
      </c>
      <c r="G269" s="16" t="str">
        <f>IF('Bulk Order Details'!J279="","",_xlfn.XLOOKUP('Bulk Order Details'!J279,Length[Display],Length[Price]))</f>
        <v/>
      </c>
      <c r="H269" s="16" t="str">
        <f>IF('Bulk Order Details'!K279="","",_xlfn.XLOOKUP('Bulk Order Details'!K279,Collection[Display],Collection[Price]))</f>
        <v/>
      </c>
      <c r="I269" s="16" t="str">
        <f>IF('Bulk Order Details'!L279="","",_xlfn.XLOOKUP('Bulk Order Details'!L279,Sleeve[Display],Sleeve[Price]))</f>
        <v/>
      </c>
      <c r="J269" s="16" t="str">
        <f>IF('Bulk Order Details'!M279="","",_xlfn.XLOOKUP('Bulk Order Details'!M279,Collar[Display],Collar[Price]))</f>
        <v/>
      </c>
      <c r="K269" s="16" t="str">
        <f>IF('Bulk Order Details'!N279="","",_xlfn.XLOOKUP("Name",Name[Name],Name[Price]))</f>
        <v/>
      </c>
      <c r="L269" s="18" t="str">
        <f>IFERROR(IF('Bulk Order Details'!R279="","",IF(_xlfn.XLOOKUP('Bulk Order Details'!R279,Logos[Display],Logos[Use])="Flat",_xlfn.XLOOKUP('Bulk Order Details'!R279,Logos[Display],Logos[Flat]),ROUND(_xlfn.XLOOKUP('Bulk Order Details'!R279,Logos[Display],Logos[Pct])*$E269,2))),"")</f>
        <v/>
      </c>
      <c r="M269" s="22" t="str">
        <f>IFERROR(IF('Bulk Order Details'!S279="","",IF(_xlfn.XLOOKUP('Bulk Order Details'!S279,Chest[Display],Chest[Use])="Flat",_xlfn.XLOOKUP('Bulk Order Details'!S279,Chest[Display],Chest[Flat]),ROUND(_xlfn.XLOOKUP('Bulk Order Details'!S279,Chest[Display],Chest[Pct])*$E269,2))),"")</f>
        <v/>
      </c>
      <c r="N269" s="22" t="str">
        <f>IFERROR(IF('Bulk Order Details'!T279="","",IF(_xlfn.XLOOKUP('Bulk Order Details'!T279,Chest[Display],Chest[Use])="Flat",_xlfn.XLOOKUP('Bulk Order Details'!T279,Chest[Display],Chest[Flat]),ROUND(_xlfn.XLOOKUP('Bulk Order Details'!T279,Chest[Display],Chest[Pct])*$E269,2))),"")</f>
        <v/>
      </c>
      <c r="O269" s="22" t="str">
        <f>IFERROR(IF('Bulk Order Details'!U279="","",IF(_xlfn.XLOOKUP('Bulk Order Details'!U279,LeftSleeve[Display],LeftSleeve[Use])="Flat",_xlfn.XLOOKUP('Bulk Order Details'!U279,LeftSleeve[Display],LeftSleeve[Flat]),ROUND(_xlfn.XLOOKUP('Bulk Order Details'!U279,LeftSleeve[Display],LeftSleeve[Pct])*$E269,2))),"")</f>
        <v/>
      </c>
      <c r="P269" s="22" t="str">
        <f>IFERROR(IF('Bulk Order Details'!V279="","",IF(_xlfn.XLOOKUP('Bulk Order Details'!V279,RightSleeve[Display],RightSleeve[Use])="Flat",_xlfn.XLOOKUP('Bulk Order Details'!V279,RightSleeve[Display],RightSleeve[Flat]),ROUND(_xlfn.XLOOKUP('Bulk Order Details'!V279,RightSleeve[Display],RightSleeve[Pct])*$E269,2))),"")</f>
        <v/>
      </c>
      <c r="Q269" s="27" t="str">
        <f>IF('Bulk Order Details'!M279="","",SUM(F269:P269))</f>
        <v/>
      </c>
      <c r="R269" s="24" t="str">
        <f t="shared" si="21"/>
        <v/>
      </c>
      <c r="S269" s="23" t="str">
        <f>IFERROR(MIN(IF(Summary!$D$11="Yes",-J269,0),IF(H269&gt;0,-J269,0)),"")</f>
        <v/>
      </c>
      <c r="T269" s="16" t="str">
        <f>IFERROR(IF(Summary!$D$10="Yes",-K269,""),"")</f>
        <v/>
      </c>
      <c r="U269" s="18" t="str">
        <f>IFERROR(IF(Summary!$D$12="Yes",-L269,""),"")</f>
        <v/>
      </c>
      <c r="V269" s="25" t="str">
        <f>IF('Bulk Order Details'!M279="","",SUM(R269:U269))</f>
        <v/>
      </c>
      <c r="W269" s="36" t="str">
        <f>IF('Bulk Order Details'!M279="","",D269+Q269)</f>
        <v/>
      </c>
      <c r="X269" s="37" t="str">
        <f>IF('Bulk Order Details'!M279="","",D269+Q269+V269)</f>
        <v/>
      </c>
      <c r="Y269" s="168" t="str">
        <f t="shared" si="20"/>
        <v/>
      </c>
      <c r="Z269" s="173" t="str">
        <f>IF('Bulk Order Details'!M279="","",MAX(1,'Bulk Order Details'!G279))</f>
        <v/>
      </c>
      <c r="AA269" s="196" t="str">
        <f>IF(Pricing_Details[[#This Row],[Quantity]]="","",Pricing_Details[[#This Row],[Retail Price]]*Pricing_Details[[#This Row],[Quantity]])</f>
        <v/>
      </c>
      <c r="AB269" s="196" t="str">
        <f>IF(Pricing_Details[[#This Row],[Quantity]]="","",Pricing_Details[[#This Row],[Total Discount]]*Pricing_Details[[#This Row],[Quantity]])</f>
        <v/>
      </c>
      <c r="AC269" s="176" t="str">
        <f>IFERROR(ROUND(Pricing_Details[[#This Row],[Actual Price]]*Pricing_Details[[#This Row],[Quantity]],2),"")</f>
        <v/>
      </c>
      <c r="AE269" s="156" t="str">
        <f>IF('Bulk Order Details'!M279="","",VLOOKUP('Bulk Order Details'!K279,Collection[],3)&amp;VLOOKUP('Bulk Order Details'!M279,Collar[],4)&amp;VLOOKUP('Bulk Order Details'!L279,Sleeve[],4))</f>
        <v/>
      </c>
      <c r="AF269" s="156" t="str">
        <f>IF('Bulk Order Details'!M279="","",LOOKUP('Bulk Order Details'!H279,Cut[Display],Cut[Code])&amp;LOOKUP('Bulk Order Details'!I279,#REF!,#REF!)&amp;IF('Bulk Order Details'!J279="","",LOOKUP('Bulk Order Details'!J279,Length[Display],Length[Code])))</f>
        <v/>
      </c>
      <c r="AG269" s="156" t="str">
        <f>IF('Bulk Order Details'!M279="","",IF('Bulk Order Details'!F279="","",'Bulk Order Details'!F279))</f>
        <v/>
      </c>
      <c r="AH269" s="156" t="str">
        <f>IF('Bulk Order Details'!R279="","","-"&amp;LOOKUP('Bulk Order Details'!R279,#REF!,#REF!))</f>
        <v/>
      </c>
      <c r="AI269" s="156" t="str">
        <f>IF('Bulk Order Details'!S279="","","-"&amp;LOOKUP('Bulk Order Details'!S279,#REF!,#REF!))</f>
        <v/>
      </c>
      <c r="AJ269" s="156" t="str">
        <f>IF('Bulk Order Details'!T279="","","-"&amp;LOOKUP('Bulk Order Details'!T279,#REF!,#REF!))</f>
        <v/>
      </c>
      <c r="AK269" s="156" t="str">
        <f>IF('Bulk Order Details'!U279="","","-"&amp;LOOKUP('Bulk Order Details'!U279,#REF!,#REF!))</f>
        <v/>
      </c>
      <c r="AL269" s="156" t="str">
        <f>IF('Bulk Order Details'!V279="","","-"&amp;LOOKUP('Bulk Order Details'!V279,#REF!,#REF!))</f>
        <v/>
      </c>
      <c r="AM269" s="156" t="str">
        <f t="shared" si="22"/>
        <v/>
      </c>
      <c r="AN269" s="156" t="str">
        <f>IF('Bulk Order Details'!N279="","","Na-"&amp;'Bulk Order Details'!N279)</f>
        <v/>
      </c>
      <c r="AO269" s="156" t="str">
        <f>IF('Bulk Order Details'!Q279="","","Fo-"&amp;'Bulk Order Details'!Q279)</f>
        <v/>
      </c>
      <c r="AP269" s="156" t="str">
        <f t="shared" si="23"/>
        <v/>
      </c>
      <c r="AQ269" s="37" t="str">
        <f t="shared" si="24"/>
        <v/>
      </c>
    </row>
    <row r="270" spans="2:43" ht="15" customHeight="1" x14ac:dyDescent="0.2">
      <c r="B270" s="34">
        <f>'Bulk Order Details'!B280</f>
        <v>267</v>
      </c>
      <c r="C270" s="34" t="str">
        <f>IF('Bulk Order Details'!C280="","",'Bulk Order Details'!C280&amp;" "&amp;'Bulk Order Details'!D280)</f>
        <v/>
      </c>
      <c r="D270" s="31" t="str">
        <f>IF('Bulk Order Details'!M280="","",VLOOKUP(1,Price[],3))</f>
        <v/>
      </c>
      <c r="E270" s="29" t="str">
        <f>IF('Bulk Order Details'!M280="","",Summary!$D$9)</f>
        <v/>
      </c>
      <c r="F270" s="16" t="str">
        <f>IF('Bulk Order Details'!I280="","",_xlfn.XLOOKUP('Bulk Order Details'!I280,Size[Display],Size[Price]))</f>
        <v/>
      </c>
      <c r="G270" s="16" t="str">
        <f>IF('Bulk Order Details'!J280="","",_xlfn.XLOOKUP('Bulk Order Details'!J280,Length[Display],Length[Price]))</f>
        <v/>
      </c>
      <c r="H270" s="16" t="str">
        <f>IF('Bulk Order Details'!K280="","",_xlfn.XLOOKUP('Bulk Order Details'!K280,Collection[Display],Collection[Price]))</f>
        <v/>
      </c>
      <c r="I270" s="16" t="str">
        <f>IF('Bulk Order Details'!L280="","",_xlfn.XLOOKUP('Bulk Order Details'!L280,Sleeve[Display],Sleeve[Price]))</f>
        <v/>
      </c>
      <c r="J270" s="16" t="str">
        <f>IF('Bulk Order Details'!M280="","",_xlfn.XLOOKUP('Bulk Order Details'!M280,Collar[Display],Collar[Price]))</f>
        <v/>
      </c>
      <c r="K270" s="16" t="str">
        <f>IF('Bulk Order Details'!N280="","",_xlfn.XLOOKUP("Name",Name[Name],Name[Price]))</f>
        <v/>
      </c>
      <c r="L270" s="18" t="str">
        <f>IFERROR(IF('Bulk Order Details'!R280="","",IF(_xlfn.XLOOKUP('Bulk Order Details'!R280,Logos[Display],Logos[Use])="Flat",_xlfn.XLOOKUP('Bulk Order Details'!R280,Logos[Display],Logos[Flat]),ROUND(_xlfn.XLOOKUP('Bulk Order Details'!R280,Logos[Display],Logos[Pct])*$E270,2))),"")</f>
        <v/>
      </c>
      <c r="M270" s="22" t="str">
        <f>IFERROR(IF('Bulk Order Details'!S280="","",IF(_xlfn.XLOOKUP('Bulk Order Details'!S280,Chest[Display],Chest[Use])="Flat",_xlfn.XLOOKUP('Bulk Order Details'!S280,Chest[Display],Chest[Flat]),ROUND(_xlfn.XLOOKUP('Bulk Order Details'!S280,Chest[Display],Chest[Pct])*$E270,2))),"")</f>
        <v/>
      </c>
      <c r="N270" s="22" t="str">
        <f>IFERROR(IF('Bulk Order Details'!T280="","",IF(_xlfn.XLOOKUP('Bulk Order Details'!T280,Chest[Display],Chest[Use])="Flat",_xlfn.XLOOKUP('Bulk Order Details'!T280,Chest[Display],Chest[Flat]),ROUND(_xlfn.XLOOKUP('Bulk Order Details'!T280,Chest[Display],Chest[Pct])*$E270,2))),"")</f>
        <v/>
      </c>
      <c r="O270" s="22" t="str">
        <f>IFERROR(IF('Bulk Order Details'!U280="","",IF(_xlfn.XLOOKUP('Bulk Order Details'!U280,LeftSleeve[Display],LeftSleeve[Use])="Flat",_xlfn.XLOOKUP('Bulk Order Details'!U280,LeftSleeve[Display],LeftSleeve[Flat]),ROUND(_xlfn.XLOOKUP('Bulk Order Details'!U280,LeftSleeve[Display],LeftSleeve[Pct])*$E270,2))),"")</f>
        <v/>
      </c>
      <c r="P270" s="22" t="str">
        <f>IFERROR(IF('Bulk Order Details'!V280="","",IF(_xlfn.XLOOKUP('Bulk Order Details'!V280,RightSleeve[Display],RightSleeve[Use])="Flat",_xlfn.XLOOKUP('Bulk Order Details'!V280,RightSleeve[Display],RightSleeve[Flat]),ROUND(_xlfn.XLOOKUP('Bulk Order Details'!V280,RightSleeve[Display],RightSleeve[Pct])*$E270,2))),"")</f>
        <v/>
      </c>
      <c r="Q270" s="27" t="str">
        <f>IF('Bulk Order Details'!M280="","",SUM(F270:P270))</f>
        <v/>
      </c>
      <c r="R270" s="24" t="str">
        <f t="shared" si="21"/>
        <v/>
      </c>
      <c r="S270" s="23" t="str">
        <f>IFERROR(MIN(IF(Summary!$D$11="Yes",-J270,0),IF(H270&gt;0,-J270,0)),"")</f>
        <v/>
      </c>
      <c r="T270" s="16" t="str">
        <f>IFERROR(IF(Summary!$D$10="Yes",-K270,""),"")</f>
        <v/>
      </c>
      <c r="U270" s="18" t="str">
        <f>IFERROR(IF(Summary!$D$12="Yes",-L270,""),"")</f>
        <v/>
      </c>
      <c r="V270" s="25" t="str">
        <f>IF('Bulk Order Details'!M280="","",SUM(R270:U270))</f>
        <v/>
      </c>
      <c r="W270" s="36" t="str">
        <f>IF('Bulk Order Details'!M280="","",D270+Q270)</f>
        <v/>
      </c>
      <c r="X270" s="37" t="str">
        <f>IF('Bulk Order Details'!M280="","",D270+Q270+V270)</f>
        <v/>
      </c>
      <c r="Y270" s="168" t="str">
        <f t="shared" si="20"/>
        <v/>
      </c>
      <c r="Z270" s="173" t="str">
        <f>IF('Bulk Order Details'!M280="","",MAX(1,'Bulk Order Details'!G280))</f>
        <v/>
      </c>
      <c r="AA270" s="196" t="str">
        <f>IF(Pricing_Details[[#This Row],[Quantity]]="","",Pricing_Details[[#This Row],[Retail Price]]*Pricing_Details[[#This Row],[Quantity]])</f>
        <v/>
      </c>
      <c r="AB270" s="196" t="str">
        <f>IF(Pricing_Details[[#This Row],[Quantity]]="","",Pricing_Details[[#This Row],[Total Discount]]*Pricing_Details[[#This Row],[Quantity]])</f>
        <v/>
      </c>
      <c r="AC270" s="176" t="str">
        <f>IFERROR(ROUND(Pricing_Details[[#This Row],[Actual Price]]*Pricing_Details[[#This Row],[Quantity]],2),"")</f>
        <v/>
      </c>
      <c r="AE270" s="156" t="str">
        <f>IF('Bulk Order Details'!M280="","",VLOOKUP('Bulk Order Details'!K280,Collection[],3)&amp;VLOOKUP('Bulk Order Details'!M280,Collar[],4)&amp;VLOOKUP('Bulk Order Details'!L280,Sleeve[],4))</f>
        <v/>
      </c>
      <c r="AF270" s="156" t="str">
        <f>IF('Bulk Order Details'!M280="","",LOOKUP('Bulk Order Details'!H280,Cut[Display],Cut[Code])&amp;LOOKUP('Bulk Order Details'!I280,#REF!,#REF!)&amp;IF('Bulk Order Details'!J280="","",LOOKUP('Bulk Order Details'!J280,Length[Display],Length[Code])))</f>
        <v/>
      </c>
      <c r="AG270" s="156" t="str">
        <f>IF('Bulk Order Details'!M280="","",IF('Bulk Order Details'!F280="","",'Bulk Order Details'!F280))</f>
        <v/>
      </c>
      <c r="AH270" s="156" t="str">
        <f>IF('Bulk Order Details'!R280="","","-"&amp;LOOKUP('Bulk Order Details'!R280,#REF!,#REF!))</f>
        <v/>
      </c>
      <c r="AI270" s="156" t="str">
        <f>IF('Bulk Order Details'!S280="","","-"&amp;LOOKUP('Bulk Order Details'!S280,#REF!,#REF!))</f>
        <v/>
      </c>
      <c r="AJ270" s="156" t="str">
        <f>IF('Bulk Order Details'!T280="","","-"&amp;LOOKUP('Bulk Order Details'!T280,#REF!,#REF!))</f>
        <v/>
      </c>
      <c r="AK270" s="156" t="str">
        <f>IF('Bulk Order Details'!U280="","","-"&amp;LOOKUP('Bulk Order Details'!U280,#REF!,#REF!))</f>
        <v/>
      </c>
      <c r="AL270" s="156" t="str">
        <f>IF('Bulk Order Details'!V280="","","-"&amp;LOOKUP('Bulk Order Details'!V280,#REF!,#REF!))</f>
        <v/>
      </c>
      <c r="AM270" s="156" t="str">
        <f t="shared" si="22"/>
        <v/>
      </c>
      <c r="AN270" s="156" t="str">
        <f>IF('Bulk Order Details'!N280="","","Na-"&amp;'Bulk Order Details'!N280)</f>
        <v/>
      </c>
      <c r="AO270" s="156" t="str">
        <f>IF('Bulk Order Details'!Q280="","","Fo-"&amp;'Bulk Order Details'!Q280)</f>
        <v/>
      </c>
      <c r="AP270" s="156" t="str">
        <f t="shared" si="23"/>
        <v/>
      </c>
      <c r="AQ270" s="37" t="str">
        <f t="shared" si="24"/>
        <v/>
      </c>
    </row>
    <row r="271" spans="2:43" ht="15" customHeight="1" x14ac:dyDescent="0.2">
      <c r="B271" s="34">
        <f>'Bulk Order Details'!B281</f>
        <v>268</v>
      </c>
      <c r="C271" s="34" t="str">
        <f>IF('Bulk Order Details'!C281="","",'Bulk Order Details'!C281&amp;" "&amp;'Bulk Order Details'!D281)</f>
        <v/>
      </c>
      <c r="D271" s="31" t="str">
        <f>IF('Bulk Order Details'!M281="","",VLOOKUP(1,Price[],3))</f>
        <v/>
      </c>
      <c r="E271" s="29" t="str">
        <f>IF('Bulk Order Details'!M281="","",Summary!$D$9)</f>
        <v/>
      </c>
      <c r="F271" s="16" t="str">
        <f>IF('Bulk Order Details'!I281="","",_xlfn.XLOOKUP('Bulk Order Details'!I281,Size[Display],Size[Price]))</f>
        <v/>
      </c>
      <c r="G271" s="16" t="str">
        <f>IF('Bulk Order Details'!J281="","",_xlfn.XLOOKUP('Bulk Order Details'!J281,Length[Display],Length[Price]))</f>
        <v/>
      </c>
      <c r="H271" s="16" t="str">
        <f>IF('Bulk Order Details'!K281="","",_xlfn.XLOOKUP('Bulk Order Details'!K281,Collection[Display],Collection[Price]))</f>
        <v/>
      </c>
      <c r="I271" s="16" t="str">
        <f>IF('Bulk Order Details'!L281="","",_xlfn.XLOOKUP('Bulk Order Details'!L281,Sleeve[Display],Sleeve[Price]))</f>
        <v/>
      </c>
      <c r="J271" s="16" t="str">
        <f>IF('Bulk Order Details'!M281="","",_xlfn.XLOOKUP('Bulk Order Details'!M281,Collar[Display],Collar[Price]))</f>
        <v/>
      </c>
      <c r="K271" s="16" t="str">
        <f>IF('Bulk Order Details'!N281="","",_xlfn.XLOOKUP("Name",Name[Name],Name[Price]))</f>
        <v/>
      </c>
      <c r="L271" s="18" t="str">
        <f>IFERROR(IF('Bulk Order Details'!R281="","",IF(_xlfn.XLOOKUP('Bulk Order Details'!R281,Logos[Display],Logos[Use])="Flat",_xlfn.XLOOKUP('Bulk Order Details'!R281,Logos[Display],Logos[Flat]),ROUND(_xlfn.XLOOKUP('Bulk Order Details'!R281,Logos[Display],Logos[Pct])*$E271,2))),"")</f>
        <v/>
      </c>
      <c r="M271" s="22" t="str">
        <f>IFERROR(IF('Bulk Order Details'!S281="","",IF(_xlfn.XLOOKUP('Bulk Order Details'!S281,Chest[Display],Chest[Use])="Flat",_xlfn.XLOOKUP('Bulk Order Details'!S281,Chest[Display],Chest[Flat]),ROUND(_xlfn.XLOOKUP('Bulk Order Details'!S281,Chest[Display],Chest[Pct])*$E271,2))),"")</f>
        <v/>
      </c>
      <c r="N271" s="22" t="str">
        <f>IFERROR(IF('Bulk Order Details'!T281="","",IF(_xlfn.XLOOKUP('Bulk Order Details'!T281,Chest[Display],Chest[Use])="Flat",_xlfn.XLOOKUP('Bulk Order Details'!T281,Chest[Display],Chest[Flat]),ROUND(_xlfn.XLOOKUP('Bulk Order Details'!T281,Chest[Display],Chest[Pct])*$E271,2))),"")</f>
        <v/>
      </c>
      <c r="O271" s="22" t="str">
        <f>IFERROR(IF('Bulk Order Details'!U281="","",IF(_xlfn.XLOOKUP('Bulk Order Details'!U281,LeftSleeve[Display],LeftSleeve[Use])="Flat",_xlfn.XLOOKUP('Bulk Order Details'!U281,LeftSleeve[Display],LeftSleeve[Flat]),ROUND(_xlfn.XLOOKUP('Bulk Order Details'!U281,LeftSleeve[Display],LeftSleeve[Pct])*$E271,2))),"")</f>
        <v/>
      </c>
      <c r="P271" s="22" t="str">
        <f>IFERROR(IF('Bulk Order Details'!V281="","",IF(_xlfn.XLOOKUP('Bulk Order Details'!V281,RightSleeve[Display],RightSleeve[Use])="Flat",_xlfn.XLOOKUP('Bulk Order Details'!V281,RightSleeve[Display],RightSleeve[Flat]),ROUND(_xlfn.XLOOKUP('Bulk Order Details'!V281,RightSleeve[Display],RightSleeve[Pct])*$E271,2))),"")</f>
        <v/>
      </c>
      <c r="Q271" s="27" t="str">
        <f>IF('Bulk Order Details'!M281="","",SUM(F271:P271))</f>
        <v/>
      </c>
      <c r="R271" s="24" t="str">
        <f t="shared" si="21"/>
        <v/>
      </c>
      <c r="S271" s="23" t="str">
        <f>IFERROR(MIN(IF(Summary!$D$11="Yes",-J271,0),IF(H271&gt;0,-J271,0)),"")</f>
        <v/>
      </c>
      <c r="T271" s="16" t="str">
        <f>IFERROR(IF(Summary!$D$10="Yes",-K271,""),"")</f>
        <v/>
      </c>
      <c r="U271" s="18" t="str">
        <f>IFERROR(IF(Summary!$D$12="Yes",-L271,""),"")</f>
        <v/>
      </c>
      <c r="V271" s="25" t="str">
        <f>IF('Bulk Order Details'!M281="","",SUM(R271:U271))</f>
        <v/>
      </c>
      <c r="W271" s="36" t="str">
        <f>IF('Bulk Order Details'!M281="","",D271+Q271)</f>
        <v/>
      </c>
      <c r="X271" s="37" t="str">
        <f>IF('Bulk Order Details'!M281="","",D271+Q271+V271)</f>
        <v/>
      </c>
      <c r="Y271" s="168" t="str">
        <f t="shared" si="20"/>
        <v/>
      </c>
      <c r="Z271" s="173" t="str">
        <f>IF('Bulk Order Details'!M281="","",MAX(1,'Bulk Order Details'!G281))</f>
        <v/>
      </c>
      <c r="AA271" s="196" t="str">
        <f>IF(Pricing_Details[[#This Row],[Quantity]]="","",Pricing_Details[[#This Row],[Retail Price]]*Pricing_Details[[#This Row],[Quantity]])</f>
        <v/>
      </c>
      <c r="AB271" s="196" t="str">
        <f>IF(Pricing_Details[[#This Row],[Quantity]]="","",Pricing_Details[[#This Row],[Total Discount]]*Pricing_Details[[#This Row],[Quantity]])</f>
        <v/>
      </c>
      <c r="AC271" s="176" t="str">
        <f>IFERROR(ROUND(Pricing_Details[[#This Row],[Actual Price]]*Pricing_Details[[#This Row],[Quantity]],2),"")</f>
        <v/>
      </c>
      <c r="AE271" s="156" t="str">
        <f>IF('Bulk Order Details'!M281="","",VLOOKUP('Bulk Order Details'!K281,Collection[],3)&amp;VLOOKUP('Bulk Order Details'!M281,Collar[],4)&amp;VLOOKUP('Bulk Order Details'!L281,Sleeve[],4))</f>
        <v/>
      </c>
      <c r="AF271" s="156" t="str">
        <f>IF('Bulk Order Details'!M281="","",LOOKUP('Bulk Order Details'!H281,Cut[Display],Cut[Code])&amp;LOOKUP('Bulk Order Details'!I281,#REF!,#REF!)&amp;IF('Bulk Order Details'!J281="","",LOOKUP('Bulk Order Details'!J281,Length[Display],Length[Code])))</f>
        <v/>
      </c>
      <c r="AG271" s="156" t="str">
        <f>IF('Bulk Order Details'!M281="","",IF('Bulk Order Details'!F281="","",'Bulk Order Details'!F281))</f>
        <v/>
      </c>
      <c r="AH271" s="156" t="str">
        <f>IF('Bulk Order Details'!R281="","","-"&amp;LOOKUP('Bulk Order Details'!R281,#REF!,#REF!))</f>
        <v/>
      </c>
      <c r="AI271" s="156" t="str">
        <f>IF('Bulk Order Details'!S281="","","-"&amp;LOOKUP('Bulk Order Details'!S281,#REF!,#REF!))</f>
        <v/>
      </c>
      <c r="AJ271" s="156" t="str">
        <f>IF('Bulk Order Details'!T281="","","-"&amp;LOOKUP('Bulk Order Details'!T281,#REF!,#REF!))</f>
        <v/>
      </c>
      <c r="AK271" s="156" t="str">
        <f>IF('Bulk Order Details'!U281="","","-"&amp;LOOKUP('Bulk Order Details'!U281,#REF!,#REF!))</f>
        <v/>
      </c>
      <c r="AL271" s="156" t="str">
        <f>IF('Bulk Order Details'!V281="","","-"&amp;LOOKUP('Bulk Order Details'!V281,#REF!,#REF!))</f>
        <v/>
      </c>
      <c r="AM271" s="156" t="str">
        <f t="shared" si="22"/>
        <v/>
      </c>
      <c r="AN271" s="156" t="str">
        <f>IF('Bulk Order Details'!N281="","","Na-"&amp;'Bulk Order Details'!N281)</f>
        <v/>
      </c>
      <c r="AO271" s="156" t="str">
        <f>IF('Bulk Order Details'!Q281="","","Fo-"&amp;'Bulk Order Details'!Q281)</f>
        <v/>
      </c>
      <c r="AP271" s="156" t="str">
        <f t="shared" si="23"/>
        <v/>
      </c>
      <c r="AQ271" s="37" t="str">
        <f t="shared" si="24"/>
        <v/>
      </c>
    </row>
    <row r="272" spans="2:43" ht="15" customHeight="1" x14ac:dyDescent="0.2">
      <c r="B272" s="34">
        <f>'Bulk Order Details'!B282</f>
        <v>269</v>
      </c>
      <c r="C272" s="34" t="str">
        <f>IF('Bulk Order Details'!C282="","",'Bulk Order Details'!C282&amp;" "&amp;'Bulk Order Details'!D282)</f>
        <v/>
      </c>
      <c r="D272" s="31" t="str">
        <f>IF('Bulk Order Details'!M282="","",VLOOKUP(1,Price[],3))</f>
        <v/>
      </c>
      <c r="E272" s="29" t="str">
        <f>IF('Bulk Order Details'!M282="","",Summary!$D$9)</f>
        <v/>
      </c>
      <c r="F272" s="16" t="str">
        <f>IF('Bulk Order Details'!I282="","",_xlfn.XLOOKUP('Bulk Order Details'!I282,Size[Display],Size[Price]))</f>
        <v/>
      </c>
      <c r="G272" s="16" t="str">
        <f>IF('Bulk Order Details'!J282="","",_xlfn.XLOOKUP('Bulk Order Details'!J282,Length[Display],Length[Price]))</f>
        <v/>
      </c>
      <c r="H272" s="16" t="str">
        <f>IF('Bulk Order Details'!K282="","",_xlfn.XLOOKUP('Bulk Order Details'!K282,Collection[Display],Collection[Price]))</f>
        <v/>
      </c>
      <c r="I272" s="16" t="str">
        <f>IF('Bulk Order Details'!L282="","",_xlfn.XLOOKUP('Bulk Order Details'!L282,Sleeve[Display],Sleeve[Price]))</f>
        <v/>
      </c>
      <c r="J272" s="16" t="str">
        <f>IF('Bulk Order Details'!M282="","",_xlfn.XLOOKUP('Bulk Order Details'!M282,Collar[Display],Collar[Price]))</f>
        <v/>
      </c>
      <c r="K272" s="16" t="str">
        <f>IF('Bulk Order Details'!N282="","",_xlfn.XLOOKUP("Name",Name[Name],Name[Price]))</f>
        <v/>
      </c>
      <c r="L272" s="18" t="str">
        <f>IFERROR(IF('Bulk Order Details'!R282="","",IF(_xlfn.XLOOKUP('Bulk Order Details'!R282,Logos[Display],Logos[Use])="Flat",_xlfn.XLOOKUP('Bulk Order Details'!R282,Logos[Display],Logos[Flat]),ROUND(_xlfn.XLOOKUP('Bulk Order Details'!R282,Logos[Display],Logos[Pct])*$E272,2))),"")</f>
        <v/>
      </c>
      <c r="M272" s="22" t="str">
        <f>IFERROR(IF('Bulk Order Details'!S282="","",IF(_xlfn.XLOOKUP('Bulk Order Details'!S282,Chest[Display],Chest[Use])="Flat",_xlfn.XLOOKUP('Bulk Order Details'!S282,Chest[Display],Chest[Flat]),ROUND(_xlfn.XLOOKUP('Bulk Order Details'!S282,Chest[Display],Chest[Pct])*$E272,2))),"")</f>
        <v/>
      </c>
      <c r="N272" s="22" t="str">
        <f>IFERROR(IF('Bulk Order Details'!T282="","",IF(_xlfn.XLOOKUP('Bulk Order Details'!T282,Chest[Display],Chest[Use])="Flat",_xlfn.XLOOKUP('Bulk Order Details'!T282,Chest[Display],Chest[Flat]),ROUND(_xlfn.XLOOKUP('Bulk Order Details'!T282,Chest[Display],Chest[Pct])*$E272,2))),"")</f>
        <v/>
      </c>
      <c r="O272" s="22" t="str">
        <f>IFERROR(IF('Bulk Order Details'!U282="","",IF(_xlfn.XLOOKUP('Bulk Order Details'!U282,LeftSleeve[Display],LeftSleeve[Use])="Flat",_xlfn.XLOOKUP('Bulk Order Details'!U282,LeftSleeve[Display],LeftSleeve[Flat]),ROUND(_xlfn.XLOOKUP('Bulk Order Details'!U282,LeftSleeve[Display],LeftSleeve[Pct])*$E272,2))),"")</f>
        <v/>
      </c>
      <c r="P272" s="22" t="str">
        <f>IFERROR(IF('Bulk Order Details'!V282="","",IF(_xlfn.XLOOKUP('Bulk Order Details'!V282,RightSleeve[Display],RightSleeve[Use])="Flat",_xlfn.XLOOKUP('Bulk Order Details'!V282,RightSleeve[Display],RightSleeve[Flat]),ROUND(_xlfn.XLOOKUP('Bulk Order Details'!V282,RightSleeve[Display],RightSleeve[Pct])*$E272,2))),"")</f>
        <v/>
      </c>
      <c r="Q272" s="27" t="str">
        <f>IF('Bulk Order Details'!M282="","",SUM(F272:P272))</f>
        <v/>
      </c>
      <c r="R272" s="24" t="str">
        <f t="shared" si="21"/>
        <v/>
      </c>
      <c r="S272" s="23" t="str">
        <f>IFERROR(MIN(IF(Summary!$D$11="Yes",-J272,0),IF(H272&gt;0,-J272,0)),"")</f>
        <v/>
      </c>
      <c r="T272" s="16" t="str">
        <f>IFERROR(IF(Summary!$D$10="Yes",-K272,""),"")</f>
        <v/>
      </c>
      <c r="U272" s="18" t="str">
        <f>IFERROR(IF(Summary!$D$12="Yes",-L272,""),"")</f>
        <v/>
      </c>
      <c r="V272" s="25" t="str">
        <f>IF('Bulk Order Details'!M282="","",SUM(R272:U272))</f>
        <v/>
      </c>
      <c r="W272" s="36" t="str">
        <f>IF('Bulk Order Details'!M282="","",D272+Q272)</f>
        <v/>
      </c>
      <c r="X272" s="37" t="str">
        <f>IF('Bulk Order Details'!M282="","",D272+Q272+V272)</f>
        <v/>
      </c>
      <c r="Y272" s="168" t="str">
        <f t="shared" si="20"/>
        <v/>
      </c>
      <c r="Z272" s="173" t="str">
        <f>IF('Bulk Order Details'!M282="","",MAX(1,'Bulk Order Details'!G282))</f>
        <v/>
      </c>
      <c r="AA272" s="196" t="str">
        <f>IF(Pricing_Details[[#This Row],[Quantity]]="","",Pricing_Details[[#This Row],[Retail Price]]*Pricing_Details[[#This Row],[Quantity]])</f>
        <v/>
      </c>
      <c r="AB272" s="196" t="str">
        <f>IF(Pricing_Details[[#This Row],[Quantity]]="","",Pricing_Details[[#This Row],[Total Discount]]*Pricing_Details[[#This Row],[Quantity]])</f>
        <v/>
      </c>
      <c r="AC272" s="176" t="str">
        <f>IFERROR(ROUND(Pricing_Details[[#This Row],[Actual Price]]*Pricing_Details[[#This Row],[Quantity]],2),"")</f>
        <v/>
      </c>
      <c r="AE272" s="156" t="str">
        <f>IF('Bulk Order Details'!M282="","",VLOOKUP('Bulk Order Details'!K282,Collection[],3)&amp;VLOOKUP('Bulk Order Details'!M282,Collar[],4)&amp;VLOOKUP('Bulk Order Details'!L282,Sleeve[],4))</f>
        <v/>
      </c>
      <c r="AF272" s="156" t="str">
        <f>IF('Bulk Order Details'!M282="","",LOOKUP('Bulk Order Details'!H282,Cut[Display],Cut[Code])&amp;LOOKUP('Bulk Order Details'!I282,#REF!,#REF!)&amp;IF('Bulk Order Details'!J282="","",LOOKUP('Bulk Order Details'!J282,Length[Display],Length[Code])))</f>
        <v/>
      </c>
      <c r="AG272" s="156" t="str">
        <f>IF('Bulk Order Details'!M282="","",IF('Bulk Order Details'!F282="","",'Bulk Order Details'!F282))</f>
        <v/>
      </c>
      <c r="AH272" s="156" t="str">
        <f>IF('Bulk Order Details'!R282="","","-"&amp;LOOKUP('Bulk Order Details'!R282,#REF!,#REF!))</f>
        <v/>
      </c>
      <c r="AI272" s="156" t="str">
        <f>IF('Bulk Order Details'!S282="","","-"&amp;LOOKUP('Bulk Order Details'!S282,#REF!,#REF!))</f>
        <v/>
      </c>
      <c r="AJ272" s="156" t="str">
        <f>IF('Bulk Order Details'!T282="","","-"&amp;LOOKUP('Bulk Order Details'!T282,#REF!,#REF!))</f>
        <v/>
      </c>
      <c r="AK272" s="156" t="str">
        <f>IF('Bulk Order Details'!U282="","","-"&amp;LOOKUP('Bulk Order Details'!U282,#REF!,#REF!))</f>
        <v/>
      </c>
      <c r="AL272" s="156" t="str">
        <f>IF('Bulk Order Details'!V282="","","-"&amp;LOOKUP('Bulk Order Details'!V282,#REF!,#REF!))</f>
        <v/>
      </c>
      <c r="AM272" s="156" t="str">
        <f t="shared" si="22"/>
        <v/>
      </c>
      <c r="AN272" s="156" t="str">
        <f>IF('Bulk Order Details'!N282="","","Na-"&amp;'Bulk Order Details'!N282)</f>
        <v/>
      </c>
      <c r="AO272" s="156" t="str">
        <f>IF('Bulk Order Details'!Q282="","","Fo-"&amp;'Bulk Order Details'!Q282)</f>
        <v/>
      </c>
      <c r="AP272" s="156" t="str">
        <f t="shared" si="23"/>
        <v/>
      </c>
      <c r="AQ272" s="37" t="str">
        <f t="shared" si="24"/>
        <v/>
      </c>
    </row>
    <row r="273" spans="2:43" ht="15" customHeight="1" x14ac:dyDescent="0.2">
      <c r="B273" s="34">
        <f>'Bulk Order Details'!B283</f>
        <v>270</v>
      </c>
      <c r="C273" s="34" t="str">
        <f>IF('Bulk Order Details'!C283="","",'Bulk Order Details'!C283&amp;" "&amp;'Bulk Order Details'!D283)</f>
        <v/>
      </c>
      <c r="D273" s="31" t="str">
        <f>IF('Bulk Order Details'!M283="","",VLOOKUP(1,Price[],3))</f>
        <v/>
      </c>
      <c r="E273" s="29" t="str">
        <f>IF('Bulk Order Details'!M283="","",Summary!$D$9)</f>
        <v/>
      </c>
      <c r="F273" s="16" t="str">
        <f>IF('Bulk Order Details'!I283="","",_xlfn.XLOOKUP('Bulk Order Details'!I283,Size[Display],Size[Price]))</f>
        <v/>
      </c>
      <c r="G273" s="16" t="str">
        <f>IF('Bulk Order Details'!J283="","",_xlfn.XLOOKUP('Bulk Order Details'!J283,Length[Display],Length[Price]))</f>
        <v/>
      </c>
      <c r="H273" s="16" t="str">
        <f>IF('Bulk Order Details'!K283="","",_xlfn.XLOOKUP('Bulk Order Details'!K283,Collection[Display],Collection[Price]))</f>
        <v/>
      </c>
      <c r="I273" s="16" t="str">
        <f>IF('Bulk Order Details'!L283="","",_xlfn.XLOOKUP('Bulk Order Details'!L283,Sleeve[Display],Sleeve[Price]))</f>
        <v/>
      </c>
      <c r="J273" s="16" t="str">
        <f>IF('Bulk Order Details'!M283="","",_xlfn.XLOOKUP('Bulk Order Details'!M283,Collar[Display],Collar[Price]))</f>
        <v/>
      </c>
      <c r="K273" s="16" t="str">
        <f>IF('Bulk Order Details'!N283="","",_xlfn.XLOOKUP("Name",Name[Name],Name[Price]))</f>
        <v/>
      </c>
      <c r="L273" s="18" t="str">
        <f>IFERROR(IF('Bulk Order Details'!R283="","",IF(_xlfn.XLOOKUP('Bulk Order Details'!R283,Logos[Display],Logos[Use])="Flat",_xlfn.XLOOKUP('Bulk Order Details'!R283,Logos[Display],Logos[Flat]),ROUND(_xlfn.XLOOKUP('Bulk Order Details'!R283,Logos[Display],Logos[Pct])*$E273,2))),"")</f>
        <v/>
      </c>
      <c r="M273" s="22" t="str">
        <f>IFERROR(IF('Bulk Order Details'!S283="","",IF(_xlfn.XLOOKUP('Bulk Order Details'!S283,Chest[Display],Chest[Use])="Flat",_xlfn.XLOOKUP('Bulk Order Details'!S283,Chest[Display],Chest[Flat]),ROUND(_xlfn.XLOOKUP('Bulk Order Details'!S283,Chest[Display],Chest[Pct])*$E273,2))),"")</f>
        <v/>
      </c>
      <c r="N273" s="22" t="str">
        <f>IFERROR(IF('Bulk Order Details'!T283="","",IF(_xlfn.XLOOKUP('Bulk Order Details'!T283,Chest[Display],Chest[Use])="Flat",_xlfn.XLOOKUP('Bulk Order Details'!T283,Chest[Display],Chest[Flat]),ROUND(_xlfn.XLOOKUP('Bulk Order Details'!T283,Chest[Display],Chest[Pct])*$E273,2))),"")</f>
        <v/>
      </c>
      <c r="O273" s="22" t="str">
        <f>IFERROR(IF('Bulk Order Details'!U283="","",IF(_xlfn.XLOOKUP('Bulk Order Details'!U283,LeftSleeve[Display],LeftSleeve[Use])="Flat",_xlfn.XLOOKUP('Bulk Order Details'!U283,LeftSleeve[Display],LeftSleeve[Flat]),ROUND(_xlfn.XLOOKUP('Bulk Order Details'!U283,LeftSleeve[Display],LeftSleeve[Pct])*$E273,2))),"")</f>
        <v/>
      </c>
      <c r="P273" s="22" t="str">
        <f>IFERROR(IF('Bulk Order Details'!V283="","",IF(_xlfn.XLOOKUP('Bulk Order Details'!V283,RightSleeve[Display],RightSleeve[Use])="Flat",_xlfn.XLOOKUP('Bulk Order Details'!V283,RightSleeve[Display],RightSleeve[Flat]),ROUND(_xlfn.XLOOKUP('Bulk Order Details'!V283,RightSleeve[Display],RightSleeve[Pct])*$E273,2))),"")</f>
        <v/>
      </c>
      <c r="Q273" s="27" t="str">
        <f>IF('Bulk Order Details'!M283="","",SUM(F273:P273))</f>
        <v/>
      </c>
      <c r="R273" s="24" t="str">
        <f t="shared" si="21"/>
        <v/>
      </c>
      <c r="S273" s="23" t="str">
        <f>IFERROR(MIN(IF(Summary!$D$11="Yes",-J273,0),IF(H273&gt;0,-J273,0)),"")</f>
        <v/>
      </c>
      <c r="T273" s="16" t="str">
        <f>IFERROR(IF(Summary!$D$10="Yes",-K273,""),"")</f>
        <v/>
      </c>
      <c r="U273" s="18" t="str">
        <f>IFERROR(IF(Summary!$D$12="Yes",-L273,""),"")</f>
        <v/>
      </c>
      <c r="V273" s="25" t="str">
        <f>IF('Bulk Order Details'!M283="","",SUM(R273:U273))</f>
        <v/>
      </c>
      <c r="W273" s="36" t="str">
        <f>IF('Bulk Order Details'!M283="","",D273+Q273)</f>
        <v/>
      </c>
      <c r="X273" s="37" t="str">
        <f>IF('Bulk Order Details'!M283="","",D273+Q273+V273)</f>
        <v/>
      </c>
      <c r="Y273" s="168" t="str">
        <f t="shared" si="20"/>
        <v/>
      </c>
      <c r="Z273" s="173" t="str">
        <f>IF('Bulk Order Details'!M283="","",MAX(1,'Bulk Order Details'!G283))</f>
        <v/>
      </c>
      <c r="AA273" s="196" t="str">
        <f>IF(Pricing_Details[[#This Row],[Quantity]]="","",Pricing_Details[[#This Row],[Retail Price]]*Pricing_Details[[#This Row],[Quantity]])</f>
        <v/>
      </c>
      <c r="AB273" s="196" t="str">
        <f>IF(Pricing_Details[[#This Row],[Quantity]]="","",Pricing_Details[[#This Row],[Total Discount]]*Pricing_Details[[#This Row],[Quantity]])</f>
        <v/>
      </c>
      <c r="AC273" s="176" t="str">
        <f>IFERROR(ROUND(Pricing_Details[[#This Row],[Actual Price]]*Pricing_Details[[#This Row],[Quantity]],2),"")</f>
        <v/>
      </c>
      <c r="AE273" s="156" t="str">
        <f>IF('Bulk Order Details'!M283="","",VLOOKUP('Bulk Order Details'!K283,Collection[],3)&amp;VLOOKUP('Bulk Order Details'!M283,Collar[],4)&amp;VLOOKUP('Bulk Order Details'!L283,Sleeve[],4))</f>
        <v/>
      </c>
      <c r="AF273" s="156" t="str">
        <f>IF('Bulk Order Details'!M283="","",LOOKUP('Bulk Order Details'!H283,Cut[Display],Cut[Code])&amp;LOOKUP('Bulk Order Details'!I283,#REF!,#REF!)&amp;IF('Bulk Order Details'!J283="","",LOOKUP('Bulk Order Details'!J283,Length[Display],Length[Code])))</f>
        <v/>
      </c>
      <c r="AG273" s="156" t="str">
        <f>IF('Bulk Order Details'!M283="","",IF('Bulk Order Details'!F283="","",'Bulk Order Details'!F283))</f>
        <v/>
      </c>
      <c r="AH273" s="156" t="str">
        <f>IF('Bulk Order Details'!R283="","","-"&amp;LOOKUP('Bulk Order Details'!R283,#REF!,#REF!))</f>
        <v/>
      </c>
      <c r="AI273" s="156" t="str">
        <f>IF('Bulk Order Details'!S283="","","-"&amp;LOOKUP('Bulk Order Details'!S283,#REF!,#REF!))</f>
        <v/>
      </c>
      <c r="AJ273" s="156" t="str">
        <f>IF('Bulk Order Details'!T283="","","-"&amp;LOOKUP('Bulk Order Details'!T283,#REF!,#REF!))</f>
        <v/>
      </c>
      <c r="AK273" s="156" t="str">
        <f>IF('Bulk Order Details'!U283="","","-"&amp;LOOKUP('Bulk Order Details'!U283,#REF!,#REF!))</f>
        <v/>
      </c>
      <c r="AL273" s="156" t="str">
        <f>IF('Bulk Order Details'!V283="","","-"&amp;LOOKUP('Bulk Order Details'!V283,#REF!,#REF!))</f>
        <v/>
      </c>
      <c r="AM273" s="156" t="str">
        <f t="shared" si="22"/>
        <v/>
      </c>
      <c r="AN273" s="156" t="str">
        <f>IF('Bulk Order Details'!N283="","","Na-"&amp;'Bulk Order Details'!N283)</f>
        <v/>
      </c>
      <c r="AO273" s="156" t="str">
        <f>IF('Bulk Order Details'!Q283="","","Fo-"&amp;'Bulk Order Details'!Q283)</f>
        <v/>
      </c>
      <c r="AP273" s="156" t="str">
        <f t="shared" si="23"/>
        <v/>
      </c>
      <c r="AQ273" s="37" t="str">
        <f t="shared" si="24"/>
        <v/>
      </c>
    </row>
    <row r="274" spans="2:43" ht="15" customHeight="1" x14ac:dyDescent="0.2">
      <c r="B274" s="34">
        <f>'Bulk Order Details'!B284</f>
        <v>271</v>
      </c>
      <c r="C274" s="34" t="str">
        <f>IF('Bulk Order Details'!C284="","",'Bulk Order Details'!C284&amp;" "&amp;'Bulk Order Details'!D284)</f>
        <v/>
      </c>
      <c r="D274" s="31" t="str">
        <f>IF('Bulk Order Details'!M284="","",VLOOKUP(1,Price[],3))</f>
        <v/>
      </c>
      <c r="E274" s="29" t="str">
        <f>IF('Bulk Order Details'!M284="","",Summary!$D$9)</f>
        <v/>
      </c>
      <c r="F274" s="16" t="str">
        <f>IF('Bulk Order Details'!I284="","",_xlfn.XLOOKUP('Bulk Order Details'!I284,Size[Display],Size[Price]))</f>
        <v/>
      </c>
      <c r="G274" s="16" t="str">
        <f>IF('Bulk Order Details'!J284="","",_xlfn.XLOOKUP('Bulk Order Details'!J284,Length[Display],Length[Price]))</f>
        <v/>
      </c>
      <c r="H274" s="16" t="str">
        <f>IF('Bulk Order Details'!K284="","",_xlfn.XLOOKUP('Bulk Order Details'!K284,Collection[Display],Collection[Price]))</f>
        <v/>
      </c>
      <c r="I274" s="16" t="str">
        <f>IF('Bulk Order Details'!L284="","",_xlfn.XLOOKUP('Bulk Order Details'!L284,Sleeve[Display],Sleeve[Price]))</f>
        <v/>
      </c>
      <c r="J274" s="16" t="str">
        <f>IF('Bulk Order Details'!M284="","",_xlfn.XLOOKUP('Bulk Order Details'!M284,Collar[Display],Collar[Price]))</f>
        <v/>
      </c>
      <c r="K274" s="16" t="str">
        <f>IF('Bulk Order Details'!N284="","",_xlfn.XLOOKUP("Name",Name[Name],Name[Price]))</f>
        <v/>
      </c>
      <c r="L274" s="18" t="str">
        <f>IFERROR(IF('Bulk Order Details'!R284="","",IF(_xlfn.XLOOKUP('Bulk Order Details'!R284,Logos[Display],Logos[Use])="Flat",_xlfn.XLOOKUP('Bulk Order Details'!R284,Logos[Display],Logos[Flat]),ROUND(_xlfn.XLOOKUP('Bulk Order Details'!R284,Logos[Display],Logos[Pct])*$E274,2))),"")</f>
        <v/>
      </c>
      <c r="M274" s="22" t="str">
        <f>IFERROR(IF('Bulk Order Details'!S284="","",IF(_xlfn.XLOOKUP('Bulk Order Details'!S284,Chest[Display],Chest[Use])="Flat",_xlfn.XLOOKUP('Bulk Order Details'!S284,Chest[Display],Chest[Flat]),ROUND(_xlfn.XLOOKUP('Bulk Order Details'!S284,Chest[Display],Chest[Pct])*$E274,2))),"")</f>
        <v/>
      </c>
      <c r="N274" s="22" t="str">
        <f>IFERROR(IF('Bulk Order Details'!T284="","",IF(_xlfn.XLOOKUP('Bulk Order Details'!T284,Chest[Display],Chest[Use])="Flat",_xlfn.XLOOKUP('Bulk Order Details'!T284,Chest[Display],Chest[Flat]),ROUND(_xlfn.XLOOKUP('Bulk Order Details'!T284,Chest[Display],Chest[Pct])*$E274,2))),"")</f>
        <v/>
      </c>
      <c r="O274" s="22" t="str">
        <f>IFERROR(IF('Bulk Order Details'!U284="","",IF(_xlfn.XLOOKUP('Bulk Order Details'!U284,LeftSleeve[Display],LeftSleeve[Use])="Flat",_xlfn.XLOOKUP('Bulk Order Details'!U284,LeftSleeve[Display],LeftSleeve[Flat]),ROUND(_xlfn.XLOOKUP('Bulk Order Details'!U284,LeftSleeve[Display],LeftSleeve[Pct])*$E274,2))),"")</f>
        <v/>
      </c>
      <c r="P274" s="22" t="str">
        <f>IFERROR(IF('Bulk Order Details'!V284="","",IF(_xlfn.XLOOKUP('Bulk Order Details'!V284,RightSleeve[Display],RightSleeve[Use])="Flat",_xlfn.XLOOKUP('Bulk Order Details'!V284,RightSleeve[Display],RightSleeve[Flat]),ROUND(_xlfn.XLOOKUP('Bulk Order Details'!V284,RightSleeve[Display],RightSleeve[Pct])*$E274,2))),"")</f>
        <v/>
      </c>
      <c r="Q274" s="27" t="str">
        <f>IF('Bulk Order Details'!M284="","",SUM(F274:P274))</f>
        <v/>
      </c>
      <c r="R274" s="24" t="str">
        <f t="shared" si="21"/>
        <v/>
      </c>
      <c r="S274" s="23" t="str">
        <f>IFERROR(MIN(IF(Summary!$D$11="Yes",-J274,0),IF(H274&gt;0,-J274,0)),"")</f>
        <v/>
      </c>
      <c r="T274" s="16" t="str">
        <f>IFERROR(IF(Summary!$D$10="Yes",-K274,""),"")</f>
        <v/>
      </c>
      <c r="U274" s="18" t="str">
        <f>IFERROR(IF(Summary!$D$12="Yes",-L274,""),"")</f>
        <v/>
      </c>
      <c r="V274" s="25" t="str">
        <f>IF('Bulk Order Details'!M284="","",SUM(R274:U274))</f>
        <v/>
      </c>
      <c r="W274" s="36" t="str">
        <f>IF('Bulk Order Details'!M284="","",D274+Q274)</f>
        <v/>
      </c>
      <c r="X274" s="37" t="str">
        <f>IF('Bulk Order Details'!M284="","",D274+Q274+V274)</f>
        <v/>
      </c>
      <c r="Y274" s="168" t="str">
        <f t="shared" si="20"/>
        <v/>
      </c>
      <c r="Z274" s="173" t="str">
        <f>IF('Bulk Order Details'!M284="","",MAX(1,'Bulk Order Details'!G284))</f>
        <v/>
      </c>
      <c r="AA274" s="196" t="str">
        <f>IF(Pricing_Details[[#This Row],[Quantity]]="","",Pricing_Details[[#This Row],[Retail Price]]*Pricing_Details[[#This Row],[Quantity]])</f>
        <v/>
      </c>
      <c r="AB274" s="196" t="str">
        <f>IF(Pricing_Details[[#This Row],[Quantity]]="","",Pricing_Details[[#This Row],[Total Discount]]*Pricing_Details[[#This Row],[Quantity]])</f>
        <v/>
      </c>
      <c r="AC274" s="176" t="str">
        <f>IFERROR(ROUND(Pricing_Details[[#This Row],[Actual Price]]*Pricing_Details[[#This Row],[Quantity]],2),"")</f>
        <v/>
      </c>
      <c r="AE274" s="156" t="str">
        <f>IF('Bulk Order Details'!M284="","",VLOOKUP('Bulk Order Details'!K284,Collection[],3)&amp;VLOOKUP('Bulk Order Details'!M284,Collar[],4)&amp;VLOOKUP('Bulk Order Details'!L284,Sleeve[],4))</f>
        <v/>
      </c>
      <c r="AF274" s="156" t="str">
        <f>IF('Bulk Order Details'!M284="","",LOOKUP('Bulk Order Details'!H284,Cut[Display],Cut[Code])&amp;LOOKUP('Bulk Order Details'!I284,#REF!,#REF!)&amp;IF('Bulk Order Details'!J284="","",LOOKUP('Bulk Order Details'!J284,Length[Display],Length[Code])))</f>
        <v/>
      </c>
      <c r="AG274" s="156" t="str">
        <f>IF('Bulk Order Details'!M284="","",IF('Bulk Order Details'!F284="","",'Bulk Order Details'!F284))</f>
        <v/>
      </c>
      <c r="AH274" s="156" t="str">
        <f>IF('Bulk Order Details'!R284="","","-"&amp;LOOKUP('Bulk Order Details'!R284,#REF!,#REF!))</f>
        <v/>
      </c>
      <c r="AI274" s="156" t="str">
        <f>IF('Bulk Order Details'!S284="","","-"&amp;LOOKUP('Bulk Order Details'!S284,#REF!,#REF!))</f>
        <v/>
      </c>
      <c r="AJ274" s="156" t="str">
        <f>IF('Bulk Order Details'!T284="","","-"&amp;LOOKUP('Bulk Order Details'!T284,#REF!,#REF!))</f>
        <v/>
      </c>
      <c r="AK274" s="156" t="str">
        <f>IF('Bulk Order Details'!U284="","","-"&amp;LOOKUP('Bulk Order Details'!U284,#REF!,#REF!))</f>
        <v/>
      </c>
      <c r="AL274" s="156" t="str">
        <f>IF('Bulk Order Details'!V284="","","-"&amp;LOOKUP('Bulk Order Details'!V284,#REF!,#REF!))</f>
        <v/>
      </c>
      <c r="AM274" s="156" t="str">
        <f t="shared" si="22"/>
        <v/>
      </c>
      <c r="AN274" s="156" t="str">
        <f>IF('Bulk Order Details'!N284="","","Na-"&amp;'Bulk Order Details'!N284)</f>
        <v/>
      </c>
      <c r="AO274" s="156" t="str">
        <f>IF('Bulk Order Details'!Q284="","","Fo-"&amp;'Bulk Order Details'!Q284)</f>
        <v/>
      </c>
      <c r="AP274" s="156" t="str">
        <f t="shared" si="23"/>
        <v/>
      </c>
      <c r="AQ274" s="37" t="str">
        <f t="shared" si="24"/>
        <v/>
      </c>
    </row>
    <row r="275" spans="2:43" ht="15" customHeight="1" x14ac:dyDescent="0.2">
      <c r="B275" s="34">
        <f>'Bulk Order Details'!B285</f>
        <v>272</v>
      </c>
      <c r="C275" s="34" t="str">
        <f>IF('Bulk Order Details'!C285="","",'Bulk Order Details'!C285&amp;" "&amp;'Bulk Order Details'!D285)</f>
        <v/>
      </c>
      <c r="D275" s="31" t="str">
        <f>IF('Bulk Order Details'!M285="","",VLOOKUP(1,Price[],3))</f>
        <v/>
      </c>
      <c r="E275" s="29" t="str">
        <f>IF('Bulk Order Details'!M285="","",Summary!$D$9)</f>
        <v/>
      </c>
      <c r="F275" s="16" t="str">
        <f>IF('Bulk Order Details'!I285="","",_xlfn.XLOOKUP('Bulk Order Details'!I285,Size[Display],Size[Price]))</f>
        <v/>
      </c>
      <c r="G275" s="16" t="str">
        <f>IF('Bulk Order Details'!J285="","",_xlfn.XLOOKUP('Bulk Order Details'!J285,Length[Display],Length[Price]))</f>
        <v/>
      </c>
      <c r="H275" s="16" t="str">
        <f>IF('Bulk Order Details'!K285="","",_xlfn.XLOOKUP('Bulk Order Details'!K285,Collection[Display],Collection[Price]))</f>
        <v/>
      </c>
      <c r="I275" s="16" t="str">
        <f>IF('Bulk Order Details'!L285="","",_xlfn.XLOOKUP('Bulk Order Details'!L285,Sleeve[Display],Sleeve[Price]))</f>
        <v/>
      </c>
      <c r="J275" s="16" t="str">
        <f>IF('Bulk Order Details'!M285="","",_xlfn.XLOOKUP('Bulk Order Details'!M285,Collar[Display],Collar[Price]))</f>
        <v/>
      </c>
      <c r="K275" s="16" t="str">
        <f>IF('Bulk Order Details'!N285="","",_xlfn.XLOOKUP("Name",Name[Name],Name[Price]))</f>
        <v/>
      </c>
      <c r="L275" s="18" t="str">
        <f>IFERROR(IF('Bulk Order Details'!R285="","",IF(_xlfn.XLOOKUP('Bulk Order Details'!R285,Logos[Display],Logos[Use])="Flat",_xlfn.XLOOKUP('Bulk Order Details'!R285,Logos[Display],Logos[Flat]),ROUND(_xlfn.XLOOKUP('Bulk Order Details'!R285,Logos[Display],Logos[Pct])*$E275,2))),"")</f>
        <v/>
      </c>
      <c r="M275" s="22" t="str">
        <f>IFERROR(IF('Bulk Order Details'!S285="","",IF(_xlfn.XLOOKUP('Bulk Order Details'!S285,Chest[Display],Chest[Use])="Flat",_xlfn.XLOOKUP('Bulk Order Details'!S285,Chest[Display],Chest[Flat]),ROUND(_xlfn.XLOOKUP('Bulk Order Details'!S285,Chest[Display],Chest[Pct])*$E275,2))),"")</f>
        <v/>
      </c>
      <c r="N275" s="22" t="str">
        <f>IFERROR(IF('Bulk Order Details'!T285="","",IF(_xlfn.XLOOKUP('Bulk Order Details'!T285,Chest[Display],Chest[Use])="Flat",_xlfn.XLOOKUP('Bulk Order Details'!T285,Chest[Display],Chest[Flat]),ROUND(_xlfn.XLOOKUP('Bulk Order Details'!T285,Chest[Display],Chest[Pct])*$E275,2))),"")</f>
        <v/>
      </c>
      <c r="O275" s="22" t="str">
        <f>IFERROR(IF('Bulk Order Details'!U285="","",IF(_xlfn.XLOOKUP('Bulk Order Details'!U285,LeftSleeve[Display],LeftSleeve[Use])="Flat",_xlfn.XLOOKUP('Bulk Order Details'!U285,LeftSleeve[Display],LeftSleeve[Flat]),ROUND(_xlfn.XLOOKUP('Bulk Order Details'!U285,LeftSleeve[Display],LeftSleeve[Pct])*$E275,2))),"")</f>
        <v/>
      </c>
      <c r="P275" s="22" t="str">
        <f>IFERROR(IF('Bulk Order Details'!V285="","",IF(_xlfn.XLOOKUP('Bulk Order Details'!V285,RightSleeve[Display],RightSleeve[Use])="Flat",_xlfn.XLOOKUP('Bulk Order Details'!V285,RightSleeve[Display],RightSleeve[Flat]),ROUND(_xlfn.XLOOKUP('Bulk Order Details'!V285,RightSleeve[Display],RightSleeve[Pct])*$E275,2))),"")</f>
        <v/>
      </c>
      <c r="Q275" s="27" t="str">
        <f>IF('Bulk Order Details'!M285="","",SUM(F275:P275))</f>
        <v/>
      </c>
      <c r="R275" s="24" t="str">
        <f t="shared" si="21"/>
        <v/>
      </c>
      <c r="S275" s="23" t="str">
        <f>IFERROR(MIN(IF(Summary!$D$11="Yes",-J275,0),IF(H275&gt;0,-J275,0)),"")</f>
        <v/>
      </c>
      <c r="T275" s="16" t="str">
        <f>IFERROR(IF(Summary!$D$10="Yes",-K275,""),"")</f>
        <v/>
      </c>
      <c r="U275" s="18" t="str">
        <f>IFERROR(IF(Summary!$D$12="Yes",-L275,""),"")</f>
        <v/>
      </c>
      <c r="V275" s="25" t="str">
        <f>IF('Bulk Order Details'!M285="","",SUM(R275:U275))</f>
        <v/>
      </c>
      <c r="W275" s="36" t="str">
        <f>IF('Bulk Order Details'!M285="","",D275+Q275)</f>
        <v/>
      </c>
      <c r="X275" s="37" t="str">
        <f>IF('Bulk Order Details'!M285="","",D275+Q275+V275)</f>
        <v/>
      </c>
      <c r="Y275" s="168" t="str">
        <f t="shared" si="20"/>
        <v/>
      </c>
      <c r="Z275" s="173" t="str">
        <f>IF('Bulk Order Details'!M285="","",MAX(1,'Bulk Order Details'!G285))</f>
        <v/>
      </c>
      <c r="AA275" s="196" t="str">
        <f>IF(Pricing_Details[[#This Row],[Quantity]]="","",Pricing_Details[[#This Row],[Retail Price]]*Pricing_Details[[#This Row],[Quantity]])</f>
        <v/>
      </c>
      <c r="AB275" s="196" t="str">
        <f>IF(Pricing_Details[[#This Row],[Quantity]]="","",Pricing_Details[[#This Row],[Total Discount]]*Pricing_Details[[#This Row],[Quantity]])</f>
        <v/>
      </c>
      <c r="AC275" s="176" t="str">
        <f>IFERROR(ROUND(Pricing_Details[[#This Row],[Actual Price]]*Pricing_Details[[#This Row],[Quantity]],2),"")</f>
        <v/>
      </c>
      <c r="AE275" s="156" t="str">
        <f>IF('Bulk Order Details'!M285="","",VLOOKUP('Bulk Order Details'!K285,Collection[],3)&amp;VLOOKUP('Bulk Order Details'!M285,Collar[],4)&amp;VLOOKUP('Bulk Order Details'!L285,Sleeve[],4))</f>
        <v/>
      </c>
      <c r="AF275" s="156" t="str">
        <f>IF('Bulk Order Details'!M285="","",LOOKUP('Bulk Order Details'!H285,Cut[Display],Cut[Code])&amp;LOOKUP('Bulk Order Details'!I285,#REF!,#REF!)&amp;IF('Bulk Order Details'!J285="","",LOOKUP('Bulk Order Details'!J285,Length[Display],Length[Code])))</f>
        <v/>
      </c>
      <c r="AG275" s="156" t="str">
        <f>IF('Bulk Order Details'!M285="","",IF('Bulk Order Details'!F285="","",'Bulk Order Details'!F285))</f>
        <v/>
      </c>
      <c r="AH275" s="156" t="str">
        <f>IF('Bulk Order Details'!R285="","","-"&amp;LOOKUP('Bulk Order Details'!R285,#REF!,#REF!))</f>
        <v/>
      </c>
      <c r="AI275" s="156" t="str">
        <f>IF('Bulk Order Details'!S285="","","-"&amp;LOOKUP('Bulk Order Details'!S285,#REF!,#REF!))</f>
        <v/>
      </c>
      <c r="AJ275" s="156" t="str">
        <f>IF('Bulk Order Details'!T285="","","-"&amp;LOOKUP('Bulk Order Details'!T285,#REF!,#REF!))</f>
        <v/>
      </c>
      <c r="AK275" s="156" t="str">
        <f>IF('Bulk Order Details'!U285="","","-"&amp;LOOKUP('Bulk Order Details'!U285,#REF!,#REF!))</f>
        <v/>
      </c>
      <c r="AL275" s="156" t="str">
        <f>IF('Bulk Order Details'!V285="","","-"&amp;LOOKUP('Bulk Order Details'!V285,#REF!,#REF!))</f>
        <v/>
      </c>
      <c r="AM275" s="156" t="str">
        <f t="shared" si="22"/>
        <v/>
      </c>
      <c r="AN275" s="156" t="str">
        <f>IF('Bulk Order Details'!N285="","","Na-"&amp;'Bulk Order Details'!N285)</f>
        <v/>
      </c>
      <c r="AO275" s="156" t="str">
        <f>IF('Bulk Order Details'!Q285="","","Fo-"&amp;'Bulk Order Details'!Q285)</f>
        <v/>
      </c>
      <c r="AP275" s="156" t="str">
        <f t="shared" si="23"/>
        <v/>
      </c>
      <c r="AQ275" s="37" t="str">
        <f t="shared" si="24"/>
        <v/>
      </c>
    </row>
    <row r="276" spans="2:43" ht="15" customHeight="1" x14ac:dyDescent="0.2">
      <c r="B276" s="34">
        <f>'Bulk Order Details'!B286</f>
        <v>273</v>
      </c>
      <c r="C276" s="34" t="str">
        <f>IF('Bulk Order Details'!C286="","",'Bulk Order Details'!C286&amp;" "&amp;'Bulk Order Details'!D286)</f>
        <v/>
      </c>
      <c r="D276" s="31" t="str">
        <f>IF('Bulk Order Details'!M286="","",VLOOKUP(1,Price[],3))</f>
        <v/>
      </c>
      <c r="E276" s="29" t="str">
        <f>IF('Bulk Order Details'!M286="","",Summary!$D$9)</f>
        <v/>
      </c>
      <c r="F276" s="16" t="str">
        <f>IF('Bulk Order Details'!I286="","",_xlfn.XLOOKUP('Bulk Order Details'!I286,Size[Display],Size[Price]))</f>
        <v/>
      </c>
      <c r="G276" s="16" t="str">
        <f>IF('Bulk Order Details'!J286="","",_xlfn.XLOOKUP('Bulk Order Details'!J286,Length[Display],Length[Price]))</f>
        <v/>
      </c>
      <c r="H276" s="16" t="str">
        <f>IF('Bulk Order Details'!K286="","",_xlfn.XLOOKUP('Bulk Order Details'!K286,Collection[Display],Collection[Price]))</f>
        <v/>
      </c>
      <c r="I276" s="16" t="str">
        <f>IF('Bulk Order Details'!L286="","",_xlfn.XLOOKUP('Bulk Order Details'!L286,Sleeve[Display],Sleeve[Price]))</f>
        <v/>
      </c>
      <c r="J276" s="16" t="str">
        <f>IF('Bulk Order Details'!M286="","",_xlfn.XLOOKUP('Bulk Order Details'!M286,Collar[Display],Collar[Price]))</f>
        <v/>
      </c>
      <c r="K276" s="16" t="str">
        <f>IF('Bulk Order Details'!N286="","",_xlfn.XLOOKUP("Name",Name[Name],Name[Price]))</f>
        <v/>
      </c>
      <c r="L276" s="18" t="str">
        <f>IFERROR(IF('Bulk Order Details'!R286="","",IF(_xlfn.XLOOKUP('Bulk Order Details'!R286,Logos[Display],Logos[Use])="Flat",_xlfn.XLOOKUP('Bulk Order Details'!R286,Logos[Display],Logos[Flat]),ROUND(_xlfn.XLOOKUP('Bulk Order Details'!R286,Logos[Display],Logos[Pct])*$E276,2))),"")</f>
        <v/>
      </c>
      <c r="M276" s="22" t="str">
        <f>IFERROR(IF('Bulk Order Details'!S286="","",IF(_xlfn.XLOOKUP('Bulk Order Details'!S286,Chest[Display],Chest[Use])="Flat",_xlfn.XLOOKUP('Bulk Order Details'!S286,Chest[Display],Chest[Flat]),ROUND(_xlfn.XLOOKUP('Bulk Order Details'!S286,Chest[Display],Chest[Pct])*$E276,2))),"")</f>
        <v/>
      </c>
      <c r="N276" s="22" t="str">
        <f>IFERROR(IF('Bulk Order Details'!T286="","",IF(_xlfn.XLOOKUP('Bulk Order Details'!T286,Chest[Display],Chest[Use])="Flat",_xlfn.XLOOKUP('Bulk Order Details'!T286,Chest[Display],Chest[Flat]),ROUND(_xlfn.XLOOKUP('Bulk Order Details'!T286,Chest[Display],Chest[Pct])*$E276,2))),"")</f>
        <v/>
      </c>
      <c r="O276" s="22" t="str">
        <f>IFERROR(IF('Bulk Order Details'!U286="","",IF(_xlfn.XLOOKUP('Bulk Order Details'!U286,LeftSleeve[Display],LeftSleeve[Use])="Flat",_xlfn.XLOOKUP('Bulk Order Details'!U286,LeftSleeve[Display],LeftSleeve[Flat]),ROUND(_xlfn.XLOOKUP('Bulk Order Details'!U286,LeftSleeve[Display],LeftSleeve[Pct])*$E276,2))),"")</f>
        <v/>
      </c>
      <c r="P276" s="22" t="str">
        <f>IFERROR(IF('Bulk Order Details'!V286="","",IF(_xlfn.XLOOKUP('Bulk Order Details'!V286,RightSleeve[Display],RightSleeve[Use])="Flat",_xlfn.XLOOKUP('Bulk Order Details'!V286,RightSleeve[Display],RightSleeve[Flat]),ROUND(_xlfn.XLOOKUP('Bulk Order Details'!V286,RightSleeve[Display],RightSleeve[Pct])*$E276,2))),"")</f>
        <v/>
      </c>
      <c r="Q276" s="27" t="str">
        <f>IF('Bulk Order Details'!M286="","",SUM(F276:P276))</f>
        <v/>
      </c>
      <c r="R276" s="24" t="str">
        <f t="shared" si="21"/>
        <v/>
      </c>
      <c r="S276" s="23" t="str">
        <f>IFERROR(MIN(IF(Summary!$D$11="Yes",-J276,0),IF(H276&gt;0,-J276,0)),"")</f>
        <v/>
      </c>
      <c r="T276" s="16" t="str">
        <f>IFERROR(IF(Summary!$D$10="Yes",-K276,""),"")</f>
        <v/>
      </c>
      <c r="U276" s="18" t="str">
        <f>IFERROR(IF(Summary!$D$12="Yes",-L276,""),"")</f>
        <v/>
      </c>
      <c r="V276" s="25" t="str">
        <f>IF('Bulk Order Details'!M286="","",SUM(R276:U276))</f>
        <v/>
      </c>
      <c r="W276" s="36" t="str">
        <f>IF('Bulk Order Details'!M286="","",D276+Q276)</f>
        <v/>
      </c>
      <c r="X276" s="37" t="str">
        <f>IF('Bulk Order Details'!M286="","",D276+Q276+V276)</f>
        <v/>
      </c>
      <c r="Y276" s="168" t="str">
        <f t="shared" si="20"/>
        <v/>
      </c>
      <c r="Z276" s="173" t="str">
        <f>IF('Bulk Order Details'!M286="","",MAX(1,'Bulk Order Details'!G286))</f>
        <v/>
      </c>
      <c r="AA276" s="196" t="str">
        <f>IF(Pricing_Details[[#This Row],[Quantity]]="","",Pricing_Details[[#This Row],[Retail Price]]*Pricing_Details[[#This Row],[Quantity]])</f>
        <v/>
      </c>
      <c r="AB276" s="196" t="str">
        <f>IF(Pricing_Details[[#This Row],[Quantity]]="","",Pricing_Details[[#This Row],[Total Discount]]*Pricing_Details[[#This Row],[Quantity]])</f>
        <v/>
      </c>
      <c r="AC276" s="176" t="str">
        <f>IFERROR(ROUND(Pricing_Details[[#This Row],[Actual Price]]*Pricing_Details[[#This Row],[Quantity]],2),"")</f>
        <v/>
      </c>
      <c r="AE276" s="156" t="str">
        <f>IF('Bulk Order Details'!M286="","",VLOOKUP('Bulk Order Details'!K286,Collection[],3)&amp;VLOOKUP('Bulk Order Details'!M286,Collar[],4)&amp;VLOOKUP('Bulk Order Details'!L286,Sleeve[],4))</f>
        <v/>
      </c>
      <c r="AF276" s="156" t="str">
        <f>IF('Bulk Order Details'!M286="","",LOOKUP('Bulk Order Details'!H286,Cut[Display],Cut[Code])&amp;LOOKUP('Bulk Order Details'!I286,#REF!,#REF!)&amp;IF('Bulk Order Details'!J286="","",LOOKUP('Bulk Order Details'!J286,Length[Display],Length[Code])))</f>
        <v/>
      </c>
      <c r="AG276" s="156" t="str">
        <f>IF('Bulk Order Details'!M286="","",IF('Bulk Order Details'!F286="","",'Bulk Order Details'!F286))</f>
        <v/>
      </c>
      <c r="AH276" s="156" t="str">
        <f>IF('Bulk Order Details'!R286="","","-"&amp;LOOKUP('Bulk Order Details'!R286,#REF!,#REF!))</f>
        <v/>
      </c>
      <c r="AI276" s="156" t="str">
        <f>IF('Bulk Order Details'!S286="","","-"&amp;LOOKUP('Bulk Order Details'!S286,#REF!,#REF!))</f>
        <v/>
      </c>
      <c r="AJ276" s="156" t="str">
        <f>IF('Bulk Order Details'!T286="","","-"&amp;LOOKUP('Bulk Order Details'!T286,#REF!,#REF!))</f>
        <v/>
      </c>
      <c r="AK276" s="156" t="str">
        <f>IF('Bulk Order Details'!U286="","","-"&amp;LOOKUP('Bulk Order Details'!U286,#REF!,#REF!))</f>
        <v/>
      </c>
      <c r="AL276" s="156" t="str">
        <f>IF('Bulk Order Details'!V286="","","-"&amp;LOOKUP('Bulk Order Details'!V286,#REF!,#REF!))</f>
        <v/>
      </c>
      <c r="AM276" s="156" t="str">
        <f t="shared" si="22"/>
        <v/>
      </c>
      <c r="AN276" s="156" t="str">
        <f>IF('Bulk Order Details'!N286="","","Na-"&amp;'Bulk Order Details'!N286)</f>
        <v/>
      </c>
      <c r="AO276" s="156" t="str">
        <f>IF('Bulk Order Details'!Q286="","","Fo-"&amp;'Bulk Order Details'!Q286)</f>
        <v/>
      </c>
      <c r="AP276" s="156" t="str">
        <f t="shared" si="23"/>
        <v/>
      </c>
      <c r="AQ276" s="37" t="str">
        <f t="shared" si="24"/>
        <v/>
      </c>
    </row>
    <row r="277" spans="2:43" ht="15" customHeight="1" x14ac:dyDescent="0.2">
      <c r="B277" s="34">
        <f>'Bulk Order Details'!B287</f>
        <v>274</v>
      </c>
      <c r="C277" s="34" t="str">
        <f>IF('Bulk Order Details'!C287="","",'Bulk Order Details'!C287&amp;" "&amp;'Bulk Order Details'!D287)</f>
        <v/>
      </c>
      <c r="D277" s="31" t="str">
        <f>IF('Bulk Order Details'!M287="","",VLOOKUP(1,Price[],3))</f>
        <v/>
      </c>
      <c r="E277" s="29" t="str">
        <f>IF('Bulk Order Details'!M287="","",Summary!$D$9)</f>
        <v/>
      </c>
      <c r="F277" s="16" t="str">
        <f>IF('Bulk Order Details'!I287="","",_xlfn.XLOOKUP('Bulk Order Details'!I287,Size[Display],Size[Price]))</f>
        <v/>
      </c>
      <c r="G277" s="16" t="str">
        <f>IF('Bulk Order Details'!J287="","",_xlfn.XLOOKUP('Bulk Order Details'!J287,Length[Display],Length[Price]))</f>
        <v/>
      </c>
      <c r="H277" s="16" t="str">
        <f>IF('Bulk Order Details'!K287="","",_xlfn.XLOOKUP('Bulk Order Details'!K287,Collection[Display],Collection[Price]))</f>
        <v/>
      </c>
      <c r="I277" s="16" t="str">
        <f>IF('Bulk Order Details'!L287="","",_xlfn.XLOOKUP('Bulk Order Details'!L287,Sleeve[Display],Sleeve[Price]))</f>
        <v/>
      </c>
      <c r="J277" s="16" t="str">
        <f>IF('Bulk Order Details'!M287="","",_xlfn.XLOOKUP('Bulk Order Details'!M287,Collar[Display],Collar[Price]))</f>
        <v/>
      </c>
      <c r="K277" s="16" t="str">
        <f>IF('Bulk Order Details'!N287="","",_xlfn.XLOOKUP("Name",Name[Name],Name[Price]))</f>
        <v/>
      </c>
      <c r="L277" s="18" t="str">
        <f>IFERROR(IF('Bulk Order Details'!R287="","",IF(_xlfn.XLOOKUP('Bulk Order Details'!R287,Logos[Display],Logos[Use])="Flat",_xlfn.XLOOKUP('Bulk Order Details'!R287,Logos[Display],Logos[Flat]),ROUND(_xlfn.XLOOKUP('Bulk Order Details'!R287,Logos[Display],Logos[Pct])*$E277,2))),"")</f>
        <v/>
      </c>
      <c r="M277" s="22" t="str">
        <f>IFERROR(IF('Bulk Order Details'!S287="","",IF(_xlfn.XLOOKUP('Bulk Order Details'!S287,Chest[Display],Chest[Use])="Flat",_xlfn.XLOOKUP('Bulk Order Details'!S287,Chest[Display],Chest[Flat]),ROUND(_xlfn.XLOOKUP('Bulk Order Details'!S287,Chest[Display],Chest[Pct])*$E277,2))),"")</f>
        <v/>
      </c>
      <c r="N277" s="22" t="str">
        <f>IFERROR(IF('Bulk Order Details'!T287="","",IF(_xlfn.XLOOKUP('Bulk Order Details'!T287,Chest[Display],Chest[Use])="Flat",_xlfn.XLOOKUP('Bulk Order Details'!T287,Chest[Display],Chest[Flat]),ROUND(_xlfn.XLOOKUP('Bulk Order Details'!T287,Chest[Display],Chest[Pct])*$E277,2))),"")</f>
        <v/>
      </c>
      <c r="O277" s="22" t="str">
        <f>IFERROR(IF('Bulk Order Details'!U287="","",IF(_xlfn.XLOOKUP('Bulk Order Details'!U287,LeftSleeve[Display],LeftSleeve[Use])="Flat",_xlfn.XLOOKUP('Bulk Order Details'!U287,LeftSleeve[Display],LeftSleeve[Flat]),ROUND(_xlfn.XLOOKUP('Bulk Order Details'!U287,LeftSleeve[Display],LeftSleeve[Pct])*$E277,2))),"")</f>
        <v/>
      </c>
      <c r="P277" s="22" t="str">
        <f>IFERROR(IF('Bulk Order Details'!V287="","",IF(_xlfn.XLOOKUP('Bulk Order Details'!V287,RightSleeve[Display],RightSleeve[Use])="Flat",_xlfn.XLOOKUP('Bulk Order Details'!V287,RightSleeve[Display],RightSleeve[Flat]),ROUND(_xlfn.XLOOKUP('Bulk Order Details'!V287,RightSleeve[Display],RightSleeve[Pct])*$E277,2))),"")</f>
        <v/>
      </c>
      <c r="Q277" s="27" t="str">
        <f>IF('Bulk Order Details'!M287="","",SUM(F277:P277))</f>
        <v/>
      </c>
      <c r="R277" s="24" t="str">
        <f t="shared" si="21"/>
        <v/>
      </c>
      <c r="S277" s="23" t="str">
        <f>IFERROR(MIN(IF(Summary!$D$11="Yes",-J277,0),IF(H277&gt;0,-J277,0)),"")</f>
        <v/>
      </c>
      <c r="T277" s="16" t="str">
        <f>IFERROR(IF(Summary!$D$10="Yes",-K277,""),"")</f>
        <v/>
      </c>
      <c r="U277" s="18" t="str">
        <f>IFERROR(IF(Summary!$D$12="Yes",-L277,""),"")</f>
        <v/>
      </c>
      <c r="V277" s="25" t="str">
        <f>IF('Bulk Order Details'!M287="","",SUM(R277:U277))</f>
        <v/>
      </c>
      <c r="W277" s="36" t="str">
        <f>IF('Bulk Order Details'!M287="","",D277+Q277)</f>
        <v/>
      </c>
      <c r="X277" s="37" t="str">
        <f>IF('Bulk Order Details'!M287="","",D277+Q277+V277)</f>
        <v/>
      </c>
      <c r="Y277" s="168" t="str">
        <f t="shared" si="20"/>
        <v/>
      </c>
      <c r="Z277" s="173" t="str">
        <f>IF('Bulk Order Details'!M287="","",MAX(1,'Bulk Order Details'!G287))</f>
        <v/>
      </c>
      <c r="AA277" s="196" t="str">
        <f>IF(Pricing_Details[[#This Row],[Quantity]]="","",Pricing_Details[[#This Row],[Retail Price]]*Pricing_Details[[#This Row],[Quantity]])</f>
        <v/>
      </c>
      <c r="AB277" s="196" t="str">
        <f>IF(Pricing_Details[[#This Row],[Quantity]]="","",Pricing_Details[[#This Row],[Total Discount]]*Pricing_Details[[#This Row],[Quantity]])</f>
        <v/>
      </c>
      <c r="AC277" s="176" t="str">
        <f>IFERROR(ROUND(Pricing_Details[[#This Row],[Actual Price]]*Pricing_Details[[#This Row],[Quantity]],2),"")</f>
        <v/>
      </c>
      <c r="AE277" s="156" t="str">
        <f>IF('Bulk Order Details'!M287="","",VLOOKUP('Bulk Order Details'!K287,Collection[],3)&amp;VLOOKUP('Bulk Order Details'!M287,Collar[],4)&amp;VLOOKUP('Bulk Order Details'!L287,Sleeve[],4))</f>
        <v/>
      </c>
      <c r="AF277" s="156" t="str">
        <f>IF('Bulk Order Details'!M287="","",LOOKUP('Bulk Order Details'!H287,Cut[Display],Cut[Code])&amp;LOOKUP('Bulk Order Details'!I287,#REF!,#REF!)&amp;IF('Bulk Order Details'!J287="","",LOOKUP('Bulk Order Details'!J287,Length[Display],Length[Code])))</f>
        <v/>
      </c>
      <c r="AG277" s="156" t="str">
        <f>IF('Bulk Order Details'!M287="","",IF('Bulk Order Details'!F287="","",'Bulk Order Details'!F287))</f>
        <v/>
      </c>
      <c r="AH277" s="156" t="str">
        <f>IF('Bulk Order Details'!R287="","","-"&amp;LOOKUP('Bulk Order Details'!R287,#REF!,#REF!))</f>
        <v/>
      </c>
      <c r="AI277" s="156" t="str">
        <f>IF('Bulk Order Details'!S287="","","-"&amp;LOOKUP('Bulk Order Details'!S287,#REF!,#REF!))</f>
        <v/>
      </c>
      <c r="AJ277" s="156" t="str">
        <f>IF('Bulk Order Details'!T287="","","-"&amp;LOOKUP('Bulk Order Details'!T287,#REF!,#REF!))</f>
        <v/>
      </c>
      <c r="AK277" s="156" t="str">
        <f>IF('Bulk Order Details'!U287="","","-"&amp;LOOKUP('Bulk Order Details'!U287,#REF!,#REF!))</f>
        <v/>
      </c>
      <c r="AL277" s="156" t="str">
        <f>IF('Bulk Order Details'!V287="","","-"&amp;LOOKUP('Bulk Order Details'!V287,#REF!,#REF!))</f>
        <v/>
      </c>
      <c r="AM277" s="156" t="str">
        <f t="shared" si="22"/>
        <v/>
      </c>
      <c r="AN277" s="156" t="str">
        <f>IF('Bulk Order Details'!N287="","","Na-"&amp;'Bulk Order Details'!N287)</f>
        <v/>
      </c>
      <c r="AO277" s="156" t="str">
        <f>IF('Bulk Order Details'!Q287="","","Fo-"&amp;'Bulk Order Details'!Q287)</f>
        <v/>
      </c>
      <c r="AP277" s="156" t="str">
        <f t="shared" si="23"/>
        <v/>
      </c>
      <c r="AQ277" s="37" t="str">
        <f t="shared" si="24"/>
        <v/>
      </c>
    </row>
    <row r="278" spans="2:43" ht="15" customHeight="1" x14ac:dyDescent="0.2">
      <c r="B278" s="34">
        <f>'Bulk Order Details'!B288</f>
        <v>275</v>
      </c>
      <c r="C278" s="34" t="str">
        <f>IF('Bulk Order Details'!C288="","",'Bulk Order Details'!C288&amp;" "&amp;'Bulk Order Details'!D288)</f>
        <v/>
      </c>
      <c r="D278" s="31" t="str">
        <f>IF('Bulk Order Details'!M288="","",VLOOKUP(1,Price[],3))</f>
        <v/>
      </c>
      <c r="E278" s="29" t="str">
        <f>IF('Bulk Order Details'!M288="","",Summary!$D$9)</f>
        <v/>
      </c>
      <c r="F278" s="16" t="str">
        <f>IF('Bulk Order Details'!I288="","",_xlfn.XLOOKUP('Bulk Order Details'!I288,Size[Display],Size[Price]))</f>
        <v/>
      </c>
      <c r="G278" s="16" t="str">
        <f>IF('Bulk Order Details'!J288="","",_xlfn.XLOOKUP('Bulk Order Details'!J288,Length[Display],Length[Price]))</f>
        <v/>
      </c>
      <c r="H278" s="16" t="str">
        <f>IF('Bulk Order Details'!K288="","",_xlfn.XLOOKUP('Bulk Order Details'!K288,Collection[Display],Collection[Price]))</f>
        <v/>
      </c>
      <c r="I278" s="16" t="str">
        <f>IF('Bulk Order Details'!L288="","",_xlfn.XLOOKUP('Bulk Order Details'!L288,Sleeve[Display],Sleeve[Price]))</f>
        <v/>
      </c>
      <c r="J278" s="16" t="str">
        <f>IF('Bulk Order Details'!M288="","",_xlfn.XLOOKUP('Bulk Order Details'!M288,Collar[Display],Collar[Price]))</f>
        <v/>
      </c>
      <c r="K278" s="16" t="str">
        <f>IF('Bulk Order Details'!N288="","",_xlfn.XLOOKUP("Name",Name[Name],Name[Price]))</f>
        <v/>
      </c>
      <c r="L278" s="18" t="str">
        <f>IFERROR(IF('Bulk Order Details'!R288="","",IF(_xlfn.XLOOKUP('Bulk Order Details'!R288,Logos[Display],Logos[Use])="Flat",_xlfn.XLOOKUP('Bulk Order Details'!R288,Logos[Display],Logos[Flat]),ROUND(_xlfn.XLOOKUP('Bulk Order Details'!R288,Logos[Display],Logos[Pct])*$E278,2))),"")</f>
        <v/>
      </c>
      <c r="M278" s="22" t="str">
        <f>IFERROR(IF('Bulk Order Details'!S288="","",IF(_xlfn.XLOOKUP('Bulk Order Details'!S288,Chest[Display],Chest[Use])="Flat",_xlfn.XLOOKUP('Bulk Order Details'!S288,Chest[Display],Chest[Flat]),ROUND(_xlfn.XLOOKUP('Bulk Order Details'!S288,Chest[Display],Chest[Pct])*$E278,2))),"")</f>
        <v/>
      </c>
      <c r="N278" s="22" t="str">
        <f>IFERROR(IF('Bulk Order Details'!T288="","",IF(_xlfn.XLOOKUP('Bulk Order Details'!T288,Chest[Display],Chest[Use])="Flat",_xlfn.XLOOKUP('Bulk Order Details'!T288,Chest[Display],Chest[Flat]),ROUND(_xlfn.XLOOKUP('Bulk Order Details'!T288,Chest[Display],Chest[Pct])*$E278,2))),"")</f>
        <v/>
      </c>
      <c r="O278" s="22" t="str">
        <f>IFERROR(IF('Bulk Order Details'!U288="","",IF(_xlfn.XLOOKUP('Bulk Order Details'!U288,LeftSleeve[Display],LeftSleeve[Use])="Flat",_xlfn.XLOOKUP('Bulk Order Details'!U288,LeftSleeve[Display],LeftSleeve[Flat]),ROUND(_xlfn.XLOOKUP('Bulk Order Details'!U288,LeftSleeve[Display],LeftSleeve[Pct])*$E278,2))),"")</f>
        <v/>
      </c>
      <c r="P278" s="22" t="str">
        <f>IFERROR(IF('Bulk Order Details'!V288="","",IF(_xlfn.XLOOKUP('Bulk Order Details'!V288,RightSleeve[Display],RightSleeve[Use])="Flat",_xlfn.XLOOKUP('Bulk Order Details'!V288,RightSleeve[Display],RightSleeve[Flat]),ROUND(_xlfn.XLOOKUP('Bulk Order Details'!V288,RightSleeve[Display],RightSleeve[Pct])*$E278,2))),"")</f>
        <v/>
      </c>
      <c r="Q278" s="27" t="str">
        <f>IF('Bulk Order Details'!M288="","",SUM(F278:P278))</f>
        <v/>
      </c>
      <c r="R278" s="24" t="str">
        <f t="shared" si="21"/>
        <v/>
      </c>
      <c r="S278" s="23" t="str">
        <f>IFERROR(MIN(IF(Summary!$D$11="Yes",-J278,0),IF(H278&gt;0,-J278,0)),"")</f>
        <v/>
      </c>
      <c r="T278" s="16" t="str">
        <f>IFERROR(IF(Summary!$D$10="Yes",-K278,""),"")</f>
        <v/>
      </c>
      <c r="U278" s="18" t="str">
        <f>IFERROR(IF(Summary!$D$12="Yes",-L278,""),"")</f>
        <v/>
      </c>
      <c r="V278" s="25" t="str">
        <f>IF('Bulk Order Details'!M288="","",SUM(R278:U278))</f>
        <v/>
      </c>
      <c r="W278" s="36" t="str">
        <f>IF('Bulk Order Details'!M288="","",D278+Q278)</f>
        <v/>
      </c>
      <c r="X278" s="37" t="str">
        <f>IF('Bulk Order Details'!M288="","",D278+Q278+V278)</f>
        <v/>
      </c>
      <c r="Y278" s="168" t="str">
        <f t="shared" si="20"/>
        <v/>
      </c>
      <c r="Z278" s="173" t="str">
        <f>IF('Bulk Order Details'!M288="","",MAX(1,'Bulk Order Details'!G288))</f>
        <v/>
      </c>
      <c r="AA278" s="196" t="str">
        <f>IF(Pricing_Details[[#This Row],[Quantity]]="","",Pricing_Details[[#This Row],[Retail Price]]*Pricing_Details[[#This Row],[Quantity]])</f>
        <v/>
      </c>
      <c r="AB278" s="196" t="str">
        <f>IF(Pricing_Details[[#This Row],[Quantity]]="","",Pricing_Details[[#This Row],[Total Discount]]*Pricing_Details[[#This Row],[Quantity]])</f>
        <v/>
      </c>
      <c r="AC278" s="176" t="str">
        <f>IFERROR(ROUND(Pricing_Details[[#This Row],[Actual Price]]*Pricing_Details[[#This Row],[Quantity]],2),"")</f>
        <v/>
      </c>
      <c r="AE278" s="156" t="str">
        <f>IF('Bulk Order Details'!M288="","",VLOOKUP('Bulk Order Details'!K288,Collection[],3)&amp;VLOOKUP('Bulk Order Details'!M288,Collar[],4)&amp;VLOOKUP('Bulk Order Details'!L288,Sleeve[],4))</f>
        <v/>
      </c>
      <c r="AF278" s="156" t="str">
        <f>IF('Bulk Order Details'!M288="","",LOOKUP('Bulk Order Details'!H288,Cut[Display],Cut[Code])&amp;LOOKUP('Bulk Order Details'!I288,#REF!,#REF!)&amp;IF('Bulk Order Details'!J288="","",LOOKUP('Bulk Order Details'!J288,Length[Display],Length[Code])))</f>
        <v/>
      </c>
      <c r="AG278" s="156" t="str">
        <f>IF('Bulk Order Details'!M288="","",IF('Bulk Order Details'!F288="","",'Bulk Order Details'!F288))</f>
        <v/>
      </c>
      <c r="AH278" s="156" t="str">
        <f>IF('Bulk Order Details'!R288="","","-"&amp;LOOKUP('Bulk Order Details'!R288,#REF!,#REF!))</f>
        <v/>
      </c>
      <c r="AI278" s="156" t="str">
        <f>IF('Bulk Order Details'!S288="","","-"&amp;LOOKUP('Bulk Order Details'!S288,#REF!,#REF!))</f>
        <v/>
      </c>
      <c r="AJ278" s="156" t="str">
        <f>IF('Bulk Order Details'!T288="","","-"&amp;LOOKUP('Bulk Order Details'!T288,#REF!,#REF!))</f>
        <v/>
      </c>
      <c r="AK278" s="156" t="str">
        <f>IF('Bulk Order Details'!U288="","","-"&amp;LOOKUP('Bulk Order Details'!U288,#REF!,#REF!))</f>
        <v/>
      </c>
      <c r="AL278" s="156" t="str">
        <f>IF('Bulk Order Details'!V288="","","-"&amp;LOOKUP('Bulk Order Details'!V288,#REF!,#REF!))</f>
        <v/>
      </c>
      <c r="AM278" s="156" t="str">
        <f t="shared" si="22"/>
        <v/>
      </c>
      <c r="AN278" s="156" t="str">
        <f>IF('Bulk Order Details'!N288="","","Na-"&amp;'Bulk Order Details'!N288)</f>
        <v/>
      </c>
      <c r="AO278" s="156" t="str">
        <f>IF('Bulk Order Details'!Q288="","","Fo-"&amp;'Bulk Order Details'!Q288)</f>
        <v/>
      </c>
      <c r="AP278" s="156" t="str">
        <f t="shared" si="23"/>
        <v/>
      </c>
      <c r="AQ278" s="37" t="str">
        <f t="shared" si="24"/>
        <v/>
      </c>
    </row>
    <row r="279" spans="2:43" ht="15" customHeight="1" x14ac:dyDescent="0.2">
      <c r="B279" s="34">
        <f>'Bulk Order Details'!B289</f>
        <v>276</v>
      </c>
      <c r="C279" s="34" t="str">
        <f>IF('Bulk Order Details'!C289="","",'Bulk Order Details'!C289&amp;" "&amp;'Bulk Order Details'!D289)</f>
        <v/>
      </c>
      <c r="D279" s="31" t="str">
        <f>IF('Bulk Order Details'!M289="","",VLOOKUP(1,Price[],3))</f>
        <v/>
      </c>
      <c r="E279" s="29" t="str">
        <f>IF('Bulk Order Details'!M289="","",Summary!$D$9)</f>
        <v/>
      </c>
      <c r="F279" s="16" t="str">
        <f>IF('Bulk Order Details'!I289="","",_xlfn.XLOOKUP('Bulk Order Details'!I289,Size[Display],Size[Price]))</f>
        <v/>
      </c>
      <c r="G279" s="16" t="str">
        <f>IF('Bulk Order Details'!J289="","",_xlfn.XLOOKUP('Bulk Order Details'!J289,Length[Display],Length[Price]))</f>
        <v/>
      </c>
      <c r="H279" s="16" t="str">
        <f>IF('Bulk Order Details'!K289="","",_xlfn.XLOOKUP('Bulk Order Details'!K289,Collection[Display],Collection[Price]))</f>
        <v/>
      </c>
      <c r="I279" s="16" t="str">
        <f>IF('Bulk Order Details'!L289="","",_xlfn.XLOOKUP('Bulk Order Details'!L289,Sleeve[Display],Sleeve[Price]))</f>
        <v/>
      </c>
      <c r="J279" s="16" t="str">
        <f>IF('Bulk Order Details'!M289="","",_xlfn.XLOOKUP('Bulk Order Details'!M289,Collar[Display],Collar[Price]))</f>
        <v/>
      </c>
      <c r="K279" s="16" t="str">
        <f>IF('Bulk Order Details'!N289="","",_xlfn.XLOOKUP("Name",Name[Name],Name[Price]))</f>
        <v/>
      </c>
      <c r="L279" s="18" t="str">
        <f>IFERROR(IF('Bulk Order Details'!R289="","",IF(_xlfn.XLOOKUP('Bulk Order Details'!R289,Logos[Display],Logos[Use])="Flat",_xlfn.XLOOKUP('Bulk Order Details'!R289,Logos[Display],Logos[Flat]),ROUND(_xlfn.XLOOKUP('Bulk Order Details'!R289,Logos[Display],Logos[Pct])*$E279,2))),"")</f>
        <v/>
      </c>
      <c r="M279" s="22" t="str">
        <f>IFERROR(IF('Bulk Order Details'!S289="","",IF(_xlfn.XLOOKUP('Bulk Order Details'!S289,Chest[Display],Chest[Use])="Flat",_xlfn.XLOOKUP('Bulk Order Details'!S289,Chest[Display],Chest[Flat]),ROUND(_xlfn.XLOOKUP('Bulk Order Details'!S289,Chest[Display],Chest[Pct])*$E279,2))),"")</f>
        <v/>
      </c>
      <c r="N279" s="22" t="str">
        <f>IFERROR(IF('Bulk Order Details'!T289="","",IF(_xlfn.XLOOKUP('Bulk Order Details'!T289,Chest[Display],Chest[Use])="Flat",_xlfn.XLOOKUP('Bulk Order Details'!T289,Chest[Display],Chest[Flat]),ROUND(_xlfn.XLOOKUP('Bulk Order Details'!T289,Chest[Display],Chest[Pct])*$E279,2))),"")</f>
        <v/>
      </c>
      <c r="O279" s="22" t="str">
        <f>IFERROR(IF('Bulk Order Details'!U289="","",IF(_xlfn.XLOOKUP('Bulk Order Details'!U289,LeftSleeve[Display],LeftSleeve[Use])="Flat",_xlfn.XLOOKUP('Bulk Order Details'!U289,LeftSleeve[Display],LeftSleeve[Flat]),ROUND(_xlfn.XLOOKUP('Bulk Order Details'!U289,LeftSleeve[Display],LeftSleeve[Pct])*$E279,2))),"")</f>
        <v/>
      </c>
      <c r="P279" s="22" t="str">
        <f>IFERROR(IF('Bulk Order Details'!V289="","",IF(_xlfn.XLOOKUP('Bulk Order Details'!V289,RightSleeve[Display],RightSleeve[Use])="Flat",_xlfn.XLOOKUP('Bulk Order Details'!V289,RightSleeve[Display],RightSleeve[Flat]),ROUND(_xlfn.XLOOKUP('Bulk Order Details'!V289,RightSleeve[Display],RightSleeve[Pct])*$E279,2))),"")</f>
        <v/>
      </c>
      <c r="Q279" s="27" t="str">
        <f>IF('Bulk Order Details'!M289="","",SUM(F279:P279))</f>
        <v/>
      </c>
      <c r="R279" s="24" t="str">
        <f t="shared" si="21"/>
        <v/>
      </c>
      <c r="S279" s="23" t="str">
        <f>IFERROR(MIN(IF(Summary!$D$11="Yes",-J279,0),IF(H279&gt;0,-J279,0)),"")</f>
        <v/>
      </c>
      <c r="T279" s="16" t="str">
        <f>IFERROR(IF(Summary!$D$10="Yes",-K279,""),"")</f>
        <v/>
      </c>
      <c r="U279" s="18" t="str">
        <f>IFERROR(IF(Summary!$D$12="Yes",-L279,""),"")</f>
        <v/>
      </c>
      <c r="V279" s="25" t="str">
        <f>IF('Bulk Order Details'!M289="","",SUM(R279:U279))</f>
        <v/>
      </c>
      <c r="W279" s="36" t="str">
        <f>IF('Bulk Order Details'!M289="","",D279+Q279)</f>
        <v/>
      </c>
      <c r="X279" s="37" t="str">
        <f>IF('Bulk Order Details'!M289="","",D279+Q279+V279)</f>
        <v/>
      </c>
      <c r="Y279" s="168" t="str">
        <f t="shared" si="20"/>
        <v/>
      </c>
      <c r="Z279" s="173" t="str">
        <f>IF('Bulk Order Details'!M289="","",MAX(1,'Bulk Order Details'!G289))</f>
        <v/>
      </c>
      <c r="AA279" s="196" t="str">
        <f>IF(Pricing_Details[[#This Row],[Quantity]]="","",Pricing_Details[[#This Row],[Retail Price]]*Pricing_Details[[#This Row],[Quantity]])</f>
        <v/>
      </c>
      <c r="AB279" s="196" t="str">
        <f>IF(Pricing_Details[[#This Row],[Quantity]]="","",Pricing_Details[[#This Row],[Total Discount]]*Pricing_Details[[#This Row],[Quantity]])</f>
        <v/>
      </c>
      <c r="AC279" s="176" t="str">
        <f>IFERROR(ROUND(Pricing_Details[[#This Row],[Actual Price]]*Pricing_Details[[#This Row],[Quantity]],2),"")</f>
        <v/>
      </c>
      <c r="AE279" s="156" t="str">
        <f>IF('Bulk Order Details'!M289="","",VLOOKUP('Bulk Order Details'!K289,Collection[],3)&amp;VLOOKUP('Bulk Order Details'!M289,Collar[],4)&amp;VLOOKUP('Bulk Order Details'!L289,Sleeve[],4))</f>
        <v/>
      </c>
      <c r="AF279" s="156" t="str">
        <f>IF('Bulk Order Details'!M289="","",LOOKUP('Bulk Order Details'!H289,Cut[Display],Cut[Code])&amp;LOOKUP('Bulk Order Details'!I289,#REF!,#REF!)&amp;IF('Bulk Order Details'!J289="","",LOOKUP('Bulk Order Details'!J289,Length[Display],Length[Code])))</f>
        <v/>
      </c>
      <c r="AG279" s="156" t="str">
        <f>IF('Bulk Order Details'!M289="","",IF('Bulk Order Details'!F289="","",'Bulk Order Details'!F289))</f>
        <v/>
      </c>
      <c r="AH279" s="156" t="str">
        <f>IF('Bulk Order Details'!R289="","","-"&amp;LOOKUP('Bulk Order Details'!R289,#REF!,#REF!))</f>
        <v/>
      </c>
      <c r="AI279" s="156" t="str">
        <f>IF('Bulk Order Details'!S289="","","-"&amp;LOOKUP('Bulk Order Details'!S289,#REF!,#REF!))</f>
        <v/>
      </c>
      <c r="AJ279" s="156" t="str">
        <f>IF('Bulk Order Details'!T289="","","-"&amp;LOOKUP('Bulk Order Details'!T289,#REF!,#REF!))</f>
        <v/>
      </c>
      <c r="AK279" s="156" t="str">
        <f>IF('Bulk Order Details'!U289="","","-"&amp;LOOKUP('Bulk Order Details'!U289,#REF!,#REF!))</f>
        <v/>
      </c>
      <c r="AL279" s="156" t="str">
        <f>IF('Bulk Order Details'!V289="","","-"&amp;LOOKUP('Bulk Order Details'!V289,#REF!,#REF!))</f>
        <v/>
      </c>
      <c r="AM279" s="156" t="str">
        <f t="shared" si="22"/>
        <v/>
      </c>
      <c r="AN279" s="156" t="str">
        <f>IF('Bulk Order Details'!N289="","","Na-"&amp;'Bulk Order Details'!N289)</f>
        <v/>
      </c>
      <c r="AO279" s="156" t="str">
        <f>IF('Bulk Order Details'!Q289="","","Fo-"&amp;'Bulk Order Details'!Q289)</f>
        <v/>
      </c>
      <c r="AP279" s="156" t="str">
        <f t="shared" si="23"/>
        <v/>
      </c>
      <c r="AQ279" s="37" t="str">
        <f t="shared" si="24"/>
        <v/>
      </c>
    </row>
    <row r="280" spans="2:43" ht="15" customHeight="1" x14ac:dyDescent="0.2">
      <c r="B280" s="34">
        <f>'Bulk Order Details'!B290</f>
        <v>277</v>
      </c>
      <c r="C280" s="34" t="str">
        <f>IF('Bulk Order Details'!C290="","",'Bulk Order Details'!C290&amp;" "&amp;'Bulk Order Details'!D290)</f>
        <v/>
      </c>
      <c r="D280" s="31" t="str">
        <f>IF('Bulk Order Details'!M290="","",VLOOKUP(1,Price[],3))</f>
        <v/>
      </c>
      <c r="E280" s="29" t="str">
        <f>IF('Bulk Order Details'!M290="","",Summary!$D$9)</f>
        <v/>
      </c>
      <c r="F280" s="16" t="str">
        <f>IF('Bulk Order Details'!I290="","",_xlfn.XLOOKUP('Bulk Order Details'!I290,Size[Display],Size[Price]))</f>
        <v/>
      </c>
      <c r="G280" s="16" t="str">
        <f>IF('Bulk Order Details'!J290="","",_xlfn.XLOOKUP('Bulk Order Details'!J290,Length[Display],Length[Price]))</f>
        <v/>
      </c>
      <c r="H280" s="16" t="str">
        <f>IF('Bulk Order Details'!K290="","",_xlfn.XLOOKUP('Bulk Order Details'!K290,Collection[Display],Collection[Price]))</f>
        <v/>
      </c>
      <c r="I280" s="16" t="str">
        <f>IF('Bulk Order Details'!L290="","",_xlfn.XLOOKUP('Bulk Order Details'!L290,Sleeve[Display],Sleeve[Price]))</f>
        <v/>
      </c>
      <c r="J280" s="16" t="str">
        <f>IF('Bulk Order Details'!M290="","",_xlfn.XLOOKUP('Bulk Order Details'!M290,Collar[Display],Collar[Price]))</f>
        <v/>
      </c>
      <c r="K280" s="16" t="str">
        <f>IF('Bulk Order Details'!N290="","",_xlfn.XLOOKUP("Name",Name[Name],Name[Price]))</f>
        <v/>
      </c>
      <c r="L280" s="18" t="str">
        <f>IFERROR(IF('Bulk Order Details'!R290="","",IF(_xlfn.XLOOKUP('Bulk Order Details'!R290,Logos[Display],Logos[Use])="Flat",_xlfn.XLOOKUP('Bulk Order Details'!R290,Logos[Display],Logos[Flat]),ROUND(_xlfn.XLOOKUP('Bulk Order Details'!R290,Logos[Display],Logos[Pct])*$E280,2))),"")</f>
        <v/>
      </c>
      <c r="M280" s="22" t="str">
        <f>IFERROR(IF('Bulk Order Details'!S290="","",IF(_xlfn.XLOOKUP('Bulk Order Details'!S290,Chest[Display],Chest[Use])="Flat",_xlfn.XLOOKUP('Bulk Order Details'!S290,Chest[Display],Chest[Flat]),ROUND(_xlfn.XLOOKUP('Bulk Order Details'!S290,Chest[Display],Chest[Pct])*$E280,2))),"")</f>
        <v/>
      </c>
      <c r="N280" s="22" t="str">
        <f>IFERROR(IF('Bulk Order Details'!T290="","",IF(_xlfn.XLOOKUP('Bulk Order Details'!T290,Chest[Display],Chest[Use])="Flat",_xlfn.XLOOKUP('Bulk Order Details'!T290,Chest[Display],Chest[Flat]),ROUND(_xlfn.XLOOKUP('Bulk Order Details'!T290,Chest[Display],Chest[Pct])*$E280,2))),"")</f>
        <v/>
      </c>
      <c r="O280" s="22" t="str">
        <f>IFERROR(IF('Bulk Order Details'!U290="","",IF(_xlfn.XLOOKUP('Bulk Order Details'!U290,LeftSleeve[Display],LeftSleeve[Use])="Flat",_xlfn.XLOOKUP('Bulk Order Details'!U290,LeftSleeve[Display],LeftSleeve[Flat]),ROUND(_xlfn.XLOOKUP('Bulk Order Details'!U290,LeftSleeve[Display],LeftSleeve[Pct])*$E280,2))),"")</f>
        <v/>
      </c>
      <c r="P280" s="22" t="str">
        <f>IFERROR(IF('Bulk Order Details'!V290="","",IF(_xlfn.XLOOKUP('Bulk Order Details'!V290,RightSleeve[Display],RightSleeve[Use])="Flat",_xlfn.XLOOKUP('Bulk Order Details'!V290,RightSleeve[Display],RightSleeve[Flat]),ROUND(_xlfn.XLOOKUP('Bulk Order Details'!V290,RightSleeve[Display],RightSleeve[Pct])*$E280,2))),"")</f>
        <v/>
      </c>
      <c r="Q280" s="27" t="str">
        <f>IF('Bulk Order Details'!M290="","",SUM(F280:P280))</f>
        <v/>
      </c>
      <c r="R280" s="24" t="str">
        <f t="shared" si="21"/>
        <v/>
      </c>
      <c r="S280" s="23" t="str">
        <f>IFERROR(MIN(IF(Summary!$D$11="Yes",-J280,0),IF(H280&gt;0,-J280,0)),"")</f>
        <v/>
      </c>
      <c r="T280" s="16" t="str">
        <f>IFERROR(IF(Summary!$D$10="Yes",-K280,""),"")</f>
        <v/>
      </c>
      <c r="U280" s="18" t="str">
        <f>IFERROR(IF(Summary!$D$12="Yes",-L280,""),"")</f>
        <v/>
      </c>
      <c r="V280" s="25" t="str">
        <f>IF('Bulk Order Details'!M290="","",SUM(R280:U280))</f>
        <v/>
      </c>
      <c r="W280" s="36" t="str">
        <f>IF('Bulk Order Details'!M290="","",D280+Q280)</f>
        <v/>
      </c>
      <c r="X280" s="37" t="str">
        <f>IF('Bulk Order Details'!M290="","",D280+Q280+V280)</f>
        <v/>
      </c>
      <c r="Y280" s="168" t="str">
        <f t="shared" si="20"/>
        <v/>
      </c>
      <c r="Z280" s="173" t="str">
        <f>IF('Bulk Order Details'!M290="","",MAX(1,'Bulk Order Details'!G290))</f>
        <v/>
      </c>
      <c r="AA280" s="196" t="str">
        <f>IF(Pricing_Details[[#This Row],[Quantity]]="","",Pricing_Details[[#This Row],[Retail Price]]*Pricing_Details[[#This Row],[Quantity]])</f>
        <v/>
      </c>
      <c r="AB280" s="196" t="str">
        <f>IF(Pricing_Details[[#This Row],[Quantity]]="","",Pricing_Details[[#This Row],[Total Discount]]*Pricing_Details[[#This Row],[Quantity]])</f>
        <v/>
      </c>
      <c r="AC280" s="176" t="str">
        <f>IFERROR(ROUND(Pricing_Details[[#This Row],[Actual Price]]*Pricing_Details[[#This Row],[Quantity]],2),"")</f>
        <v/>
      </c>
      <c r="AE280" s="156" t="str">
        <f>IF('Bulk Order Details'!M290="","",VLOOKUP('Bulk Order Details'!K290,Collection[],3)&amp;VLOOKUP('Bulk Order Details'!M290,Collar[],4)&amp;VLOOKUP('Bulk Order Details'!L290,Sleeve[],4))</f>
        <v/>
      </c>
      <c r="AF280" s="156" t="str">
        <f>IF('Bulk Order Details'!M290="","",LOOKUP('Bulk Order Details'!H290,Cut[Display],Cut[Code])&amp;LOOKUP('Bulk Order Details'!I290,#REF!,#REF!)&amp;IF('Bulk Order Details'!J290="","",LOOKUP('Bulk Order Details'!J290,Length[Display],Length[Code])))</f>
        <v/>
      </c>
      <c r="AG280" s="156" t="str">
        <f>IF('Bulk Order Details'!M290="","",IF('Bulk Order Details'!F290="","",'Bulk Order Details'!F290))</f>
        <v/>
      </c>
      <c r="AH280" s="156" t="str">
        <f>IF('Bulk Order Details'!R290="","","-"&amp;LOOKUP('Bulk Order Details'!R290,#REF!,#REF!))</f>
        <v/>
      </c>
      <c r="AI280" s="156" t="str">
        <f>IF('Bulk Order Details'!S290="","","-"&amp;LOOKUP('Bulk Order Details'!S290,#REF!,#REF!))</f>
        <v/>
      </c>
      <c r="AJ280" s="156" t="str">
        <f>IF('Bulk Order Details'!T290="","","-"&amp;LOOKUP('Bulk Order Details'!T290,#REF!,#REF!))</f>
        <v/>
      </c>
      <c r="AK280" s="156" t="str">
        <f>IF('Bulk Order Details'!U290="","","-"&amp;LOOKUP('Bulk Order Details'!U290,#REF!,#REF!))</f>
        <v/>
      </c>
      <c r="AL280" s="156" t="str">
        <f>IF('Bulk Order Details'!V290="","","-"&amp;LOOKUP('Bulk Order Details'!V290,#REF!,#REF!))</f>
        <v/>
      </c>
      <c r="AM280" s="156" t="str">
        <f t="shared" si="22"/>
        <v/>
      </c>
      <c r="AN280" s="156" t="str">
        <f>IF('Bulk Order Details'!N290="","","Na-"&amp;'Bulk Order Details'!N290)</f>
        <v/>
      </c>
      <c r="AO280" s="156" t="str">
        <f>IF('Bulk Order Details'!Q290="","","Fo-"&amp;'Bulk Order Details'!Q290)</f>
        <v/>
      </c>
      <c r="AP280" s="156" t="str">
        <f t="shared" si="23"/>
        <v/>
      </c>
      <c r="AQ280" s="37" t="str">
        <f t="shared" si="24"/>
        <v/>
      </c>
    </row>
    <row r="281" spans="2:43" ht="15" customHeight="1" x14ac:dyDescent="0.2">
      <c r="B281" s="34">
        <f>'Bulk Order Details'!B291</f>
        <v>278</v>
      </c>
      <c r="C281" s="34" t="str">
        <f>IF('Bulk Order Details'!C291="","",'Bulk Order Details'!C291&amp;" "&amp;'Bulk Order Details'!D291)</f>
        <v/>
      </c>
      <c r="D281" s="31" t="str">
        <f>IF('Bulk Order Details'!M291="","",VLOOKUP(1,Price[],3))</f>
        <v/>
      </c>
      <c r="E281" s="29" t="str">
        <f>IF('Bulk Order Details'!M291="","",Summary!$D$9)</f>
        <v/>
      </c>
      <c r="F281" s="16" t="str">
        <f>IF('Bulk Order Details'!I291="","",_xlfn.XLOOKUP('Bulk Order Details'!I291,Size[Display],Size[Price]))</f>
        <v/>
      </c>
      <c r="G281" s="16" t="str">
        <f>IF('Bulk Order Details'!J291="","",_xlfn.XLOOKUP('Bulk Order Details'!J291,Length[Display],Length[Price]))</f>
        <v/>
      </c>
      <c r="H281" s="16" t="str">
        <f>IF('Bulk Order Details'!K291="","",_xlfn.XLOOKUP('Bulk Order Details'!K291,Collection[Display],Collection[Price]))</f>
        <v/>
      </c>
      <c r="I281" s="16" t="str">
        <f>IF('Bulk Order Details'!L291="","",_xlfn.XLOOKUP('Bulk Order Details'!L291,Sleeve[Display],Sleeve[Price]))</f>
        <v/>
      </c>
      <c r="J281" s="16" t="str">
        <f>IF('Bulk Order Details'!M291="","",_xlfn.XLOOKUP('Bulk Order Details'!M291,Collar[Display],Collar[Price]))</f>
        <v/>
      </c>
      <c r="K281" s="16" t="str">
        <f>IF('Bulk Order Details'!N291="","",_xlfn.XLOOKUP("Name",Name[Name],Name[Price]))</f>
        <v/>
      </c>
      <c r="L281" s="18" t="str">
        <f>IFERROR(IF('Bulk Order Details'!R291="","",IF(_xlfn.XLOOKUP('Bulk Order Details'!R291,Logos[Display],Logos[Use])="Flat",_xlfn.XLOOKUP('Bulk Order Details'!R291,Logos[Display],Logos[Flat]),ROUND(_xlfn.XLOOKUP('Bulk Order Details'!R291,Logos[Display],Logos[Pct])*$E281,2))),"")</f>
        <v/>
      </c>
      <c r="M281" s="22" t="str">
        <f>IFERROR(IF('Bulk Order Details'!S291="","",IF(_xlfn.XLOOKUP('Bulk Order Details'!S291,Chest[Display],Chest[Use])="Flat",_xlfn.XLOOKUP('Bulk Order Details'!S291,Chest[Display],Chest[Flat]),ROUND(_xlfn.XLOOKUP('Bulk Order Details'!S291,Chest[Display],Chest[Pct])*$E281,2))),"")</f>
        <v/>
      </c>
      <c r="N281" s="22" t="str">
        <f>IFERROR(IF('Bulk Order Details'!T291="","",IF(_xlfn.XLOOKUP('Bulk Order Details'!T291,Chest[Display],Chest[Use])="Flat",_xlfn.XLOOKUP('Bulk Order Details'!T291,Chest[Display],Chest[Flat]),ROUND(_xlfn.XLOOKUP('Bulk Order Details'!T291,Chest[Display],Chest[Pct])*$E281,2))),"")</f>
        <v/>
      </c>
      <c r="O281" s="22" t="str">
        <f>IFERROR(IF('Bulk Order Details'!U291="","",IF(_xlfn.XLOOKUP('Bulk Order Details'!U291,LeftSleeve[Display],LeftSleeve[Use])="Flat",_xlfn.XLOOKUP('Bulk Order Details'!U291,LeftSleeve[Display],LeftSleeve[Flat]),ROUND(_xlfn.XLOOKUP('Bulk Order Details'!U291,LeftSleeve[Display],LeftSleeve[Pct])*$E281,2))),"")</f>
        <v/>
      </c>
      <c r="P281" s="22" t="str">
        <f>IFERROR(IF('Bulk Order Details'!V291="","",IF(_xlfn.XLOOKUP('Bulk Order Details'!V291,RightSleeve[Display],RightSleeve[Use])="Flat",_xlfn.XLOOKUP('Bulk Order Details'!V291,RightSleeve[Display],RightSleeve[Flat]),ROUND(_xlfn.XLOOKUP('Bulk Order Details'!V291,RightSleeve[Display],RightSleeve[Pct])*$E281,2))),"")</f>
        <v/>
      </c>
      <c r="Q281" s="27" t="str">
        <f>IF('Bulk Order Details'!M291="","",SUM(F281:P281))</f>
        <v/>
      </c>
      <c r="R281" s="24" t="str">
        <f t="shared" si="21"/>
        <v/>
      </c>
      <c r="S281" s="23" t="str">
        <f>IFERROR(MIN(IF(Summary!$D$11="Yes",-J281,0),IF(H281&gt;0,-J281,0)),"")</f>
        <v/>
      </c>
      <c r="T281" s="16" t="str">
        <f>IFERROR(IF(Summary!$D$10="Yes",-K281,""),"")</f>
        <v/>
      </c>
      <c r="U281" s="18" t="str">
        <f>IFERROR(IF(Summary!$D$12="Yes",-L281,""),"")</f>
        <v/>
      </c>
      <c r="V281" s="25" t="str">
        <f>IF('Bulk Order Details'!M291="","",SUM(R281:U281))</f>
        <v/>
      </c>
      <c r="W281" s="36" t="str">
        <f>IF('Bulk Order Details'!M291="","",D281+Q281)</f>
        <v/>
      </c>
      <c r="X281" s="37" t="str">
        <f>IF('Bulk Order Details'!M291="","",D281+Q281+V281)</f>
        <v/>
      </c>
      <c r="Y281" s="168" t="str">
        <f t="shared" si="20"/>
        <v/>
      </c>
      <c r="Z281" s="173" t="str">
        <f>IF('Bulk Order Details'!M291="","",MAX(1,'Bulk Order Details'!G291))</f>
        <v/>
      </c>
      <c r="AA281" s="196" t="str">
        <f>IF(Pricing_Details[[#This Row],[Quantity]]="","",Pricing_Details[[#This Row],[Retail Price]]*Pricing_Details[[#This Row],[Quantity]])</f>
        <v/>
      </c>
      <c r="AB281" s="196" t="str">
        <f>IF(Pricing_Details[[#This Row],[Quantity]]="","",Pricing_Details[[#This Row],[Total Discount]]*Pricing_Details[[#This Row],[Quantity]])</f>
        <v/>
      </c>
      <c r="AC281" s="176" t="str">
        <f>IFERROR(ROUND(Pricing_Details[[#This Row],[Actual Price]]*Pricing_Details[[#This Row],[Quantity]],2),"")</f>
        <v/>
      </c>
      <c r="AE281" s="156" t="str">
        <f>IF('Bulk Order Details'!M291="","",VLOOKUP('Bulk Order Details'!K291,Collection[],3)&amp;VLOOKUP('Bulk Order Details'!M291,Collar[],4)&amp;VLOOKUP('Bulk Order Details'!L291,Sleeve[],4))</f>
        <v/>
      </c>
      <c r="AF281" s="156" t="str">
        <f>IF('Bulk Order Details'!M291="","",LOOKUP('Bulk Order Details'!H291,Cut[Display],Cut[Code])&amp;LOOKUP('Bulk Order Details'!I291,#REF!,#REF!)&amp;IF('Bulk Order Details'!J291="","",LOOKUP('Bulk Order Details'!J291,Length[Display],Length[Code])))</f>
        <v/>
      </c>
      <c r="AG281" s="156" t="str">
        <f>IF('Bulk Order Details'!M291="","",IF('Bulk Order Details'!F291="","",'Bulk Order Details'!F291))</f>
        <v/>
      </c>
      <c r="AH281" s="156" t="str">
        <f>IF('Bulk Order Details'!R291="","","-"&amp;LOOKUP('Bulk Order Details'!R291,#REF!,#REF!))</f>
        <v/>
      </c>
      <c r="AI281" s="156" t="str">
        <f>IF('Bulk Order Details'!S291="","","-"&amp;LOOKUP('Bulk Order Details'!S291,#REF!,#REF!))</f>
        <v/>
      </c>
      <c r="AJ281" s="156" t="str">
        <f>IF('Bulk Order Details'!T291="","","-"&amp;LOOKUP('Bulk Order Details'!T291,#REF!,#REF!))</f>
        <v/>
      </c>
      <c r="AK281" s="156" t="str">
        <f>IF('Bulk Order Details'!U291="","","-"&amp;LOOKUP('Bulk Order Details'!U291,#REF!,#REF!))</f>
        <v/>
      </c>
      <c r="AL281" s="156" t="str">
        <f>IF('Bulk Order Details'!V291="","","-"&amp;LOOKUP('Bulk Order Details'!V291,#REF!,#REF!))</f>
        <v/>
      </c>
      <c r="AM281" s="156" t="str">
        <f t="shared" si="22"/>
        <v/>
      </c>
      <c r="AN281" s="156" t="str">
        <f>IF('Bulk Order Details'!N291="","","Na-"&amp;'Bulk Order Details'!N291)</f>
        <v/>
      </c>
      <c r="AO281" s="156" t="str">
        <f>IF('Bulk Order Details'!Q291="","","Fo-"&amp;'Bulk Order Details'!Q291)</f>
        <v/>
      </c>
      <c r="AP281" s="156" t="str">
        <f t="shared" si="23"/>
        <v/>
      </c>
      <c r="AQ281" s="37" t="str">
        <f t="shared" si="24"/>
        <v/>
      </c>
    </row>
    <row r="282" spans="2:43" ht="15" customHeight="1" x14ac:dyDescent="0.2">
      <c r="B282" s="34">
        <f>'Bulk Order Details'!B292</f>
        <v>279</v>
      </c>
      <c r="C282" s="34" t="str">
        <f>IF('Bulk Order Details'!C292="","",'Bulk Order Details'!C292&amp;" "&amp;'Bulk Order Details'!D292)</f>
        <v/>
      </c>
      <c r="D282" s="31" t="str">
        <f>IF('Bulk Order Details'!M292="","",VLOOKUP(1,Price[],3))</f>
        <v/>
      </c>
      <c r="E282" s="29" t="str">
        <f>IF('Bulk Order Details'!M292="","",Summary!$D$9)</f>
        <v/>
      </c>
      <c r="F282" s="16" t="str">
        <f>IF('Bulk Order Details'!I292="","",_xlfn.XLOOKUP('Bulk Order Details'!I292,Size[Display],Size[Price]))</f>
        <v/>
      </c>
      <c r="G282" s="16" t="str">
        <f>IF('Bulk Order Details'!J292="","",_xlfn.XLOOKUP('Bulk Order Details'!J292,Length[Display],Length[Price]))</f>
        <v/>
      </c>
      <c r="H282" s="16" t="str">
        <f>IF('Bulk Order Details'!K292="","",_xlfn.XLOOKUP('Bulk Order Details'!K292,Collection[Display],Collection[Price]))</f>
        <v/>
      </c>
      <c r="I282" s="16" t="str">
        <f>IF('Bulk Order Details'!L292="","",_xlfn.XLOOKUP('Bulk Order Details'!L292,Sleeve[Display],Sleeve[Price]))</f>
        <v/>
      </c>
      <c r="J282" s="16" t="str">
        <f>IF('Bulk Order Details'!M292="","",_xlfn.XLOOKUP('Bulk Order Details'!M292,Collar[Display],Collar[Price]))</f>
        <v/>
      </c>
      <c r="K282" s="16" t="str">
        <f>IF('Bulk Order Details'!N292="","",_xlfn.XLOOKUP("Name",Name[Name],Name[Price]))</f>
        <v/>
      </c>
      <c r="L282" s="18" t="str">
        <f>IFERROR(IF('Bulk Order Details'!R292="","",IF(_xlfn.XLOOKUP('Bulk Order Details'!R292,Logos[Display],Logos[Use])="Flat",_xlfn.XLOOKUP('Bulk Order Details'!R292,Logos[Display],Logos[Flat]),ROUND(_xlfn.XLOOKUP('Bulk Order Details'!R292,Logos[Display],Logos[Pct])*$E282,2))),"")</f>
        <v/>
      </c>
      <c r="M282" s="22" t="str">
        <f>IFERROR(IF('Bulk Order Details'!S292="","",IF(_xlfn.XLOOKUP('Bulk Order Details'!S292,Chest[Display],Chest[Use])="Flat",_xlfn.XLOOKUP('Bulk Order Details'!S292,Chest[Display],Chest[Flat]),ROUND(_xlfn.XLOOKUP('Bulk Order Details'!S292,Chest[Display],Chest[Pct])*$E282,2))),"")</f>
        <v/>
      </c>
      <c r="N282" s="22" t="str">
        <f>IFERROR(IF('Bulk Order Details'!T292="","",IF(_xlfn.XLOOKUP('Bulk Order Details'!T292,Chest[Display],Chest[Use])="Flat",_xlfn.XLOOKUP('Bulk Order Details'!T292,Chest[Display],Chest[Flat]),ROUND(_xlfn.XLOOKUP('Bulk Order Details'!T292,Chest[Display],Chest[Pct])*$E282,2))),"")</f>
        <v/>
      </c>
      <c r="O282" s="22" t="str">
        <f>IFERROR(IF('Bulk Order Details'!U292="","",IF(_xlfn.XLOOKUP('Bulk Order Details'!U292,LeftSleeve[Display],LeftSleeve[Use])="Flat",_xlfn.XLOOKUP('Bulk Order Details'!U292,LeftSleeve[Display],LeftSleeve[Flat]),ROUND(_xlfn.XLOOKUP('Bulk Order Details'!U292,LeftSleeve[Display],LeftSleeve[Pct])*$E282,2))),"")</f>
        <v/>
      </c>
      <c r="P282" s="22" t="str">
        <f>IFERROR(IF('Bulk Order Details'!V292="","",IF(_xlfn.XLOOKUP('Bulk Order Details'!V292,RightSleeve[Display],RightSleeve[Use])="Flat",_xlfn.XLOOKUP('Bulk Order Details'!V292,RightSleeve[Display],RightSleeve[Flat]),ROUND(_xlfn.XLOOKUP('Bulk Order Details'!V292,RightSleeve[Display],RightSleeve[Pct])*$E282,2))),"")</f>
        <v/>
      </c>
      <c r="Q282" s="27" t="str">
        <f>IF('Bulk Order Details'!M292="","",SUM(F282:P282))</f>
        <v/>
      </c>
      <c r="R282" s="24" t="str">
        <f t="shared" si="21"/>
        <v/>
      </c>
      <c r="S282" s="23" t="str">
        <f>IFERROR(MIN(IF(Summary!$D$11="Yes",-J282,0),IF(H282&gt;0,-J282,0)),"")</f>
        <v/>
      </c>
      <c r="T282" s="16" t="str">
        <f>IFERROR(IF(Summary!$D$10="Yes",-K282,""),"")</f>
        <v/>
      </c>
      <c r="U282" s="18" t="str">
        <f>IFERROR(IF(Summary!$D$12="Yes",-L282,""),"")</f>
        <v/>
      </c>
      <c r="V282" s="25" t="str">
        <f>IF('Bulk Order Details'!M292="","",SUM(R282:U282))</f>
        <v/>
      </c>
      <c r="W282" s="36" t="str">
        <f>IF('Bulk Order Details'!M292="","",D282+Q282)</f>
        <v/>
      </c>
      <c r="X282" s="37" t="str">
        <f>IF('Bulk Order Details'!M292="","",D282+Q282+V282)</f>
        <v/>
      </c>
      <c r="Y282" s="168" t="str">
        <f t="shared" si="20"/>
        <v/>
      </c>
      <c r="Z282" s="173" t="str">
        <f>IF('Bulk Order Details'!M292="","",MAX(1,'Bulk Order Details'!G292))</f>
        <v/>
      </c>
      <c r="AA282" s="196" t="str">
        <f>IF(Pricing_Details[[#This Row],[Quantity]]="","",Pricing_Details[[#This Row],[Retail Price]]*Pricing_Details[[#This Row],[Quantity]])</f>
        <v/>
      </c>
      <c r="AB282" s="196" t="str">
        <f>IF(Pricing_Details[[#This Row],[Quantity]]="","",Pricing_Details[[#This Row],[Total Discount]]*Pricing_Details[[#This Row],[Quantity]])</f>
        <v/>
      </c>
      <c r="AC282" s="176" t="str">
        <f>IFERROR(ROUND(Pricing_Details[[#This Row],[Actual Price]]*Pricing_Details[[#This Row],[Quantity]],2),"")</f>
        <v/>
      </c>
      <c r="AE282" s="156" t="str">
        <f>IF('Bulk Order Details'!M292="","",VLOOKUP('Bulk Order Details'!K292,Collection[],3)&amp;VLOOKUP('Bulk Order Details'!M292,Collar[],4)&amp;VLOOKUP('Bulk Order Details'!L292,Sleeve[],4))</f>
        <v/>
      </c>
      <c r="AF282" s="156" t="str">
        <f>IF('Bulk Order Details'!M292="","",LOOKUP('Bulk Order Details'!H292,Cut[Display],Cut[Code])&amp;LOOKUP('Bulk Order Details'!I292,#REF!,#REF!)&amp;IF('Bulk Order Details'!J292="","",LOOKUP('Bulk Order Details'!J292,Length[Display],Length[Code])))</f>
        <v/>
      </c>
      <c r="AG282" s="156" t="str">
        <f>IF('Bulk Order Details'!M292="","",IF('Bulk Order Details'!F292="","",'Bulk Order Details'!F292))</f>
        <v/>
      </c>
      <c r="AH282" s="156" t="str">
        <f>IF('Bulk Order Details'!R292="","","-"&amp;LOOKUP('Bulk Order Details'!R292,#REF!,#REF!))</f>
        <v/>
      </c>
      <c r="AI282" s="156" t="str">
        <f>IF('Bulk Order Details'!S292="","","-"&amp;LOOKUP('Bulk Order Details'!S292,#REF!,#REF!))</f>
        <v/>
      </c>
      <c r="AJ282" s="156" t="str">
        <f>IF('Bulk Order Details'!T292="","","-"&amp;LOOKUP('Bulk Order Details'!T292,#REF!,#REF!))</f>
        <v/>
      </c>
      <c r="AK282" s="156" t="str">
        <f>IF('Bulk Order Details'!U292="","","-"&amp;LOOKUP('Bulk Order Details'!U292,#REF!,#REF!))</f>
        <v/>
      </c>
      <c r="AL282" s="156" t="str">
        <f>IF('Bulk Order Details'!V292="","","-"&amp;LOOKUP('Bulk Order Details'!V292,#REF!,#REF!))</f>
        <v/>
      </c>
      <c r="AM282" s="156" t="str">
        <f t="shared" si="22"/>
        <v/>
      </c>
      <c r="AN282" s="156" t="str">
        <f>IF('Bulk Order Details'!N292="","","Na-"&amp;'Bulk Order Details'!N292)</f>
        <v/>
      </c>
      <c r="AO282" s="156" t="str">
        <f>IF('Bulk Order Details'!Q292="","","Fo-"&amp;'Bulk Order Details'!Q292)</f>
        <v/>
      </c>
      <c r="AP282" s="156" t="str">
        <f t="shared" si="23"/>
        <v/>
      </c>
      <c r="AQ282" s="37" t="str">
        <f t="shared" si="24"/>
        <v/>
      </c>
    </row>
    <row r="283" spans="2:43" ht="15" customHeight="1" x14ac:dyDescent="0.2">
      <c r="B283" s="34">
        <f>'Bulk Order Details'!B293</f>
        <v>280</v>
      </c>
      <c r="C283" s="34" t="str">
        <f>IF('Bulk Order Details'!C293="","",'Bulk Order Details'!C293&amp;" "&amp;'Bulk Order Details'!D293)</f>
        <v/>
      </c>
      <c r="D283" s="31" t="str">
        <f>IF('Bulk Order Details'!M293="","",VLOOKUP(1,Price[],3))</f>
        <v/>
      </c>
      <c r="E283" s="29" t="str">
        <f>IF('Bulk Order Details'!M293="","",Summary!$D$9)</f>
        <v/>
      </c>
      <c r="F283" s="16" t="str">
        <f>IF('Bulk Order Details'!I293="","",_xlfn.XLOOKUP('Bulk Order Details'!I293,Size[Display],Size[Price]))</f>
        <v/>
      </c>
      <c r="G283" s="16" t="str">
        <f>IF('Bulk Order Details'!J293="","",_xlfn.XLOOKUP('Bulk Order Details'!J293,Length[Display],Length[Price]))</f>
        <v/>
      </c>
      <c r="H283" s="16" t="str">
        <f>IF('Bulk Order Details'!K293="","",_xlfn.XLOOKUP('Bulk Order Details'!K293,Collection[Display],Collection[Price]))</f>
        <v/>
      </c>
      <c r="I283" s="16" t="str">
        <f>IF('Bulk Order Details'!L293="","",_xlfn.XLOOKUP('Bulk Order Details'!L293,Sleeve[Display],Sleeve[Price]))</f>
        <v/>
      </c>
      <c r="J283" s="16" t="str">
        <f>IF('Bulk Order Details'!M293="","",_xlfn.XLOOKUP('Bulk Order Details'!M293,Collar[Display],Collar[Price]))</f>
        <v/>
      </c>
      <c r="K283" s="16" t="str">
        <f>IF('Bulk Order Details'!N293="","",_xlfn.XLOOKUP("Name",Name[Name],Name[Price]))</f>
        <v/>
      </c>
      <c r="L283" s="18" t="str">
        <f>IFERROR(IF('Bulk Order Details'!R293="","",IF(_xlfn.XLOOKUP('Bulk Order Details'!R293,Logos[Display],Logos[Use])="Flat",_xlfn.XLOOKUP('Bulk Order Details'!R293,Logos[Display],Logos[Flat]),ROUND(_xlfn.XLOOKUP('Bulk Order Details'!R293,Logos[Display],Logos[Pct])*$E283,2))),"")</f>
        <v/>
      </c>
      <c r="M283" s="22" t="str">
        <f>IFERROR(IF('Bulk Order Details'!S293="","",IF(_xlfn.XLOOKUP('Bulk Order Details'!S293,Chest[Display],Chest[Use])="Flat",_xlfn.XLOOKUP('Bulk Order Details'!S293,Chest[Display],Chest[Flat]),ROUND(_xlfn.XLOOKUP('Bulk Order Details'!S293,Chest[Display],Chest[Pct])*$E283,2))),"")</f>
        <v/>
      </c>
      <c r="N283" s="22" t="str">
        <f>IFERROR(IF('Bulk Order Details'!T293="","",IF(_xlfn.XLOOKUP('Bulk Order Details'!T293,Chest[Display],Chest[Use])="Flat",_xlfn.XLOOKUP('Bulk Order Details'!T293,Chest[Display],Chest[Flat]),ROUND(_xlfn.XLOOKUP('Bulk Order Details'!T293,Chest[Display],Chest[Pct])*$E283,2))),"")</f>
        <v/>
      </c>
      <c r="O283" s="22" t="str">
        <f>IFERROR(IF('Bulk Order Details'!U293="","",IF(_xlfn.XLOOKUP('Bulk Order Details'!U293,LeftSleeve[Display],LeftSleeve[Use])="Flat",_xlfn.XLOOKUP('Bulk Order Details'!U293,LeftSleeve[Display],LeftSleeve[Flat]),ROUND(_xlfn.XLOOKUP('Bulk Order Details'!U293,LeftSleeve[Display],LeftSleeve[Pct])*$E283,2))),"")</f>
        <v/>
      </c>
      <c r="P283" s="22" t="str">
        <f>IFERROR(IF('Bulk Order Details'!V293="","",IF(_xlfn.XLOOKUP('Bulk Order Details'!V293,RightSleeve[Display],RightSleeve[Use])="Flat",_xlfn.XLOOKUP('Bulk Order Details'!V293,RightSleeve[Display],RightSleeve[Flat]),ROUND(_xlfn.XLOOKUP('Bulk Order Details'!V293,RightSleeve[Display],RightSleeve[Pct])*$E283,2))),"")</f>
        <v/>
      </c>
      <c r="Q283" s="27" t="str">
        <f>IF('Bulk Order Details'!M293="","",SUM(F283:P283))</f>
        <v/>
      </c>
      <c r="R283" s="24" t="str">
        <f t="shared" si="21"/>
        <v/>
      </c>
      <c r="S283" s="23" t="str">
        <f>IFERROR(MIN(IF(Summary!$D$11="Yes",-J283,0),IF(H283&gt;0,-J283,0)),"")</f>
        <v/>
      </c>
      <c r="T283" s="16" t="str">
        <f>IFERROR(IF(Summary!$D$10="Yes",-K283,""),"")</f>
        <v/>
      </c>
      <c r="U283" s="18" t="str">
        <f>IFERROR(IF(Summary!$D$12="Yes",-L283,""),"")</f>
        <v/>
      </c>
      <c r="V283" s="25" t="str">
        <f>IF('Bulk Order Details'!M293="","",SUM(R283:U283))</f>
        <v/>
      </c>
      <c r="W283" s="36" t="str">
        <f>IF('Bulk Order Details'!M293="","",D283+Q283)</f>
        <v/>
      </c>
      <c r="X283" s="37" t="str">
        <f>IF('Bulk Order Details'!M293="","",D283+Q283+V283)</f>
        <v/>
      </c>
      <c r="Y283" s="168" t="str">
        <f t="shared" si="20"/>
        <v/>
      </c>
      <c r="Z283" s="173" t="str">
        <f>IF('Bulk Order Details'!M293="","",MAX(1,'Bulk Order Details'!G293))</f>
        <v/>
      </c>
      <c r="AA283" s="196" t="str">
        <f>IF(Pricing_Details[[#This Row],[Quantity]]="","",Pricing_Details[[#This Row],[Retail Price]]*Pricing_Details[[#This Row],[Quantity]])</f>
        <v/>
      </c>
      <c r="AB283" s="196" t="str">
        <f>IF(Pricing_Details[[#This Row],[Quantity]]="","",Pricing_Details[[#This Row],[Total Discount]]*Pricing_Details[[#This Row],[Quantity]])</f>
        <v/>
      </c>
      <c r="AC283" s="176" t="str">
        <f>IFERROR(ROUND(Pricing_Details[[#This Row],[Actual Price]]*Pricing_Details[[#This Row],[Quantity]],2),"")</f>
        <v/>
      </c>
      <c r="AE283" s="156" t="str">
        <f>IF('Bulk Order Details'!M293="","",VLOOKUP('Bulk Order Details'!K293,Collection[],3)&amp;VLOOKUP('Bulk Order Details'!M293,Collar[],4)&amp;VLOOKUP('Bulk Order Details'!L293,Sleeve[],4))</f>
        <v/>
      </c>
      <c r="AF283" s="156" t="str">
        <f>IF('Bulk Order Details'!M293="","",LOOKUP('Bulk Order Details'!H293,Cut[Display],Cut[Code])&amp;LOOKUP('Bulk Order Details'!I293,#REF!,#REF!)&amp;IF('Bulk Order Details'!J293="","",LOOKUP('Bulk Order Details'!J293,Length[Display],Length[Code])))</f>
        <v/>
      </c>
      <c r="AG283" s="156" t="str">
        <f>IF('Bulk Order Details'!M293="","",IF('Bulk Order Details'!F293="","",'Bulk Order Details'!F293))</f>
        <v/>
      </c>
      <c r="AH283" s="156" t="str">
        <f>IF('Bulk Order Details'!R293="","","-"&amp;LOOKUP('Bulk Order Details'!R293,#REF!,#REF!))</f>
        <v/>
      </c>
      <c r="AI283" s="156" t="str">
        <f>IF('Bulk Order Details'!S293="","","-"&amp;LOOKUP('Bulk Order Details'!S293,#REF!,#REF!))</f>
        <v/>
      </c>
      <c r="AJ283" s="156" t="str">
        <f>IF('Bulk Order Details'!T293="","","-"&amp;LOOKUP('Bulk Order Details'!T293,#REF!,#REF!))</f>
        <v/>
      </c>
      <c r="AK283" s="156" t="str">
        <f>IF('Bulk Order Details'!U293="","","-"&amp;LOOKUP('Bulk Order Details'!U293,#REF!,#REF!))</f>
        <v/>
      </c>
      <c r="AL283" s="156" t="str">
        <f>IF('Bulk Order Details'!V293="","","-"&amp;LOOKUP('Bulk Order Details'!V293,#REF!,#REF!))</f>
        <v/>
      </c>
      <c r="AM283" s="156" t="str">
        <f t="shared" si="22"/>
        <v/>
      </c>
      <c r="AN283" s="156" t="str">
        <f>IF('Bulk Order Details'!N293="","","Na-"&amp;'Bulk Order Details'!N293)</f>
        <v/>
      </c>
      <c r="AO283" s="156" t="str">
        <f>IF('Bulk Order Details'!Q293="","","Fo-"&amp;'Bulk Order Details'!Q293)</f>
        <v/>
      </c>
      <c r="AP283" s="156" t="str">
        <f t="shared" si="23"/>
        <v/>
      </c>
      <c r="AQ283" s="37" t="str">
        <f t="shared" si="24"/>
        <v/>
      </c>
    </row>
    <row r="284" spans="2:43" ht="15" customHeight="1" x14ac:dyDescent="0.2">
      <c r="B284" s="34">
        <f>'Bulk Order Details'!B294</f>
        <v>281</v>
      </c>
      <c r="C284" s="34" t="str">
        <f>IF('Bulk Order Details'!C294="","",'Bulk Order Details'!C294&amp;" "&amp;'Bulk Order Details'!D294)</f>
        <v/>
      </c>
      <c r="D284" s="31" t="str">
        <f>IF('Bulk Order Details'!M294="","",VLOOKUP(1,Price[],3))</f>
        <v/>
      </c>
      <c r="E284" s="29" t="str">
        <f>IF('Bulk Order Details'!M294="","",Summary!$D$9)</f>
        <v/>
      </c>
      <c r="F284" s="16" t="str">
        <f>IF('Bulk Order Details'!I294="","",_xlfn.XLOOKUP('Bulk Order Details'!I294,Size[Display],Size[Price]))</f>
        <v/>
      </c>
      <c r="G284" s="16" t="str">
        <f>IF('Bulk Order Details'!J294="","",_xlfn.XLOOKUP('Bulk Order Details'!J294,Length[Display],Length[Price]))</f>
        <v/>
      </c>
      <c r="H284" s="16" t="str">
        <f>IF('Bulk Order Details'!K294="","",_xlfn.XLOOKUP('Bulk Order Details'!K294,Collection[Display],Collection[Price]))</f>
        <v/>
      </c>
      <c r="I284" s="16" t="str">
        <f>IF('Bulk Order Details'!L294="","",_xlfn.XLOOKUP('Bulk Order Details'!L294,Sleeve[Display],Sleeve[Price]))</f>
        <v/>
      </c>
      <c r="J284" s="16" t="str">
        <f>IF('Bulk Order Details'!M294="","",_xlfn.XLOOKUP('Bulk Order Details'!M294,Collar[Display],Collar[Price]))</f>
        <v/>
      </c>
      <c r="K284" s="16" t="str">
        <f>IF('Bulk Order Details'!N294="","",_xlfn.XLOOKUP("Name",Name[Name],Name[Price]))</f>
        <v/>
      </c>
      <c r="L284" s="18" t="str">
        <f>IFERROR(IF('Bulk Order Details'!R294="","",IF(_xlfn.XLOOKUP('Bulk Order Details'!R294,Logos[Display],Logos[Use])="Flat",_xlfn.XLOOKUP('Bulk Order Details'!R294,Logos[Display],Logos[Flat]),ROUND(_xlfn.XLOOKUP('Bulk Order Details'!R294,Logos[Display],Logos[Pct])*$E284,2))),"")</f>
        <v/>
      </c>
      <c r="M284" s="22" t="str">
        <f>IFERROR(IF('Bulk Order Details'!S294="","",IF(_xlfn.XLOOKUP('Bulk Order Details'!S294,Chest[Display],Chest[Use])="Flat",_xlfn.XLOOKUP('Bulk Order Details'!S294,Chest[Display],Chest[Flat]),ROUND(_xlfn.XLOOKUP('Bulk Order Details'!S294,Chest[Display],Chest[Pct])*$E284,2))),"")</f>
        <v/>
      </c>
      <c r="N284" s="22" t="str">
        <f>IFERROR(IF('Bulk Order Details'!T294="","",IF(_xlfn.XLOOKUP('Bulk Order Details'!T294,Chest[Display],Chest[Use])="Flat",_xlfn.XLOOKUP('Bulk Order Details'!T294,Chest[Display],Chest[Flat]),ROUND(_xlfn.XLOOKUP('Bulk Order Details'!T294,Chest[Display],Chest[Pct])*$E284,2))),"")</f>
        <v/>
      </c>
      <c r="O284" s="22" t="str">
        <f>IFERROR(IF('Bulk Order Details'!U294="","",IF(_xlfn.XLOOKUP('Bulk Order Details'!U294,LeftSleeve[Display],LeftSleeve[Use])="Flat",_xlfn.XLOOKUP('Bulk Order Details'!U294,LeftSleeve[Display],LeftSleeve[Flat]),ROUND(_xlfn.XLOOKUP('Bulk Order Details'!U294,LeftSleeve[Display],LeftSleeve[Pct])*$E284,2))),"")</f>
        <v/>
      </c>
      <c r="P284" s="22" t="str">
        <f>IFERROR(IF('Bulk Order Details'!V294="","",IF(_xlfn.XLOOKUP('Bulk Order Details'!V294,RightSleeve[Display],RightSleeve[Use])="Flat",_xlfn.XLOOKUP('Bulk Order Details'!V294,RightSleeve[Display],RightSleeve[Flat]),ROUND(_xlfn.XLOOKUP('Bulk Order Details'!V294,RightSleeve[Display],RightSleeve[Pct])*$E284,2))),"")</f>
        <v/>
      </c>
      <c r="Q284" s="27" t="str">
        <f>IF('Bulk Order Details'!M294="","",SUM(F284:P284))</f>
        <v/>
      </c>
      <c r="R284" s="24" t="str">
        <f t="shared" si="21"/>
        <v/>
      </c>
      <c r="S284" s="23" t="str">
        <f>IFERROR(MIN(IF(Summary!$D$11="Yes",-J284,0),IF(H284&gt;0,-J284,0)),"")</f>
        <v/>
      </c>
      <c r="T284" s="16" t="str">
        <f>IFERROR(IF(Summary!$D$10="Yes",-K284,""),"")</f>
        <v/>
      </c>
      <c r="U284" s="18" t="str">
        <f>IFERROR(IF(Summary!$D$12="Yes",-L284,""),"")</f>
        <v/>
      </c>
      <c r="V284" s="25" t="str">
        <f>IF('Bulk Order Details'!M294="","",SUM(R284:U284))</f>
        <v/>
      </c>
      <c r="W284" s="36" t="str">
        <f>IF('Bulk Order Details'!M294="","",D284+Q284)</f>
        <v/>
      </c>
      <c r="X284" s="37" t="str">
        <f>IF('Bulk Order Details'!M294="","",D284+Q284+V284)</f>
        <v/>
      </c>
      <c r="Y284" s="168" t="str">
        <f t="shared" si="20"/>
        <v/>
      </c>
      <c r="Z284" s="173" t="str">
        <f>IF('Bulk Order Details'!M294="","",MAX(1,'Bulk Order Details'!G294))</f>
        <v/>
      </c>
      <c r="AA284" s="196" t="str">
        <f>IF(Pricing_Details[[#This Row],[Quantity]]="","",Pricing_Details[[#This Row],[Retail Price]]*Pricing_Details[[#This Row],[Quantity]])</f>
        <v/>
      </c>
      <c r="AB284" s="196" t="str">
        <f>IF(Pricing_Details[[#This Row],[Quantity]]="","",Pricing_Details[[#This Row],[Total Discount]]*Pricing_Details[[#This Row],[Quantity]])</f>
        <v/>
      </c>
      <c r="AC284" s="176" t="str">
        <f>IFERROR(ROUND(Pricing_Details[[#This Row],[Actual Price]]*Pricing_Details[[#This Row],[Quantity]],2),"")</f>
        <v/>
      </c>
      <c r="AE284" s="156" t="str">
        <f>IF('Bulk Order Details'!M294="","",VLOOKUP('Bulk Order Details'!K294,Collection[],3)&amp;VLOOKUP('Bulk Order Details'!M294,Collar[],4)&amp;VLOOKUP('Bulk Order Details'!L294,Sleeve[],4))</f>
        <v/>
      </c>
      <c r="AF284" s="156" t="str">
        <f>IF('Bulk Order Details'!M294="","",LOOKUP('Bulk Order Details'!H294,Cut[Display],Cut[Code])&amp;LOOKUP('Bulk Order Details'!I294,#REF!,#REF!)&amp;IF('Bulk Order Details'!J294="","",LOOKUP('Bulk Order Details'!J294,Length[Display],Length[Code])))</f>
        <v/>
      </c>
      <c r="AG284" s="156" t="str">
        <f>IF('Bulk Order Details'!M294="","",IF('Bulk Order Details'!F294="","",'Bulk Order Details'!F294))</f>
        <v/>
      </c>
      <c r="AH284" s="156" t="str">
        <f>IF('Bulk Order Details'!R294="","","-"&amp;LOOKUP('Bulk Order Details'!R294,#REF!,#REF!))</f>
        <v/>
      </c>
      <c r="AI284" s="156" t="str">
        <f>IF('Bulk Order Details'!S294="","","-"&amp;LOOKUP('Bulk Order Details'!S294,#REF!,#REF!))</f>
        <v/>
      </c>
      <c r="AJ284" s="156" t="str">
        <f>IF('Bulk Order Details'!T294="","","-"&amp;LOOKUP('Bulk Order Details'!T294,#REF!,#REF!))</f>
        <v/>
      </c>
      <c r="AK284" s="156" t="str">
        <f>IF('Bulk Order Details'!U294="","","-"&amp;LOOKUP('Bulk Order Details'!U294,#REF!,#REF!))</f>
        <v/>
      </c>
      <c r="AL284" s="156" t="str">
        <f>IF('Bulk Order Details'!V294="","","-"&amp;LOOKUP('Bulk Order Details'!V294,#REF!,#REF!))</f>
        <v/>
      </c>
      <c r="AM284" s="156" t="str">
        <f t="shared" si="22"/>
        <v/>
      </c>
      <c r="AN284" s="156" t="str">
        <f>IF('Bulk Order Details'!N294="","","Na-"&amp;'Bulk Order Details'!N294)</f>
        <v/>
      </c>
      <c r="AO284" s="156" t="str">
        <f>IF('Bulk Order Details'!Q294="","","Fo-"&amp;'Bulk Order Details'!Q294)</f>
        <v/>
      </c>
      <c r="AP284" s="156" t="str">
        <f t="shared" si="23"/>
        <v/>
      </c>
      <c r="AQ284" s="37" t="str">
        <f t="shared" si="24"/>
        <v/>
      </c>
    </row>
    <row r="285" spans="2:43" ht="15" customHeight="1" x14ac:dyDescent="0.2">
      <c r="B285" s="34">
        <f>'Bulk Order Details'!B295</f>
        <v>282</v>
      </c>
      <c r="C285" s="34" t="str">
        <f>IF('Bulk Order Details'!C295="","",'Bulk Order Details'!C295&amp;" "&amp;'Bulk Order Details'!D295)</f>
        <v/>
      </c>
      <c r="D285" s="31" t="str">
        <f>IF('Bulk Order Details'!M295="","",VLOOKUP(1,Price[],3))</f>
        <v/>
      </c>
      <c r="E285" s="29" t="str">
        <f>IF('Bulk Order Details'!M295="","",Summary!$D$9)</f>
        <v/>
      </c>
      <c r="F285" s="16" t="str">
        <f>IF('Bulk Order Details'!I295="","",_xlfn.XLOOKUP('Bulk Order Details'!I295,Size[Display],Size[Price]))</f>
        <v/>
      </c>
      <c r="G285" s="16" t="str">
        <f>IF('Bulk Order Details'!J295="","",_xlfn.XLOOKUP('Bulk Order Details'!J295,Length[Display],Length[Price]))</f>
        <v/>
      </c>
      <c r="H285" s="16" t="str">
        <f>IF('Bulk Order Details'!K295="","",_xlfn.XLOOKUP('Bulk Order Details'!K295,Collection[Display],Collection[Price]))</f>
        <v/>
      </c>
      <c r="I285" s="16" t="str">
        <f>IF('Bulk Order Details'!L295="","",_xlfn.XLOOKUP('Bulk Order Details'!L295,Sleeve[Display],Sleeve[Price]))</f>
        <v/>
      </c>
      <c r="J285" s="16" t="str">
        <f>IF('Bulk Order Details'!M295="","",_xlfn.XLOOKUP('Bulk Order Details'!M295,Collar[Display],Collar[Price]))</f>
        <v/>
      </c>
      <c r="K285" s="16" t="str">
        <f>IF('Bulk Order Details'!N295="","",_xlfn.XLOOKUP("Name",Name[Name],Name[Price]))</f>
        <v/>
      </c>
      <c r="L285" s="18" t="str">
        <f>IFERROR(IF('Bulk Order Details'!R295="","",IF(_xlfn.XLOOKUP('Bulk Order Details'!R295,Logos[Display],Logos[Use])="Flat",_xlfn.XLOOKUP('Bulk Order Details'!R295,Logos[Display],Logos[Flat]),ROUND(_xlfn.XLOOKUP('Bulk Order Details'!R295,Logos[Display],Logos[Pct])*$E285,2))),"")</f>
        <v/>
      </c>
      <c r="M285" s="22" t="str">
        <f>IFERROR(IF('Bulk Order Details'!S295="","",IF(_xlfn.XLOOKUP('Bulk Order Details'!S295,Chest[Display],Chest[Use])="Flat",_xlfn.XLOOKUP('Bulk Order Details'!S295,Chest[Display],Chest[Flat]),ROUND(_xlfn.XLOOKUP('Bulk Order Details'!S295,Chest[Display],Chest[Pct])*$E285,2))),"")</f>
        <v/>
      </c>
      <c r="N285" s="22" t="str">
        <f>IFERROR(IF('Bulk Order Details'!T295="","",IF(_xlfn.XLOOKUP('Bulk Order Details'!T295,Chest[Display],Chest[Use])="Flat",_xlfn.XLOOKUP('Bulk Order Details'!T295,Chest[Display],Chest[Flat]),ROUND(_xlfn.XLOOKUP('Bulk Order Details'!T295,Chest[Display],Chest[Pct])*$E285,2))),"")</f>
        <v/>
      </c>
      <c r="O285" s="22" t="str">
        <f>IFERROR(IF('Bulk Order Details'!U295="","",IF(_xlfn.XLOOKUP('Bulk Order Details'!U295,LeftSleeve[Display],LeftSleeve[Use])="Flat",_xlfn.XLOOKUP('Bulk Order Details'!U295,LeftSleeve[Display],LeftSleeve[Flat]),ROUND(_xlfn.XLOOKUP('Bulk Order Details'!U295,LeftSleeve[Display],LeftSleeve[Pct])*$E285,2))),"")</f>
        <v/>
      </c>
      <c r="P285" s="22" t="str">
        <f>IFERROR(IF('Bulk Order Details'!V295="","",IF(_xlfn.XLOOKUP('Bulk Order Details'!V295,RightSleeve[Display],RightSleeve[Use])="Flat",_xlfn.XLOOKUP('Bulk Order Details'!V295,RightSleeve[Display],RightSleeve[Flat]),ROUND(_xlfn.XLOOKUP('Bulk Order Details'!V295,RightSleeve[Display],RightSleeve[Pct])*$E285,2))),"")</f>
        <v/>
      </c>
      <c r="Q285" s="27" t="str">
        <f>IF('Bulk Order Details'!M295="","",SUM(F285:P285))</f>
        <v/>
      </c>
      <c r="R285" s="24" t="str">
        <f t="shared" si="21"/>
        <v/>
      </c>
      <c r="S285" s="23" t="str">
        <f>IFERROR(MIN(IF(Summary!$D$11="Yes",-J285,0),IF(H285&gt;0,-J285,0)),"")</f>
        <v/>
      </c>
      <c r="T285" s="16" t="str">
        <f>IFERROR(IF(Summary!$D$10="Yes",-K285,""),"")</f>
        <v/>
      </c>
      <c r="U285" s="18" t="str">
        <f>IFERROR(IF(Summary!$D$12="Yes",-L285,""),"")</f>
        <v/>
      </c>
      <c r="V285" s="25" t="str">
        <f>IF('Bulk Order Details'!M295="","",SUM(R285:U285))</f>
        <v/>
      </c>
      <c r="W285" s="36" t="str">
        <f>IF('Bulk Order Details'!M295="","",D285+Q285)</f>
        <v/>
      </c>
      <c r="X285" s="37" t="str">
        <f>IF('Bulk Order Details'!M295="","",D285+Q285+V285)</f>
        <v/>
      </c>
      <c r="Y285" s="168" t="str">
        <f t="shared" si="20"/>
        <v/>
      </c>
      <c r="Z285" s="173" t="str">
        <f>IF('Bulk Order Details'!M295="","",MAX(1,'Bulk Order Details'!G295))</f>
        <v/>
      </c>
      <c r="AA285" s="196" t="str">
        <f>IF(Pricing_Details[[#This Row],[Quantity]]="","",Pricing_Details[[#This Row],[Retail Price]]*Pricing_Details[[#This Row],[Quantity]])</f>
        <v/>
      </c>
      <c r="AB285" s="196" t="str">
        <f>IF(Pricing_Details[[#This Row],[Quantity]]="","",Pricing_Details[[#This Row],[Total Discount]]*Pricing_Details[[#This Row],[Quantity]])</f>
        <v/>
      </c>
      <c r="AC285" s="176" t="str">
        <f>IFERROR(ROUND(Pricing_Details[[#This Row],[Actual Price]]*Pricing_Details[[#This Row],[Quantity]],2),"")</f>
        <v/>
      </c>
      <c r="AE285" s="156" t="str">
        <f>IF('Bulk Order Details'!M295="","",VLOOKUP('Bulk Order Details'!K295,Collection[],3)&amp;VLOOKUP('Bulk Order Details'!M295,Collar[],4)&amp;VLOOKUP('Bulk Order Details'!L295,Sleeve[],4))</f>
        <v/>
      </c>
      <c r="AF285" s="156" t="str">
        <f>IF('Bulk Order Details'!M295="","",LOOKUP('Bulk Order Details'!H295,Cut[Display],Cut[Code])&amp;LOOKUP('Bulk Order Details'!I295,#REF!,#REF!)&amp;IF('Bulk Order Details'!J295="","",LOOKUP('Bulk Order Details'!J295,Length[Display],Length[Code])))</f>
        <v/>
      </c>
      <c r="AG285" s="156" t="str">
        <f>IF('Bulk Order Details'!M295="","",IF('Bulk Order Details'!F295="","",'Bulk Order Details'!F295))</f>
        <v/>
      </c>
      <c r="AH285" s="156" t="str">
        <f>IF('Bulk Order Details'!R295="","","-"&amp;LOOKUP('Bulk Order Details'!R295,#REF!,#REF!))</f>
        <v/>
      </c>
      <c r="AI285" s="156" t="str">
        <f>IF('Bulk Order Details'!S295="","","-"&amp;LOOKUP('Bulk Order Details'!S295,#REF!,#REF!))</f>
        <v/>
      </c>
      <c r="AJ285" s="156" t="str">
        <f>IF('Bulk Order Details'!T295="","","-"&amp;LOOKUP('Bulk Order Details'!T295,#REF!,#REF!))</f>
        <v/>
      </c>
      <c r="AK285" s="156" t="str">
        <f>IF('Bulk Order Details'!U295="","","-"&amp;LOOKUP('Bulk Order Details'!U295,#REF!,#REF!))</f>
        <v/>
      </c>
      <c r="AL285" s="156" t="str">
        <f>IF('Bulk Order Details'!V295="","","-"&amp;LOOKUP('Bulk Order Details'!V295,#REF!,#REF!))</f>
        <v/>
      </c>
      <c r="AM285" s="156" t="str">
        <f t="shared" si="22"/>
        <v/>
      </c>
      <c r="AN285" s="156" t="str">
        <f>IF('Bulk Order Details'!N295="","","Na-"&amp;'Bulk Order Details'!N295)</f>
        <v/>
      </c>
      <c r="AO285" s="156" t="str">
        <f>IF('Bulk Order Details'!Q295="","","Fo-"&amp;'Bulk Order Details'!Q295)</f>
        <v/>
      </c>
      <c r="AP285" s="156" t="str">
        <f t="shared" si="23"/>
        <v/>
      </c>
      <c r="AQ285" s="37" t="str">
        <f t="shared" si="24"/>
        <v/>
      </c>
    </row>
    <row r="286" spans="2:43" ht="15" customHeight="1" x14ac:dyDescent="0.2">
      <c r="B286" s="34">
        <f>'Bulk Order Details'!B296</f>
        <v>283</v>
      </c>
      <c r="C286" s="34" t="str">
        <f>IF('Bulk Order Details'!C296="","",'Bulk Order Details'!C296&amp;" "&amp;'Bulk Order Details'!D296)</f>
        <v/>
      </c>
      <c r="D286" s="31" t="str">
        <f>IF('Bulk Order Details'!M296="","",VLOOKUP(1,Price[],3))</f>
        <v/>
      </c>
      <c r="E286" s="29" t="str">
        <f>IF('Bulk Order Details'!M296="","",Summary!$D$9)</f>
        <v/>
      </c>
      <c r="F286" s="16" t="str">
        <f>IF('Bulk Order Details'!I296="","",_xlfn.XLOOKUP('Bulk Order Details'!I296,Size[Display],Size[Price]))</f>
        <v/>
      </c>
      <c r="G286" s="16" t="str">
        <f>IF('Bulk Order Details'!J296="","",_xlfn.XLOOKUP('Bulk Order Details'!J296,Length[Display],Length[Price]))</f>
        <v/>
      </c>
      <c r="H286" s="16" t="str">
        <f>IF('Bulk Order Details'!K296="","",_xlfn.XLOOKUP('Bulk Order Details'!K296,Collection[Display],Collection[Price]))</f>
        <v/>
      </c>
      <c r="I286" s="16" t="str">
        <f>IF('Bulk Order Details'!L296="","",_xlfn.XLOOKUP('Bulk Order Details'!L296,Sleeve[Display],Sleeve[Price]))</f>
        <v/>
      </c>
      <c r="J286" s="16" t="str">
        <f>IF('Bulk Order Details'!M296="","",_xlfn.XLOOKUP('Bulk Order Details'!M296,Collar[Display],Collar[Price]))</f>
        <v/>
      </c>
      <c r="K286" s="16" t="str">
        <f>IF('Bulk Order Details'!N296="","",_xlfn.XLOOKUP("Name",Name[Name],Name[Price]))</f>
        <v/>
      </c>
      <c r="L286" s="18" t="str">
        <f>IFERROR(IF('Bulk Order Details'!R296="","",IF(_xlfn.XLOOKUP('Bulk Order Details'!R296,Logos[Display],Logos[Use])="Flat",_xlfn.XLOOKUP('Bulk Order Details'!R296,Logos[Display],Logos[Flat]),ROUND(_xlfn.XLOOKUP('Bulk Order Details'!R296,Logos[Display],Logos[Pct])*$E286,2))),"")</f>
        <v/>
      </c>
      <c r="M286" s="22" t="str">
        <f>IFERROR(IF('Bulk Order Details'!S296="","",IF(_xlfn.XLOOKUP('Bulk Order Details'!S296,Chest[Display],Chest[Use])="Flat",_xlfn.XLOOKUP('Bulk Order Details'!S296,Chest[Display],Chest[Flat]),ROUND(_xlfn.XLOOKUP('Bulk Order Details'!S296,Chest[Display],Chest[Pct])*$E286,2))),"")</f>
        <v/>
      </c>
      <c r="N286" s="22" t="str">
        <f>IFERROR(IF('Bulk Order Details'!T296="","",IF(_xlfn.XLOOKUP('Bulk Order Details'!T296,Chest[Display],Chest[Use])="Flat",_xlfn.XLOOKUP('Bulk Order Details'!T296,Chest[Display],Chest[Flat]),ROUND(_xlfn.XLOOKUP('Bulk Order Details'!T296,Chest[Display],Chest[Pct])*$E286,2))),"")</f>
        <v/>
      </c>
      <c r="O286" s="22" t="str">
        <f>IFERROR(IF('Bulk Order Details'!U296="","",IF(_xlfn.XLOOKUP('Bulk Order Details'!U296,LeftSleeve[Display],LeftSleeve[Use])="Flat",_xlfn.XLOOKUP('Bulk Order Details'!U296,LeftSleeve[Display],LeftSleeve[Flat]),ROUND(_xlfn.XLOOKUP('Bulk Order Details'!U296,LeftSleeve[Display],LeftSleeve[Pct])*$E286,2))),"")</f>
        <v/>
      </c>
      <c r="P286" s="22" t="str">
        <f>IFERROR(IF('Bulk Order Details'!V296="","",IF(_xlfn.XLOOKUP('Bulk Order Details'!V296,RightSleeve[Display],RightSleeve[Use])="Flat",_xlfn.XLOOKUP('Bulk Order Details'!V296,RightSleeve[Display],RightSleeve[Flat]),ROUND(_xlfn.XLOOKUP('Bulk Order Details'!V296,RightSleeve[Display],RightSleeve[Pct])*$E286,2))),"")</f>
        <v/>
      </c>
      <c r="Q286" s="27" t="str">
        <f>IF('Bulk Order Details'!M296="","",SUM(F286:P286))</f>
        <v/>
      </c>
      <c r="R286" s="24" t="str">
        <f t="shared" si="21"/>
        <v/>
      </c>
      <c r="S286" s="23" t="str">
        <f>IFERROR(MIN(IF(Summary!$D$11="Yes",-J286,0),IF(H286&gt;0,-J286,0)),"")</f>
        <v/>
      </c>
      <c r="T286" s="16" t="str">
        <f>IFERROR(IF(Summary!$D$10="Yes",-K286,""),"")</f>
        <v/>
      </c>
      <c r="U286" s="18" t="str">
        <f>IFERROR(IF(Summary!$D$12="Yes",-L286,""),"")</f>
        <v/>
      </c>
      <c r="V286" s="25" t="str">
        <f>IF('Bulk Order Details'!M296="","",SUM(R286:U286))</f>
        <v/>
      </c>
      <c r="W286" s="36" t="str">
        <f>IF('Bulk Order Details'!M296="","",D286+Q286)</f>
        <v/>
      </c>
      <c r="X286" s="37" t="str">
        <f>IF('Bulk Order Details'!M296="","",D286+Q286+V286)</f>
        <v/>
      </c>
      <c r="Y286" s="168" t="str">
        <f t="shared" si="20"/>
        <v/>
      </c>
      <c r="Z286" s="173" t="str">
        <f>IF('Bulk Order Details'!M296="","",MAX(1,'Bulk Order Details'!G296))</f>
        <v/>
      </c>
      <c r="AA286" s="196" t="str">
        <f>IF(Pricing_Details[[#This Row],[Quantity]]="","",Pricing_Details[[#This Row],[Retail Price]]*Pricing_Details[[#This Row],[Quantity]])</f>
        <v/>
      </c>
      <c r="AB286" s="196" t="str">
        <f>IF(Pricing_Details[[#This Row],[Quantity]]="","",Pricing_Details[[#This Row],[Total Discount]]*Pricing_Details[[#This Row],[Quantity]])</f>
        <v/>
      </c>
      <c r="AC286" s="176" t="str">
        <f>IFERROR(ROUND(Pricing_Details[[#This Row],[Actual Price]]*Pricing_Details[[#This Row],[Quantity]],2),"")</f>
        <v/>
      </c>
      <c r="AE286" s="156" t="str">
        <f>IF('Bulk Order Details'!M296="","",VLOOKUP('Bulk Order Details'!K296,Collection[],3)&amp;VLOOKUP('Bulk Order Details'!M296,Collar[],4)&amp;VLOOKUP('Bulk Order Details'!L296,Sleeve[],4))</f>
        <v/>
      </c>
      <c r="AF286" s="156" t="str">
        <f>IF('Bulk Order Details'!M296="","",LOOKUP('Bulk Order Details'!H296,Cut[Display],Cut[Code])&amp;LOOKUP('Bulk Order Details'!I296,#REF!,#REF!)&amp;IF('Bulk Order Details'!J296="","",LOOKUP('Bulk Order Details'!J296,Length[Display],Length[Code])))</f>
        <v/>
      </c>
      <c r="AG286" s="156" t="str">
        <f>IF('Bulk Order Details'!M296="","",IF('Bulk Order Details'!F296="","",'Bulk Order Details'!F296))</f>
        <v/>
      </c>
      <c r="AH286" s="156" t="str">
        <f>IF('Bulk Order Details'!R296="","","-"&amp;LOOKUP('Bulk Order Details'!R296,#REF!,#REF!))</f>
        <v/>
      </c>
      <c r="AI286" s="156" t="str">
        <f>IF('Bulk Order Details'!S296="","","-"&amp;LOOKUP('Bulk Order Details'!S296,#REF!,#REF!))</f>
        <v/>
      </c>
      <c r="AJ286" s="156" t="str">
        <f>IF('Bulk Order Details'!T296="","","-"&amp;LOOKUP('Bulk Order Details'!T296,#REF!,#REF!))</f>
        <v/>
      </c>
      <c r="AK286" s="156" t="str">
        <f>IF('Bulk Order Details'!U296="","","-"&amp;LOOKUP('Bulk Order Details'!U296,#REF!,#REF!))</f>
        <v/>
      </c>
      <c r="AL286" s="156" t="str">
        <f>IF('Bulk Order Details'!V296="","","-"&amp;LOOKUP('Bulk Order Details'!V296,#REF!,#REF!))</f>
        <v/>
      </c>
      <c r="AM286" s="156" t="str">
        <f t="shared" si="22"/>
        <v/>
      </c>
      <c r="AN286" s="156" t="str">
        <f>IF('Bulk Order Details'!N296="","","Na-"&amp;'Bulk Order Details'!N296)</f>
        <v/>
      </c>
      <c r="AO286" s="156" t="str">
        <f>IF('Bulk Order Details'!Q296="","","Fo-"&amp;'Bulk Order Details'!Q296)</f>
        <v/>
      </c>
      <c r="AP286" s="156" t="str">
        <f t="shared" si="23"/>
        <v/>
      </c>
      <c r="AQ286" s="37" t="str">
        <f t="shared" si="24"/>
        <v/>
      </c>
    </row>
    <row r="287" spans="2:43" ht="15" customHeight="1" x14ac:dyDescent="0.2">
      <c r="B287" s="34">
        <f>'Bulk Order Details'!B297</f>
        <v>284</v>
      </c>
      <c r="C287" s="34" t="str">
        <f>IF('Bulk Order Details'!C297="","",'Bulk Order Details'!C297&amp;" "&amp;'Bulk Order Details'!D297)</f>
        <v/>
      </c>
      <c r="D287" s="31" t="str">
        <f>IF('Bulk Order Details'!M297="","",VLOOKUP(1,Price[],3))</f>
        <v/>
      </c>
      <c r="E287" s="29" t="str">
        <f>IF('Bulk Order Details'!M297="","",Summary!$D$9)</f>
        <v/>
      </c>
      <c r="F287" s="16" t="str">
        <f>IF('Bulk Order Details'!I297="","",_xlfn.XLOOKUP('Bulk Order Details'!I297,Size[Display],Size[Price]))</f>
        <v/>
      </c>
      <c r="G287" s="16" t="str">
        <f>IF('Bulk Order Details'!J297="","",_xlfn.XLOOKUP('Bulk Order Details'!J297,Length[Display],Length[Price]))</f>
        <v/>
      </c>
      <c r="H287" s="16" t="str">
        <f>IF('Bulk Order Details'!K297="","",_xlfn.XLOOKUP('Bulk Order Details'!K297,Collection[Display],Collection[Price]))</f>
        <v/>
      </c>
      <c r="I287" s="16" t="str">
        <f>IF('Bulk Order Details'!L297="","",_xlfn.XLOOKUP('Bulk Order Details'!L297,Sleeve[Display],Sleeve[Price]))</f>
        <v/>
      </c>
      <c r="J287" s="16" t="str">
        <f>IF('Bulk Order Details'!M297="","",_xlfn.XLOOKUP('Bulk Order Details'!M297,Collar[Display],Collar[Price]))</f>
        <v/>
      </c>
      <c r="K287" s="16" t="str">
        <f>IF('Bulk Order Details'!N297="","",_xlfn.XLOOKUP("Name",Name[Name],Name[Price]))</f>
        <v/>
      </c>
      <c r="L287" s="18" t="str">
        <f>IFERROR(IF('Bulk Order Details'!R297="","",IF(_xlfn.XLOOKUP('Bulk Order Details'!R297,Logos[Display],Logos[Use])="Flat",_xlfn.XLOOKUP('Bulk Order Details'!R297,Logos[Display],Logos[Flat]),ROUND(_xlfn.XLOOKUP('Bulk Order Details'!R297,Logos[Display],Logos[Pct])*$E287,2))),"")</f>
        <v/>
      </c>
      <c r="M287" s="22" t="str">
        <f>IFERROR(IF('Bulk Order Details'!S297="","",IF(_xlfn.XLOOKUP('Bulk Order Details'!S297,Chest[Display],Chest[Use])="Flat",_xlfn.XLOOKUP('Bulk Order Details'!S297,Chest[Display],Chest[Flat]),ROUND(_xlfn.XLOOKUP('Bulk Order Details'!S297,Chest[Display],Chest[Pct])*$E287,2))),"")</f>
        <v/>
      </c>
      <c r="N287" s="22" t="str">
        <f>IFERROR(IF('Bulk Order Details'!T297="","",IF(_xlfn.XLOOKUP('Bulk Order Details'!T297,Chest[Display],Chest[Use])="Flat",_xlfn.XLOOKUP('Bulk Order Details'!T297,Chest[Display],Chest[Flat]),ROUND(_xlfn.XLOOKUP('Bulk Order Details'!T297,Chest[Display],Chest[Pct])*$E287,2))),"")</f>
        <v/>
      </c>
      <c r="O287" s="22" t="str">
        <f>IFERROR(IF('Bulk Order Details'!U297="","",IF(_xlfn.XLOOKUP('Bulk Order Details'!U297,LeftSleeve[Display],LeftSleeve[Use])="Flat",_xlfn.XLOOKUP('Bulk Order Details'!U297,LeftSleeve[Display],LeftSleeve[Flat]),ROUND(_xlfn.XLOOKUP('Bulk Order Details'!U297,LeftSleeve[Display],LeftSleeve[Pct])*$E287,2))),"")</f>
        <v/>
      </c>
      <c r="P287" s="22" t="str">
        <f>IFERROR(IF('Bulk Order Details'!V297="","",IF(_xlfn.XLOOKUP('Bulk Order Details'!V297,RightSleeve[Display],RightSleeve[Use])="Flat",_xlfn.XLOOKUP('Bulk Order Details'!V297,RightSleeve[Display],RightSleeve[Flat]),ROUND(_xlfn.XLOOKUP('Bulk Order Details'!V297,RightSleeve[Display],RightSleeve[Pct])*$E287,2))),"")</f>
        <v/>
      </c>
      <c r="Q287" s="27" t="str">
        <f>IF('Bulk Order Details'!M297="","",SUM(F287:P287))</f>
        <v/>
      </c>
      <c r="R287" s="24" t="str">
        <f t="shared" si="21"/>
        <v/>
      </c>
      <c r="S287" s="23" t="str">
        <f>IFERROR(MIN(IF(Summary!$D$11="Yes",-J287,0),IF(H287&gt;0,-J287,0)),"")</f>
        <v/>
      </c>
      <c r="T287" s="16" t="str">
        <f>IFERROR(IF(Summary!$D$10="Yes",-K287,""),"")</f>
        <v/>
      </c>
      <c r="U287" s="18" t="str">
        <f>IFERROR(IF(Summary!$D$12="Yes",-L287,""),"")</f>
        <v/>
      </c>
      <c r="V287" s="25" t="str">
        <f>IF('Bulk Order Details'!M297="","",SUM(R287:U287))</f>
        <v/>
      </c>
      <c r="W287" s="36" t="str">
        <f>IF('Bulk Order Details'!M297="","",D287+Q287)</f>
        <v/>
      </c>
      <c r="X287" s="37" t="str">
        <f>IF('Bulk Order Details'!M297="","",D287+Q287+V287)</f>
        <v/>
      </c>
      <c r="Y287" s="168" t="str">
        <f t="shared" si="20"/>
        <v/>
      </c>
      <c r="Z287" s="173" t="str">
        <f>IF('Bulk Order Details'!M297="","",MAX(1,'Bulk Order Details'!G297))</f>
        <v/>
      </c>
      <c r="AA287" s="196" t="str">
        <f>IF(Pricing_Details[[#This Row],[Quantity]]="","",Pricing_Details[[#This Row],[Retail Price]]*Pricing_Details[[#This Row],[Quantity]])</f>
        <v/>
      </c>
      <c r="AB287" s="196" t="str">
        <f>IF(Pricing_Details[[#This Row],[Quantity]]="","",Pricing_Details[[#This Row],[Total Discount]]*Pricing_Details[[#This Row],[Quantity]])</f>
        <v/>
      </c>
      <c r="AC287" s="176" t="str">
        <f>IFERROR(ROUND(Pricing_Details[[#This Row],[Actual Price]]*Pricing_Details[[#This Row],[Quantity]],2),"")</f>
        <v/>
      </c>
      <c r="AE287" s="156" t="str">
        <f>IF('Bulk Order Details'!M297="","",VLOOKUP('Bulk Order Details'!K297,Collection[],3)&amp;VLOOKUP('Bulk Order Details'!M297,Collar[],4)&amp;VLOOKUP('Bulk Order Details'!L297,Sleeve[],4))</f>
        <v/>
      </c>
      <c r="AF287" s="156" t="str">
        <f>IF('Bulk Order Details'!M297="","",LOOKUP('Bulk Order Details'!H297,Cut[Display],Cut[Code])&amp;LOOKUP('Bulk Order Details'!I297,#REF!,#REF!)&amp;IF('Bulk Order Details'!J297="","",LOOKUP('Bulk Order Details'!J297,Length[Display],Length[Code])))</f>
        <v/>
      </c>
      <c r="AG287" s="156" t="str">
        <f>IF('Bulk Order Details'!M297="","",IF('Bulk Order Details'!F297="","",'Bulk Order Details'!F297))</f>
        <v/>
      </c>
      <c r="AH287" s="156" t="str">
        <f>IF('Bulk Order Details'!R297="","","-"&amp;LOOKUP('Bulk Order Details'!R297,#REF!,#REF!))</f>
        <v/>
      </c>
      <c r="AI287" s="156" t="str">
        <f>IF('Bulk Order Details'!S297="","","-"&amp;LOOKUP('Bulk Order Details'!S297,#REF!,#REF!))</f>
        <v/>
      </c>
      <c r="AJ287" s="156" t="str">
        <f>IF('Bulk Order Details'!T297="","","-"&amp;LOOKUP('Bulk Order Details'!T297,#REF!,#REF!))</f>
        <v/>
      </c>
      <c r="AK287" s="156" t="str">
        <f>IF('Bulk Order Details'!U297="","","-"&amp;LOOKUP('Bulk Order Details'!U297,#REF!,#REF!))</f>
        <v/>
      </c>
      <c r="AL287" s="156" t="str">
        <f>IF('Bulk Order Details'!V297="","","-"&amp;LOOKUP('Bulk Order Details'!V297,#REF!,#REF!))</f>
        <v/>
      </c>
      <c r="AM287" s="156" t="str">
        <f t="shared" si="22"/>
        <v/>
      </c>
      <c r="AN287" s="156" t="str">
        <f>IF('Bulk Order Details'!N297="","","Na-"&amp;'Bulk Order Details'!N297)</f>
        <v/>
      </c>
      <c r="AO287" s="156" t="str">
        <f>IF('Bulk Order Details'!Q297="","","Fo-"&amp;'Bulk Order Details'!Q297)</f>
        <v/>
      </c>
      <c r="AP287" s="156" t="str">
        <f t="shared" si="23"/>
        <v/>
      </c>
      <c r="AQ287" s="37" t="str">
        <f t="shared" si="24"/>
        <v/>
      </c>
    </row>
    <row r="288" spans="2:43" ht="15" customHeight="1" x14ac:dyDescent="0.2">
      <c r="B288" s="34">
        <f>'Bulk Order Details'!B298</f>
        <v>285</v>
      </c>
      <c r="C288" s="34" t="str">
        <f>IF('Bulk Order Details'!C298="","",'Bulk Order Details'!C298&amp;" "&amp;'Bulk Order Details'!D298)</f>
        <v/>
      </c>
      <c r="D288" s="31" t="str">
        <f>IF('Bulk Order Details'!M298="","",VLOOKUP(1,Price[],3))</f>
        <v/>
      </c>
      <c r="E288" s="29" t="str">
        <f>IF('Bulk Order Details'!M298="","",Summary!$D$9)</f>
        <v/>
      </c>
      <c r="F288" s="16" t="str">
        <f>IF('Bulk Order Details'!I298="","",_xlfn.XLOOKUP('Bulk Order Details'!I298,Size[Display],Size[Price]))</f>
        <v/>
      </c>
      <c r="G288" s="16" t="str">
        <f>IF('Bulk Order Details'!J298="","",_xlfn.XLOOKUP('Bulk Order Details'!J298,Length[Display],Length[Price]))</f>
        <v/>
      </c>
      <c r="H288" s="16" t="str">
        <f>IF('Bulk Order Details'!K298="","",_xlfn.XLOOKUP('Bulk Order Details'!K298,Collection[Display],Collection[Price]))</f>
        <v/>
      </c>
      <c r="I288" s="16" t="str">
        <f>IF('Bulk Order Details'!L298="","",_xlfn.XLOOKUP('Bulk Order Details'!L298,Sleeve[Display],Sleeve[Price]))</f>
        <v/>
      </c>
      <c r="J288" s="16" t="str">
        <f>IF('Bulk Order Details'!M298="","",_xlfn.XLOOKUP('Bulk Order Details'!M298,Collar[Display],Collar[Price]))</f>
        <v/>
      </c>
      <c r="K288" s="16" t="str">
        <f>IF('Bulk Order Details'!N298="","",_xlfn.XLOOKUP("Name",Name[Name],Name[Price]))</f>
        <v/>
      </c>
      <c r="L288" s="18" t="str">
        <f>IFERROR(IF('Bulk Order Details'!R298="","",IF(_xlfn.XLOOKUP('Bulk Order Details'!R298,Logos[Display],Logos[Use])="Flat",_xlfn.XLOOKUP('Bulk Order Details'!R298,Logos[Display],Logos[Flat]),ROUND(_xlfn.XLOOKUP('Bulk Order Details'!R298,Logos[Display],Logos[Pct])*$E288,2))),"")</f>
        <v/>
      </c>
      <c r="M288" s="22" t="str">
        <f>IFERROR(IF('Bulk Order Details'!S298="","",IF(_xlfn.XLOOKUP('Bulk Order Details'!S298,Chest[Display],Chest[Use])="Flat",_xlfn.XLOOKUP('Bulk Order Details'!S298,Chest[Display],Chest[Flat]),ROUND(_xlfn.XLOOKUP('Bulk Order Details'!S298,Chest[Display],Chest[Pct])*$E288,2))),"")</f>
        <v/>
      </c>
      <c r="N288" s="22" t="str">
        <f>IFERROR(IF('Bulk Order Details'!T298="","",IF(_xlfn.XLOOKUP('Bulk Order Details'!T298,Chest[Display],Chest[Use])="Flat",_xlfn.XLOOKUP('Bulk Order Details'!T298,Chest[Display],Chest[Flat]),ROUND(_xlfn.XLOOKUP('Bulk Order Details'!T298,Chest[Display],Chest[Pct])*$E288,2))),"")</f>
        <v/>
      </c>
      <c r="O288" s="22" t="str">
        <f>IFERROR(IF('Bulk Order Details'!U298="","",IF(_xlfn.XLOOKUP('Bulk Order Details'!U298,LeftSleeve[Display],LeftSleeve[Use])="Flat",_xlfn.XLOOKUP('Bulk Order Details'!U298,LeftSleeve[Display],LeftSleeve[Flat]),ROUND(_xlfn.XLOOKUP('Bulk Order Details'!U298,LeftSleeve[Display],LeftSleeve[Pct])*$E288,2))),"")</f>
        <v/>
      </c>
      <c r="P288" s="22" t="str">
        <f>IFERROR(IF('Bulk Order Details'!V298="","",IF(_xlfn.XLOOKUP('Bulk Order Details'!V298,RightSleeve[Display],RightSleeve[Use])="Flat",_xlfn.XLOOKUP('Bulk Order Details'!V298,RightSleeve[Display],RightSleeve[Flat]),ROUND(_xlfn.XLOOKUP('Bulk Order Details'!V298,RightSleeve[Display],RightSleeve[Pct])*$E288,2))),"")</f>
        <v/>
      </c>
      <c r="Q288" s="27" t="str">
        <f>IF('Bulk Order Details'!M298="","",SUM(F288:P288))</f>
        <v/>
      </c>
      <c r="R288" s="24" t="str">
        <f t="shared" si="21"/>
        <v/>
      </c>
      <c r="S288" s="23" t="str">
        <f>IFERROR(MIN(IF(Summary!$D$11="Yes",-J288,0),IF(H288&gt;0,-J288,0)),"")</f>
        <v/>
      </c>
      <c r="T288" s="16" t="str">
        <f>IFERROR(IF(Summary!$D$10="Yes",-K288,""),"")</f>
        <v/>
      </c>
      <c r="U288" s="18" t="str">
        <f>IFERROR(IF(Summary!$D$12="Yes",-L288,""),"")</f>
        <v/>
      </c>
      <c r="V288" s="25" t="str">
        <f>IF('Bulk Order Details'!M298="","",SUM(R288:U288))</f>
        <v/>
      </c>
      <c r="W288" s="36" t="str">
        <f>IF('Bulk Order Details'!M298="","",D288+Q288)</f>
        <v/>
      </c>
      <c r="X288" s="37" t="str">
        <f>IF('Bulk Order Details'!M298="","",D288+Q288+V288)</f>
        <v/>
      </c>
      <c r="Y288" s="168" t="str">
        <f t="shared" si="20"/>
        <v/>
      </c>
      <c r="Z288" s="173" t="str">
        <f>IF('Bulk Order Details'!M298="","",MAX(1,'Bulk Order Details'!G298))</f>
        <v/>
      </c>
      <c r="AA288" s="196" t="str">
        <f>IF(Pricing_Details[[#This Row],[Quantity]]="","",Pricing_Details[[#This Row],[Retail Price]]*Pricing_Details[[#This Row],[Quantity]])</f>
        <v/>
      </c>
      <c r="AB288" s="196" t="str">
        <f>IF(Pricing_Details[[#This Row],[Quantity]]="","",Pricing_Details[[#This Row],[Total Discount]]*Pricing_Details[[#This Row],[Quantity]])</f>
        <v/>
      </c>
      <c r="AC288" s="176" t="str">
        <f>IFERROR(ROUND(Pricing_Details[[#This Row],[Actual Price]]*Pricing_Details[[#This Row],[Quantity]],2),"")</f>
        <v/>
      </c>
      <c r="AE288" s="156" t="str">
        <f>IF('Bulk Order Details'!M298="","",VLOOKUP('Bulk Order Details'!K298,Collection[],3)&amp;VLOOKUP('Bulk Order Details'!M298,Collar[],4)&amp;VLOOKUP('Bulk Order Details'!L298,Sleeve[],4))</f>
        <v/>
      </c>
      <c r="AF288" s="156" t="str">
        <f>IF('Bulk Order Details'!M298="","",LOOKUP('Bulk Order Details'!H298,Cut[Display],Cut[Code])&amp;LOOKUP('Bulk Order Details'!I298,#REF!,#REF!)&amp;IF('Bulk Order Details'!J298="","",LOOKUP('Bulk Order Details'!J298,Length[Display],Length[Code])))</f>
        <v/>
      </c>
      <c r="AG288" s="156" t="str">
        <f>IF('Bulk Order Details'!M298="","",IF('Bulk Order Details'!F298="","",'Bulk Order Details'!F298))</f>
        <v/>
      </c>
      <c r="AH288" s="156" t="str">
        <f>IF('Bulk Order Details'!R298="","","-"&amp;LOOKUP('Bulk Order Details'!R298,#REF!,#REF!))</f>
        <v/>
      </c>
      <c r="AI288" s="156" t="str">
        <f>IF('Bulk Order Details'!S298="","","-"&amp;LOOKUP('Bulk Order Details'!S298,#REF!,#REF!))</f>
        <v/>
      </c>
      <c r="AJ288" s="156" t="str">
        <f>IF('Bulk Order Details'!T298="","","-"&amp;LOOKUP('Bulk Order Details'!T298,#REF!,#REF!))</f>
        <v/>
      </c>
      <c r="AK288" s="156" t="str">
        <f>IF('Bulk Order Details'!U298="","","-"&amp;LOOKUP('Bulk Order Details'!U298,#REF!,#REF!))</f>
        <v/>
      </c>
      <c r="AL288" s="156" t="str">
        <f>IF('Bulk Order Details'!V298="","","-"&amp;LOOKUP('Bulk Order Details'!V298,#REF!,#REF!))</f>
        <v/>
      </c>
      <c r="AM288" s="156" t="str">
        <f t="shared" si="22"/>
        <v/>
      </c>
      <c r="AN288" s="156" t="str">
        <f>IF('Bulk Order Details'!N298="","","Na-"&amp;'Bulk Order Details'!N298)</f>
        <v/>
      </c>
      <c r="AO288" s="156" t="str">
        <f>IF('Bulk Order Details'!Q298="","","Fo-"&amp;'Bulk Order Details'!Q298)</f>
        <v/>
      </c>
      <c r="AP288" s="156" t="str">
        <f t="shared" si="23"/>
        <v/>
      </c>
      <c r="AQ288" s="37" t="str">
        <f t="shared" si="24"/>
        <v/>
      </c>
    </row>
    <row r="289" spans="2:43" ht="15" customHeight="1" x14ac:dyDescent="0.2">
      <c r="B289" s="34">
        <f>'Bulk Order Details'!B299</f>
        <v>286</v>
      </c>
      <c r="C289" s="34" t="str">
        <f>IF('Bulk Order Details'!C299="","",'Bulk Order Details'!C299&amp;" "&amp;'Bulk Order Details'!D299)</f>
        <v/>
      </c>
      <c r="D289" s="31" t="str">
        <f>IF('Bulk Order Details'!M299="","",VLOOKUP(1,Price[],3))</f>
        <v/>
      </c>
      <c r="E289" s="29" t="str">
        <f>IF('Bulk Order Details'!M299="","",Summary!$D$9)</f>
        <v/>
      </c>
      <c r="F289" s="16" t="str">
        <f>IF('Bulk Order Details'!I299="","",_xlfn.XLOOKUP('Bulk Order Details'!I299,Size[Display],Size[Price]))</f>
        <v/>
      </c>
      <c r="G289" s="16" t="str">
        <f>IF('Bulk Order Details'!J299="","",_xlfn.XLOOKUP('Bulk Order Details'!J299,Length[Display],Length[Price]))</f>
        <v/>
      </c>
      <c r="H289" s="16" t="str">
        <f>IF('Bulk Order Details'!K299="","",_xlfn.XLOOKUP('Bulk Order Details'!K299,Collection[Display],Collection[Price]))</f>
        <v/>
      </c>
      <c r="I289" s="16" t="str">
        <f>IF('Bulk Order Details'!L299="","",_xlfn.XLOOKUP('Bulk Order Details'!L299,Sleeve[Display],Sleeve[Price]))</f>
        <v/>
      </c>
      <c r="J289" s="16" t="str">
        <f>IF('Bulk Order Details'!M299="","",_xlfn.XLOOKUP('Bulk Order Details'!M299,Collar[Display],Collar[Price]))</f>
        <v/>
      </c>
      <c r="K289" s="16" t="str">
        <f>IF('Bulk Order Details'!N299="","",_xlfn.XLOOKUP("Name",Name[Name],Name[Price]))</f>
        <v/>
      </c>
      <c r="L289" s="18" t="str">
        <f>IFERROR(IF('Bulk Order Details'!R299="","",IF(_xlfn.XLOOKUP('Bulk Order Details'!R299,Logos[Display],Logos[Use])="Flat",_xlfn.XLOOKUP('Bulk Order Details'!R299,Logos[Display],Logos[Flat]),ROUND(_xlfn.XLOOKUP('Bulk Order Details'!R299,Logos[Display],Logos[Pct])*$E289,2))),"")</f>
        <v/>
      </c>
      <c r="M289" s="22" t="str">
        <f>IFERROR(IF('Bulk Order Details'!S299="","",IF(_xlfn.XLOOKUP('Bulk Order Details'!S299,Chest[Display],Chest[Use])="Flat",_xlfn.XLOOKUP('Bulk Order Details'!S299,Chest[Display],Chest[Flat]),ROUND(_xlfn.XLOOKUP('Bulk Order Details'!S299,Chest[Display],Chest[Pct])*$E289,2))),"")</f>
        <v/>
      </c>
      <c r="N289" s="22" t="str">
        <f>IFERROR(IF('Bulk Order Details'!T299="","",IF(_xlfn.XLOOKUP('Bulk Order Details'!T299,Chest[Display],Chest[Use])="Flat",_xlfn.XLOOKUP('Bulk Order Details'!T299,Chest[Display],Chest[Flat]),ROUND(_xlfn.XLOOKUP('Bulk Order Details'!T299,Chest[Display],Chest[Pct])*$E289,2))),"")</f>
        <v/>
      </c>
      <c r="O289" s="22" t="str">
        <f>IFERROR(IF('Bulk Order Details'!U299="","",IF(_xlfn.XLOOKUP('Bulk Order Details'!U299,LeftSleeve[Display],LeftSleeve[Use])="Flat",_xlfn.XLOOKUP('Bulk Order Details'!U299,LeftSleeve[Display],LeftSleeve[Flat]),ROUND(_xlfn.XLOOKUP('Bulk Order Details'!U299,LeftSleeve[Display],LeftSleeve[Pct])*$E289,2))),"")</f>
        <v/>
      </c>
      <c r="P289" s="22" t="str">
        <f>IFERROR(IF('Bulk Order Details'!V299="","",IF(_xlfn.XLOOKUP('Bulk Order Details'!V299,RightSleeve[Display],RightSleeve[Use])="Flat",_xlfn.XLOOKUP('Bulk Order Details'!V299,RightSleeve[Display],RightSleeve[Flat]),ROUND(_xlfn.XLOOKUP('Bulk Order Details'!V299,RightSleeve[Display],RightSleeve[Pct])*$E289,2))),"")</f>
        <v/>
      </c>
      <c r="Q289" s="27" t="str">
        <f>IF('Bulk Order Details'!M299="","",SUM(F289:P289))</f>
        <v/>
      </c>
      <c r="R289" s="24" t="str">
        <f t="shared" si="21"/>
        <v/>
      </c>
      <c r="S289" s="23" t="str">
        <f>IFERROR(MIN(IF(Summary!$D$11="Yes",-J289,0),IF(H289&gt;0,-J289,0)),"")</f>
        <v/>
      </c>
      <c r="T289" s="16" t="str">
        <f>IFERROR(IF(Summary!$D$10="Yes",-K289,""),"")</f>
        <v/>
      </c>
      <c r="U289" s="18" t="str">
        <f>IFERROR(IF(Summary!$D$12="Yes",-L289,""),"")</f>
        <v/>
      </c>
      <c r="V289" s="25" t="str">
        <f>IF('Bulk Order Details'!M299="","",SUM(R289:U289))</f>
        <v/>
      </c>
      <c r="W289" s="36" t="str">
        <f>IF('Bulk Order Details'!M299="","",D289+Q289)</f>
        <v/>
      </c>
      <c r="X289" s="37" t="str">
        <f>IF('Bulk Order Details'!M299="","",D289+Q289+V289)</f>
        <v/>
      </c>
      <c r="Y289" s="168" t="str">
        <f t="shared" si="20"/>
        <v/>
      </c>
      <c r="Z289" s="173" t="str">
        <f>IF('Bulk Order Details'!M299="","",MAX(1,'Bulk Order Details'!G299))</f>
        <v/>
      </c>
      <c r="AA289" s="196" t="str">
        <f>IF(Pricing_Details[[#This Row],[Quantity]]="","",Pricing_Details[[#This Row],[Retail Price]]*Pricing_Details[[#This Row],[Quantity]])</f>
        <v/>
      </c>
      <c r="AB289" s="196" t="str">
        <f>IF(Pricing_Details[[#This Row],[Quantity]]="","",Pricing_Details[[#This Row],[Total Discount]]*Pricing_Details[[#This Row],[Quantity]])</f>
        <v/>
      </c>
      <c r="AC289" s="176" t="str">
        <f>IFERROR(ROUND(Pricing_Details[[#This Row],[Actual Price]]*Pricing_Details[[#This Row],[Quantity]],2),"")</f>
        <v/>
      </c>
      <c r="AE289" s="156" t="str">
        <f>IF('Bulk Order Details'!M299="","",VLOOKUP('Bulk Order Details'!K299,Collection[],3)&amp;VLOOKUP('Bulk Order Details'!M299,Collar[],4)&amp;VLOOKUP('Bulk Order Details'!L299,Sleeve[],4))</f>
        <v/>
      </c>
      <c r="AF289" s="156" t="str">
        <f>IF('Bulk Order Details'!M299="","",LOOKUP('Bulk Order Details'!H299,Cut[Display],Cut[Code])&amp;LOOKUP('Bulk Order Details'!I299,#REF!,#REF!)&amp;IF('Bulk Order Details'!J299="","",LOOKUP('Bulk Order Details'!J299,Length[Display],Length[Code])))</f>
        <v/>
      </c>
      <c r="AG289" s="156" t="str">
        <f>IF('Bulk Order Details'!M299="","",IF('Bulk Order Details'!F299="","",'Bulk Order Details'!F299))</f>
        <v/>
      </c>
      <c r="AH289" s="156" t="str">
        <f>IF('Bulk Order Details'!R299="","","-"&amp;LOOKUP('Bulk Order Details'!R299,#REF!,#REF!))</f>
        <v/>
      </c>
      <c r="AI289" s="156" t="str">
        <f>IF('Bulk Order Details'!S299="","","-"&amp;LOOKUP('Bulk Order Details'!S299,#REF!,#REF!))</f>
        <v/>
      </c>
      <c r="AJ289" s="156" t="str">
        <f>IF('Bulk Order Details'!T299="","","-"&amp;LOOKUP('Bulk Order Details'!T299,#REF!,#REF!))</f>
        <v/>
      </c>
      <c r="AK289" s="156" t="str">
        <f>IF('Bulk Order Details'!U299="","","-"&amp;LOOKUP('Bulk Order Details'!U299,#REF!,#REF!))</f>
        <v/>
      </c>
      <c r="AL289" s="156" t="str">
        <f>IF('Bulk Order Details'!V299="","","-"&amp;LOOKUP('Bulk Order Details'!V299,#REF!,#REF!))</f>
        <v/>
      </c>
      <c r="AM289" s="156" t="str">
        <f t="shared" si="22"/>
        <v/>
      </c>
      <c r="AN289" s="156" t="str">
        <f>IF('Bulk Order Details'!N299="","","Na-"&amp;'Bulk Order Details'!N299)</f>
        <v/>
      </c>
      <c r="AO289" s="156" t="str">
        <f>IF('Bulk Order Details'!Q299="","","Fo-"&amp;'Bulk Order Details'!Q299)</f>
        <v/>
      </c>
      <c r="AP289" s="156" t="str">
        <f t="shared" si="23"/>
        <v/>
      </c>
      <c r="AQ289" s="37" t="str">
        <f t="shared" si="24"/>
        <v/>
      </c>
    </row>
    <row r="290" spans="2:43" ht="15" customHeight="1" x14ac:dyDescent="0.2">
      <c r="B290" s="34">
        <f>'Bulk Order Details'!B300</f>
        <v>287</v>
      </c>
      <c r="C290" s="34" t="str">
        <f>IF('Bulk Order Details'!C300="","",'Bulk Order Details'!C300&amp;" "&amp;'Bulk Order Details'!D300)</f>
        <v/>
      </c>
      <c r="D290" s="31" t="str">
        <f>IF('Bulk Order Details'!M300="","",VLOOKUP(1,Price[],3))</f>
        <v/>
      </c>
      <c r="E290" s="29" t="str">
        <f>IF('Bulk Order Details'!M300="","",Summary!$D$9)</f>
        <v/>
      </c>
      <c r="F290" s="16" t="str">
        <f>IF('Bulk Order Details'!I300="","",_xlfn.XLOOKUP('Bulk Order Details'!I300,Size[Display],Size[Price]))</f>
        <v/>
      </c>
      <c r="G290" s="16" t="str">
        <f>IF('Bulk Order Details'!J300="","",_xlfn.XLOOKUP('Bulk Order Details'!J300,Length[Display],Length[Price]))</f>
        <v/>
      </c>
      <c r="H290" s="16" t="str">
        <f>IF('Bulk Order Details'!K300="","",_xlfn.XLOOKUP('Bulk Order Details'!K300,Collection[Display],Collection[Price]))</f>
        <v/>
      </c>
      <c r="I290" s="16" t="str">
        <f>IF('Bulk Order Details'!L300="","",_xlfn.XLOOKUP('Bulk Order Details'!L300,Sleeve[Display],Sleeve[Price]))</f>
        <v/>
      </c>
      <c r="J290" s="16" t="str">
        <f>IF('Bulk Order Details'!M300="","",_xlfn.XLOOKUP('Bulk Order Details'!M300,Collar[Display],Collar[Price]))</f>
        <v/>
      </c>
      <c r="K290" s="16" t="str">
        <f>IF('Bulk Order Details'!N300="","",_xlfn.XLOOKUP("Name",Name[Name],Name[Price]))</f>
        <v/>
      </c>
      <c r="L290" s="18" t="str">
        <f>IFERROR(IF('Bulk Order Details'!R300="","",IF(_xlfn.XLOOKUP('Bulk Order Details'!R300,Logos[Display],Logos[Use])="Flat",_xlfn.XLOOKUP('Bulk Order Details'!R300,Logos[Display],Logos[Flat]),ROUND(_xlfn.XLOOKUP('Bulk Order Details'!R300,Logos[Display],Logos[Pct])*$E290,2))),"")</f>
        <v/>
      </c>
      <c r="M290" s="22" t="str">
        <f>IFERROR(IF('Bulk Order Details'!S300="","",IF(_xlfn.XLOOKUP('Bulk Order Details'!S300,Chest[Display],Chest[Use])="Flat",_xlfn.XLOOKUP('Bulk Order Details'!S300,Chest[Display],Chest[Flat]),ROUND(_xlfn.XLOOKUP('Bulk Order Details'!S300,Chest[Display],Chest[Pct])*$E290,2))),"")</f>
        <v/>
      </c>
      <c r="N290" s="22" t="str">
        <f>IFERROR(IF('Bulk Order Details'!T300="","",IF(_xlfn.XLOOKUP('Bulk Order Details'!T300,Chest[Display],Chest[Use])="Flat",_xlfn.XLOOKUP('Bulk Order Details'!T300,Chest[Display],Chest[Flat]),ROUND(_xlfn.XLOOKUP('Bulk Order Details'!T300,Chest[Display],Chest[Pct])*$E290,2))),"")</f>
        <v/>
      </c>
      <c r="O290" s="22" t="str">
        <f>IFERROR(IF('Bulk Order Details'!U300="","",IF(_xlfn.XLOOKUP('Bulk Order Details'!U300,LeftSleeve[Display],LeftSleeve[Use])="Flat",_xlfn.XLOOKUP('Bulk Order Details'!U300,LeftSleeve[Display],LeftSleeve[Flat]),ROUND(_xlfn.XLOOKUP('Bulk Order Details'!U300,LeftSleeve[Display],LeftSleeve[Pct])*$E290,2))),"")</f>
        <v/>
      </c>
      <c r="P290" s="22" t="str">
        <f>IFERROR(IF('Bulk Order Details'!V300="","",IF(_xlfn.XLOOKUP('Bulk Order Details'!V300,RightSleeve[Display],RightSleeve[Use])="Flat",_xlfn.XLOOKUP('Bulk Order Details'!V300,RightSleeve[Display],RightSleeve[Flat]),ROUND(_xlfn.XLOOKUP('Bulk Order Details'!V300,RightSleeve[Display],RightSleeve[Pct])*$E290,2))),"")</f>
        <v/>
      </c>
      <c r="Q290" s="27" t="str">
        <f>IF('Bulk Order Details'!M300="","",SUM(F290:P290))</f>
        <v/>
      </c>
      <c r="R290" s="24" t="str">
        <f t="shared" si="21"/>
        <v/>
      </c>
      <c r="S290" s="23" t="str">
        <f>IFERROR(MIN(IF(Summary!$D$11="Yes",-J290,0),IF(H290&gt;0,-J290,0)),"")</f>
        <v/>
      </c>
      <c r="T290" s="16" t="str">
        <f>IFERROR(IF(Summary!$D$10="Yes",-K290,""),"")</f>
        <v/>
      </c>
      <c r="U290" s="18" t="str">
        <f>IFERROR(IF(Summary!$D$12="Yes",-L290,""),"")</f>
        <v/>
      </c>
      <c r="V290" s="25" t="str">
        <f>IF('Bulk Order Details'!M300="","",SUM(R290:U290))</f>
        <v/>
      </c>
      <c r="W290" s="36" t="str">
        <f>IF('Bulk Order Details'!M300="","",D290+Q290)</f>
        <v/>
      </c>
      <c r="X290" s="37" t="str">
        <f>IF('Bulk Order Details'!M300="","",D290+Q290+V290)</f>
        <v/>
      </c>
      <c r="Y290" s="168" t="str">
        <f t="shared" si="20"/>
        <v/>
      </c>
      <c r="Z290" s="173" t="str">
        <f>IF('Bulk Order Details'!M300="","",MAX(1,'Bulk Order Details'!G300))</f>
        <v/>
      </c>
      <c r="AA290" s="196" t="str">
        <f>IF(Pricing_Details[[#This Row],[Quantity]]="","",Pricing_Details[[#This Row],[Retail Price]]*Pricing_Details[[#This Row],[Quantity]])</f>
        <v/>
      </c>
      <c r="AB290" s="196" t="str">
        <f>IF(Pricing_Details[[#This Row],[Quantity]]="","",Pricing_Details[[#This Row],[Total Discount]]*Pricing_Details[[#This Row],[Quantity]])</f>
        <v/>
      </c>
      <c r="AC290" s="176" t="str">
        <f>IFERROR(ROUND(Pricing_Details[[#This Row],[Actual Price]]*Pricing_Details[[#This Row],[Quantity]],2),"")</f>
        <v/>
      </c>
      <c r="AE290" s="156" t="str">
        <f>IF('Bulk Order Details'!M300="","",VLOOKUP('Bulk Order Details'!K300,Collection[],3)&amp;VLOOKUP('Bulk Order Details'!M300,Collar[],4)&amp;VLOOKUP('Bulk Order Details'!L300,Sleeve[],4))</f>
        <v/>
      </c>
      <c r="AF290" s="156" t="str">
        <f>IF('Bulk Order Details'!M300="","",LOOKUP('Bulk Order Details'!H300,Cut[Display],Cut[Code])&amp;LOOKUP('Bulk Order Details'!I300,#REF!,#REF!)&amp;IF('Bulk Order Details'!J300="","",LOOKUP('Bulk Order Details'!J300,Length[Display],Length[Code])))</f>
        <v/>
      </c>
      <c r="AG290" s="156" t="str">
        <f>IF('Bulk Order Details'!M300="","",IF('Bulk Order Details'!F300="","",'Bulk Order Details'!F300))</f>
        <v/>
      </c>
      <c r="AH290" s="156" t="str">
        <f>IF('Bulk Order Details'!R300="","","-"&amp;LOOKUP('Bulk Order Details'!R300,#REF!,#REF!))</f>
        <v/>
      </c>
      <c r="AI290" s="156" t="str">
        <f>IF('Bulk Order Details'!S300="","","-"&amp;LOOKUP('Bulk Order Details'!S300,#REF!,#REF!))</f>
        <v/>
      </c>
      <c r="AJ290" s="156" t="str">
        <f>IF('Bulk Order Details'!T300="","","-"&amp;LOOKUP('Bulk Order Details'!T300,#REF!,#REF!))</f>
        <v/>
      </c>
      <c r="AK290" s="156" t="str">
        <f>IF('Bulk Order Details'!U300="","","-"&amp;LOOKUP('Bulk Order Details'!U300,#REF!,#REF!))</f>
        <v/>
      </c>
      <c r="AL290" s="156" t="str">
        <f>IF('Bulk Order Details'!V300="","","-"&amp;LOOKUP('Bulk Order Details'!V300,#REF!,#REF!))</f>
        <v/>
      </c>
      <c r="AM290" s="156" t="str">
        <f t="shared" si="22"/>
        <v/>
      </c>
      <c r="AN290" s="156" t="str">
        <f>IF('Bulk Order Details'!N300="","","Na-"&amp;'Bulk Order Details'!N300)</f>
        <v/>
      </c>
      <c r="AO290" s="156" t="str">
        <f>IF('Bulk Order Details'!Q300="","","Fo-"&amp;'Bulk Order Details'!Q300)</f>
        <v/>
      </c>
      <c r="AP290" s="156" t="str">
        <f t="shared" si="23"/>
        <v/>
      </c>
      <c r="AQ290" s="37" t="str">
        <f t="shared" si="24"/>
        <v/>
      </c>
    </row>
    <row r="291" spans="2:43" ht="15" customHeight="1" x14ac:dyDescent="0.2">
      <c r="B291" s="34">
        <f>'Bulk Order Details'!B301</f>
        <v>288</v>
      </c>
      <c r="C291" s="34" t="str">
        <f>IF('Bulk Order Details'!C301="","",'Bulk Order Details'!C301&amp;" "&amp;'Bulk Order Details'!D301)</f>
        <v/>
      </c>
      <c r="D291" s="31" t="str">
        <f>IF('Bulk Order Details'!M301="","",VLOOKUP(1,Price[],3))</f>
        <v/>
      </c>
      <c r="E291" s="29" t="str">
        <f>IF('Bulk Order Details'!M301="","",Summary!$D$9)</f>
        <v/>
      </c>
      <c r="F291" s="16" t="str">
        <f>IF('Bulk Order Details'!I301="","",_xlfn.XLOOKUP('Bulk Order Details'!I301,Size[Display],Size[Price]))</f>
        <v/>
      </c>
      <c r="G291" s="16" t="str">
        <f>IF('Bulk Order Details'!J301="","",_xlfn.XLOOKUP('Bulk Order Details'!J301,Length[Display],Length[Price]))</f>
        <v/>
      </c>
      <c r="H291" s="16" t="str">
        <f>IF('Bulk Order Details'!K301="","",_xlfn.XLOOKUP('Bulk Order Details'!K301,Collection[Display],Collection[Price]))</f>
        <v/>
      </c>
      <c r="I291" s="16" t="str">
        <f>IF('Bulk Order Details'!L301="","",_xlfn.XLOOKUP('Bulk Order Details'!L301,Sleeve[Display],Sleeve[Price]))</f>
        <v/>
      </c>
      <c r="J291" s="16" t="str">
        <f>IF('Bulk Order Details'!M301="","",_xlfn.XLOOKUP('Bulk Order Details'!M301,Collar[Display],Collar[Price]))</f>
        <v/>
      </c>
      <c r="K291" s="16" t="str">
        <f>IF('Bulk Order Details'!N301="","",_xlfn.XLOOKUP("Name",Name[Name],Name[Price]))</f>
        <v/>
      </c>
      <c r="L291" s="18" t="str">
        <f>IFERROR(IF('Bulk Order Details'!R301="","",IF(_xlfn.XLOOKUP('Bulk Order Details'!R301,Logos[Display],Logos[Use])="Flat",_xlfn.XLOOKUP('Bulk Order Details'!R301,Logos[Display],Logos[Flat]),ROUND(_xlfn.XLOOKUP('Bulk Order Details'!R301,Logos[Display],Logos[Pct])*$E291,2))),"")</f>
        <v/>
      </c>
      <c r="M291" s="22" t="str">
        <f>IFERROR(IF('Bulk Order Details'!S301="","",IF(_xlfn.XLOOKUP('Bulk Order Details'!S301,Chest[Display],Chest[Use])="Flat",_xlfn.XLOOKUP('Bulk Order Details'!S301,Chest[Display],Chest[Flat]),ROUND(_xlfn.XLOOKUP('Bulk Order Details'!S301,Chest[Display],Chest[Pct])*$E291,2))),"")</f>
        <v/>
      </c>
      <c r="N291" s="22" t="str">
        <f>IFERROR(IF('Bulk Order Details'!T301="","",IF(_xlfn.XLOOKUP('Bulk Order Details'!T301,Chest[Display],Chest[Use])="Flat",_xlfn.XLOOKUP('Bulk Order Details'!T301,Chest[Display],Chest[Flat]),ROUND(_xlfn.XLOOKUP('Bulk Order Details'!T301,Chest[Display],Chest[Pct])*$E291,2))),"")</f>
        <v/>
      </c>
      <c r="O291" s="22" t="str">
        <f>IFERROR(IF('Bulk Order Details'!U301="","",IF(_xlfn.XLOOKUP('Bulk Order Details'!U301,LeftSleeve[Display],LeftSleeve[Use])="Flat",_xlfn.XLOOKUP('Bulk Order Details'!U301,LeftSleeve[Display],LeftSleeve[Flat]),ROUND(_xlfn.XLOOKUP('Bulk Order Details'!U301,LeftSleeve[Display],LeftSleeve[Pct])*$E291,2))),"")</f>
        <v/>
      </c>
      <c r="P291" s="22" t="str">
        <f>IFERROR(IF('Bulk Order Details'!V301="","",IF(_xlfn.XLOOKUP('Bulk Order Details'!V301,RightSleeve[Display],RightSleeve[Use])="Flat",_xlfn.XLOOKUP('Bulk Order Details'!V301,RightSleeve[Display],RightSleeve[Flat]),ROUND(_xlfn.XLOOKUP('Bulk Order Details'!V301,RightSleeve[Display],RightSleeve[Pct])*$E291,2))),"")</f>
        <v/>
      </c>
      <c r="Q291" s="27" t="str">
        <f>IF('Bulk Order Details'!M301="","",SUM(F291:P291))</f>
        <v/>
      </c>
      <c r="R291" s="24" t="str">
        <f t="shared" si="21"/>
        <v/>
      </c>
      <c r="S291" s="23" t="str">
        <f>IFERROR(MIN(IF(Summary!$D$11="Yes",-J291,0),IF(H291&gt;0,-J291,0)),"")</f>
        <v/>
      </c>
      <c r="T291" s="16" t="str">
        <f>IFERROR(IF(Summary!$D$10="Yes",-K291,""),"")</f>
        <v/>
      </c>
      <c r="U291" s="18" t="str">
        <f>IFERROR(IF(Summary!$D$12="Yes",-L291,""),"")</f>
        <v/>
      </c>
      <c r="V291" s="25" t="str">
        <f>IF('Bulk Order Details'!M301="","",SUM(R291:U291))</f>
        <v/>
      </c>
      <c r="W291" s="36" t="str">
        <f>IF('Bulk Order Details'!M301="","",D291+Q291)</f>
        <v/>
      </c>
      <c r="X291" s="37" t="str">
        <f>IF('Bulk Order Details'!M301="","",D291+Q291+V291)</f>
        <v/>
      </c>
      <c r="Y291" s="168" t="str">
        <f t="shared" si="20"/>
        <v/>
      </c>
      <c r="Z291" s="173" t="str">
        <f>IF('Bulk Order Details'!M301="","",MAX(1,'Bulk Order Details'!G301))</f>
        <v/>
      </c>
      <c r="AA291" s="196" t="str">
        <f>IF(Pricing_Details[[#This Row],[Quantity]]="","",Pricing_Details[[#This Row],[Retail Price]]*Pricing_Details[[#This Row],[Quantity]])</f>
        <v/>
      </c>
      <c r="AB291" s="196" t="str">
        <f>IF(Pricing_Details[[#This Row],[Quantity]]="","",Pricing_Details[[#This Row],[Total Discount]]*Pricing_Details[[#This Row],[Quantity]])</f>
        <v/>
      </c>
      <c r="AC291" s="176" t="str">
        <f>IFERROR(ROUND(Pricing_Details[[#This Row],[Actual Price]]*Pricing_Details[[#This Row],[Quantity]],2),"")</f>
        <v/>
      </c>
      <c r="AE291" s="156" t="str">
        <f>IF('Bulk Order Details'!M301="","",VLOOKUP('Bulk Order Details'!K301,Collection[],3)&amp;VLOOKUP('Bulk Order Details'!M301,Collar[],4)&amp;VLOOKUP('Bulk Order Details'!L301,Sleeve[],4))</f>
        <v/>
      </c>
      <c r="AF291" s="156" t="str">
        <f>IF('Bulk Order Details'!M301="","",LOOKUP('Bulk Order Details'!H301,Cut[Display],Cut[Code])&amp;LOOKUP('Bulk Order Details'!I301,#REF!,#REF!)&amp;IF('Bulk Order Details'!J301="","",LOOKUP('Bulk Order Details'!J301,Length[Display],Length[Code])))</f>
        <v/>
      </c>
      <c r="AG291" s="156" t="str">
        <f>IF('Bulk Order Details'!M301="","",IF('Bulk Order Details'!F301="","",'Bulk Order Details'!F301))</f>
        <v/>
      </c>
      <c r="AH291" s="156" t="str">
        <f>IF('Bulk Order Details'!R301="","","-"&amp;LOOKUP('Bulk Order Details'!R301,#REF!,#REF!))</f>
        <v/>
      </c>
      <c r="AI291" s="156" t="str">
        <f>IF('Bulk Order Details'!S301="","","-"&amp;LOOKUP('Bulk Order Details'!S301,#REF!,#REF!))</f>
        <v/>
      </c>
      <c r="AJ291" s="156" t="str">
        <f>IF('Bulk Order Details'!T301="","","-"&amp;LOOKUP('Bulk Order Details'!T301,#REF!,#REF!))</f>
        <v/>
      </c>
      <c r="AK291" s="156" t="str">
        <f>IF('Bulk Order Details'!U301="","","-"&amp;LOOKUP('Bulk Order Details'!U301,#REF!,#REF!))</f>
        <v/>
      </c>
      <c r="AL291" s="156" t="str">
        <f>IF('Bulk Order Details'!V301="","","-"&amp;LOOKUP('Bulk Order Details'!V301,#REF!,#REF!))</f>
        <v/>
      </c>
      <c r="AM291" s="156" t="str">
        <f t="shared" si="22"/>
        <v/>
      </c>
      <c r="AN291" s="156" t="str">
        <f>IF('Bulk Order Details'!N301="","","Na-"&amp;'Bulk Order Details'!N301)</f>
        <v/>
      </c>
      <c r="AO291" s="156" t="str">
        <f>IF('Bulk Order Details'!Q301="","","Fo-"&amp;'Bulk Order Details'!Q301)</f>
        <v/>
      </c>
      <c r="AP291" s="156" t="str">
        <f t="shared" si="23"/>
        <v/>
      </c>
      <c r="AQ291" s="37" t="str">
        <f t="shared" si="24"/>
        <v/>
      </c>
    </row>
    <row r="292" spans="2:43" ht="15" customHeight="1" x14ac:dyDescent="0.2">
      <c r="B292" s="34">
        <f>'Bulk Order Details'!B302</f>
        <v>289</v>
      </c>
      <c r="C292" s="34" t="str">
        <f>IF('Bulk Order Details'!C302="","",'Bulk Order Details'!C302&amp;" "&amp;'Bulk Order Details'!D302)</f>
        <v/>
      </c>
      <c r="D292" s="31" t="str">
        <f>IF('Bulk Order Details'!M302="","",VLOOKUP(1,Price[],3))</f>
        <v/>
      </c>
      <c r="E292" s="29" t="str">
        <f>IF('Bulk Order Details'!M302="","",Summary!$D$9)</f>
        <v/>
      </c>
      <c r="F292" s="16" t="str">
        <f>IF('Bulk Order Details'!I302="","",_xlfn.XLOOKUP('Bulk Order Details'!I302,Size[Display],Size[Price]))</f>
        <v/>
      </c>
      <c r="G292" s="16" t="str">
        <f>IF('Bulk Order Details'!J302="","",_xlfn.XLOOKUP('Bulk Order Details'!J302,Length[Display],Length[Price]))</f>
        <v/>
      </c>
      <c r="H292" s="16" t="str">
        <f>IF('Bulk Order Details'!K302="","",_xlfn.XLOOKUP('Bulk Order Details'!K302,Collection[Display],Collection[Price]))</f>
        <v/>
      </c>
      <c r="I292" s="16" t="str">
        <f>IF('Bulk Order Details'!L302="","",_xlfn.XLOOKUP('Bulk Order Details'!L302,Sleeve[Display],Sleeve[Price]))</f>
        <v/>
      </c>
      <c r="J292" s="16" t="str">
        <f>IF('Bulk Order Details'!M302="","",_xlfn.XLOOKUP('Bulk Order Details'!M302,Collar[Display],Collar[Price]))</f>
        <v/>
      </c>
      <c r="K292" s="16" t="str">
        <f>IF('Bulk Order Details'!N302="","",_xlfn.XLOOKUP("Name",Name[Name],Name[Price]))</f>
        <v/>
      </c>
      <c r="L292" s="18" t="str">
        <f>IFERROR(IF('Bulk Order Details'!R302="","",IF(_xlfn.XLOOKUP('Bulk Order Details'!R302,Logos[Display],Logos[Use])="Flat",_xlfn.XLOOKUP('Bulk Order Details'!R302,Logos[Display],Logos[Flat]),ROUND(_xlfn.XLOOKUP('Bulk Order Details'!R302,Logos[Display],Logos[Pct])*$E292,2))),"")</f>
        <v/>
      </c>
      <c r="M292" s="22" t="str">
        <f>IFERROR(IF('Bulk Order Details'!S302="","",IF(_xlfn.XLOOKUP('Bulk Order Details'!S302,Chest[Display],Chest[Use])="Flat",_xlfn.XLOOKUP('Bulk Order Details'!S302,Chest[Display],Chest[Flat]),ROUND(_xlfn.XLOOKUP('Bulk Order Details'!S302,Chest[Display],Chest[Pct])*$E292,2))),"")</f>
        <v/>
      </c>
      <c r="N292" s="22" t="str">
        <f>IFERROR(IF('Bulk Order Details'!T302="","",IF(_xlfn.XLOOKUP('Bulk Order Details'!T302,Chest[Display],Chest[Use])="Flat",_xlfn.XLOOKUP('Bulk Order Details'!T302,Chest[Display],Chest[Flat]),ROUND(_xlfn.XLOOKUP('Bulk Order Details'!T302,Chest[Display],Chest[Pct])*$E292,2))),"")</f>
        <v/>
      </c>
      <c r="O292" s="22" t="str">
        <f>IFERROR(IF('Bulk Order Details'!U302="","",IF(_xlfn.XLOOKUP('Bulk Order Details'!U302,LeftSleeve[Display],LeftSleeve[Use])="Flat",_xlfn.XLOOKUP('Bulk Order Details'!U302,LeftSleeve[Display],LeftSleeve[Flat]),ROUND(_xlfn.XLOOKUP('Bulk Order Details'!U302,LeftSleeve[Display],LeftSleeve[Pct])*$E292,2))),"")</f>
        <v/>
      </c>
      <c r="P292" s="22" t="str">
        <f>IFERROR(IF('Bulk Order Details'!V302="","",IF(_xlfn.XLOOKUP('Bulk Order Details'!V302,RightSleeve[Display],RightSleeve[Use])="Flat",_xlfn.XLOOKUP('Bulk Order Details'!V302,RightSleeve[Display],RightSleeve[Flat]),ROUND(_xlfn.XLOOKUP('Bulk Order Details'!V302,RightSleeve[Display],RightSleeve[Pct])*$E292,2))),"")</f>
        <v/>
      </c>
      <c r="Q292" s="27" t="str">
        <f>IF('Bulk Order Details'!M302="","",SUM(F292:P292))</f>
        <v/>
      </c>
      <c r="R292" s="24" t="str">
        <f t="shared" si="21"/>
        <v/>
      </c>
      <c r="S292" s="23" t="str">
        <f>IFERROR(MIN(IF(Summary!$D$11="Yes",-J292,0),IF(H292&gt;0,-J292,0)),"")</f>
        <v/>
      </c>
      <c r="T292" s="16" t="str">
        <f>IFERROR(IF(Summary!$D$10="Yes",-K292,""),"")</f>
        <v/>
      </c>
      <c r="U292" s="18" t="str">
        <f>IFERROR(IF(Summary!$D$12="Yes",-L292,""),"")</f>
        <v/>
      </c>
      <c r="V292" s="25" t="str">
        <f>IF('Bulk Order Details'!M302="","",SUM(R292:U292))</f>
        <v/>
      </c>
      <c r="W292" s="36" t="str">
        <f>IF('Bulk Order Details'!M302="","",D292+Q292)</f>
        <v/>
      </c>
      <c r="X292" s="37" t="str">
        <f>IF('Bulk Order Details'!M302="","",D292+Q292+V292)</f>
        <v/>
      </c>
      <c r="Y292" s="168" t="str">
        <f t="shared" si="20"/>
        <v/>
      </c>
      <c r="Z292" s="173" t="str">
        <f>IF('Bulk Order Details'!M302="","",MAX(1,'Bulk Order Details'!G302))</f>
        <v/>
      </c>
      <c r="AA292" s="196" t="str">
        <f>IF(Pricing_Details[[#This Row],[Quantity]]="","",Pricing_Details[[#This Row],[Retail Price]]*Pricing_Details[[#This Row],[Quantity]])</f>
        <v/>
      </c>
      <c r="AB292" s="196" t="str">
        <f>IF(Pricing_Details[[#This Row],[Quantity]]="","",Pricing_Details[[#This Row],[Total Discount]]*Pricing_Details[[#This Row],[Quantity]])</f>
        <v/>
      </c>
      <c r="AC292" s="176" t="str">
        <f>IFERROR(ROUND(Pricing_Details[[#This Row],[Actual Price]]*Pricing_Details[[#This Row],[Quantity]],2),"")</f>
        <v/>
      </c>
      <c r="AE292" s="156" t="str">
        <f>IF('Bulk Order Details'!M302="","",VLOOKUP('Bulk Order Details'!K302,Collection[],3)&amp;VLOOKUP('Bulk Order Details'!M302,Collar[],4)&amp;VLOOKUP('Bulk Order Details'!L302,Sleeve[],4))</f>
        <v/>
      </c>
      <c r="AF292" s="156" t="str">
        <f>IF('Bulk Order Details'!M302="","",LOOKUP('Bulk Order Details'!H302,Cut[Display],Cut[Code])&amp;LOOKUP('Bulk Order Details'!I302,#REF!,#REF!)&amp;IF('Bulk Order Details'!J302="","",LOOKUP('Bulk Order Details'!J302,Length[Display],Length[Code])))</f>
        <v/>
      </c>
      <c r="AG292" s="156" t="str">
        <f>IF('Bulk Order Details'!M302="","",IF('Bulk Order Details'!F302="","",'Bulk Order Details'!F302))</f>
        <v/>
      </c>
      <c r="AH292" s="156" t="str">
        <f>IF('Bulk Order Details'!R302="","","-"&amp;LOOKUP('Bulk Order Details'!R302,#REF!,#REF!))</f>
        <v/>
      </c>
      <c r="AI292" s="156" t="str">
        <f>IF('Bulk Order Details'!S302="","","-"&amp;LOOKUP('Bulk Order Details'!S302,#REF!,#REF!))</f>
        <v/>
      </c>
      <c r="AJ292" s="156" t="str">
        <f>IF('Bulk Order Details'!T302="","","-"&amp;LOOKUP('Bulk Order Details'!T302,#REF!,#REF!))</f>
        <v/>
      </c>
      <c r="AK292" s="156" t="str">
        <f>IF('Bulk Order Details'!U302="","","-"&amp;LOOKUP('Bulk Order Details'!U302,#REF!,#REF!))</f>
        <v/>
      </c>
      <c r="AL292" s="156" t="str">
        <f>IF('Bulk Order Details'!V302="","","-"&amp;LOOKUP('Bulk Order Details'!V302,#REF!,#REF!))</f>
        <v/>
      </c>
      <c r="AM292" s="156" t="str">
        <f t="shared" si="22"/>
        <v/>
      </c>
      <c r="AN292" s="156" t="str">
        <f>IF('Bulk Order Details'!N302="","","Na-"&amp;'Bulk Order Details'!N302)</f>
        <v/>
      </c>
      <c r="AO292" s="156" t="str">
        <f>IF('Bulk Order Details'!Q302="","","Fo-"&amp;'Bulk Order Details'!Q302)</f>
        <v/>
      </c>
      <c r="AP292" s="156" t="str">
        <f t="shared" si="23"/>
        <v/>
      </c>
      <c r="AQ292" s="37" t="str">
        <f t="shared" si="24"/>
        <v/>
      </c>
    </row>
    <row r="293" spans="2:43" ht="15" customHeight="1" x14ac:dyDescent="0.2">
      <c r="B293" s="34">
        <f>'Bulk Order Details'!B303</f>
        <v>290</v>
      </c>
      <c r="C293" s="34" t="str">
        <f>IF('Bulk Order Details'!C303="","",'Bulk Order Details'!C303&amp;" "&amp;'Bulk Order Details'!D303)</f>
        <v/>
      </c>
      <c r="D293" s="31" t="str">
        <f>IF('Bulk Order Details'!M303="","",VLOOKUP(1,Price[],3))</f>
        <v/>
      </c>
      <c r="E293" s="29" t="str">
        <f>IF('Bulk Order Details'!M303="","",Summary!$D$9)</f>
        <v/>
      </c>
      <c r="F293" s="16" t="str">
        <f>IF('Bulk Order Details'!I303="","",_xlfn.XLOOKUP('Bulk Order Details'!I303,Size[Display],Size[Price]))</f>
        <v/>
      </c>
      <c r="G293" s="16" t="str">
        <f>IF('Bulk Order Details'!J303="","",_xlfn.XLOOKUP('Bulk Order Details'!J303,Length[Display],Length[Price]))</f>
        <v/>
      </c>
      <c r="H293" s="16" t="str">
        <f>IF('Bulk Order Details'!K303="","",_xlfn.XLOOKUP('Bulk Order Details'!K303,Collection[Display],Collection[Price]))</f>
        <v/>
      </c>
      <c r="I293" s="16" t="str">
        <f>IF('Bulk Order Details'!L303="","",_xlfn.XLOOKUP('Bulk Order Details'!L303,Sleeve[Display],Sleeve[Price]))</f>
        <v/>
      </c>
      <c r="J293" s="16" t="str">
        <f>IF('Bulk Order Details'!M303="","",_xlfn.XLOOKUP('Bulk Order Details'!M303,Collar[Display],Collar[Price]))</f>
        <v/>
      </c>
      <c r="K293" s="16" t="str">
        <f>IF('Bulk Order Details'!N303="","",_xlfn.XLOOKUP("Name",Name[Name],Name[Price]))</f>
        <v/>
      </c>
      <c r="L293" s="18" t="str">
        <f>IFERROR(IF('Bulk Order Details'!R303="","",IF(_xlfn.XLOOKUP('Bulk Order Details'!R303,Logos[Display],Logos[Use])="Flat",_xlfn.XLOOKUP('Bulk Order Details'!R303,Logos[Display],Logos[Flat]),ROUND(_xlfn.XLOOKUP('Bulk Order Details'!R303,Logos[Display],Logos[Pct])*$E293,2))),"")</f>
        <v/>
      </c>
      <c r="M293" s="22" t="str">
        <f>IFERROR(IF('Bulk Order Details'!S303="","",IF(_xlfn.XLOOKUP('Bulk Order Details'!S303,Chest[Display],Chest[Use])="Flat",_xlfn.XLOOKUP('Bulk Order Details'!S303,Chest[Display],Chest[Flat]),ROUND(_xlfn.XLOOKUP('Bulk Order Details'!S303,Chest[Display],Chest[Pct])*$E293,2))),"")</f>
        <v/>
      </c>
      <c r="N293" s="22" t="str">
        <f>IFERROR(IF('Bulk Order Details'!T303="","",IF(_xlfn.XLOOKUP('Bulk Order Details'!T303,Chest[Display],Chest[Use])="Flat",_xlfn.XLOOKUP('Bulk Order Details'!T303,Chest[Display],Chest[Flat]),ROUND(_xlfn.XLOOKUP('Bulk Order Details'!T303,Chest[Display],Chest[Pct])*$E293,2))),"")</f>
        <v/>
      </c>
      <c r="O293" s="22" t="str">
        <f>IFERROR(IF('Bulk Order Details'!U303="","",IF(_xlfn.XLOOKUP('Bulk Order Details'!U303,LeftSleeve[Display],LeftSleeve[Use])="Flat",_xlfn.XLOOKUP('Bulk Order Details'!U303,LeftSleeve[Display],LeftSleeve[Flat]),ROUND(_xlfn.XLOOKUP('Bulk Order Details'!U303,LeftSleeve[Display],LeftSleeve[Pct])*$E293,2))),"")</f>
        <v/>
      </c>
      <c r="P293" s="22" t="str">
        <f>IFERROR(IF('Bulk Order Details'!V303="","",IF(_xlfn.XLOOKUP('Bulk Order Details'!V303,RightSleeve[Display],RightSleeve[Use])="Flat",_xlfn.XLOOKUP('Bulk Order Details'!V303,RightSleeve[Display],RightSleeve[Flat]),ROUND(_xlfn.XLOOKUP('Bulk Order Details'!V303,RightSleeve[Display],RightSleeve[Pct])*$E293,2))),"")</f>
        <v/>
      </c>
      <c r="Q293" s="27" t="str">
        <f>IF('Bulk Order Details'!M303="","",SUM(F293:P293))</f>
        <v/>
      </c>
      <c r="R293" s="24" t="str">
        <f t="shared" si="21"/>
        <v/>
      </c>
      <c r="S293" s="23" t="str">
        <f>IFERROR(MIN(IF(Summary!$D$11="Yes",-J293,0),IF(H293&gt;0,-J293,0)),"")</f>
        <v/>
      </c>
      <c r="T293" s="16" t="str">
        <f>IFERROR(IF(Summary!$D$10="Yes",-K293,""),"")</f>
        <v/>
      </c>
      <c r="U293" s="18" t="str">
        <f>IFERROR(IF(Summary!$D$12="Yes",-L293,""),"")</f>
        <v/>
      </c>
      <c r="V293" s="25" t="str">
        <f>IF('Bulk Order Details'!M303="","",SUM(R293:U293))</f>
        <v/>
      </c>
      <c r="W293" s="36" t="str">
        <f>IF('Bulk Order Details'!M303="","",D293+Q293)</f>
        <v/>
      </c>
      <c r="X293" s="37" t="str">
        <f>IF('Bulk Order Details'!M303="","",D293+Q293+V293)</f>
        <v/>
      </c>
      <c r="Y293" s="168" t="str">
        <f t="shared" si="20"/>
        <v/>
      </c>
      <c r="Z293" s="173" t="str">
        <f>IF('Bulk Order Details'!M303="","",MAX(1,'Bulk Order Details'!G303))</f>
        <v/>
      </c>
      <c r="AA293" s="196" t="str">
        <f>IF(Pricing_Details[[#This Row],[Quantity]]="","",Pricing_Details[[#This Row],[Retail Price]]*Pricing_Details[[#This Row],[Quantity]])</f>
        <v/>
      </c>
      <c r="AB293" s="196" t="str">
        <f>IF(Pricing_Details[[#This Row],[Quantity]]="","",Pricing_Details[[#This Row],[Total Discount]]*Pricing_Details[[#This Row],[Quantity]])</f>
        <v/>
      </c>
      <c r="AC293" s="176" t="str">
        <f>IFERROR(ROUND(Pricing_Details[[#This Row],[Actual Price]]*Pricing_Details[[#This Row],[Quantity]],2),"")</f>
        <v/>
      </c>
      <c r="AE293" s="156" t="str">
        <f>IF('Bulk Order Details'!M303="","",VLOOKUP('Bulk Order Details'!K303,Collection[],3)&amp;VLOOKUP('Bulk Order Details'!M303,Collar[],4)&amp;VLOOKUP('Bulk Order Details'!L303,Sleeve[],4))</f>
        <v/>
      </c>
      <c r="AF293" s="156" t="str">
        <f>IF('Bulk Order Details'!M303="","",LOOKUP('Bulk Order Details'!H303,Cut[Display],Cut[Code])&amp;LOOKUP('Bulk Order Details'!I303,#REF!,#REF!)&amp;IF('Bulk Order Details'!J303="","",LOOKUP('Bulk Order Details'!J303,Length[Display],Length[Code])))</f>
        <v/>
      </c>
      <c r="AG293" s="156" t="str">
        <f>IF('Bulk Order Details'!M303="","",IF('Bulk Order Details'!F303="","",'Bulk Order Details'!F303))</f>
        <v/>
      </c>
      <c r="AH293" s="156" t="str">
        <f>IF('Bulk Order Details'!R303="","","-"&amp;LOOKUP('Bulk Order Details'!R303,#REF!,#REF!))</f>
        <v/>
      </c>
      <c r="AI293" s="156" t="str">
        <f>IF('Bulk Order Details'!S303="","","-"&amp;LOOKUP('Bulk Order Details'!S303,#REF!,#REF!))</f>
        <v/>
      </c>
      <c r="AJ293" s="156" t="str">
        <f>IF('Bulk Order Details'!T303="","","-"&amp;LOOKUP('Bulk Order Details'!T303,#REF!,#REF!))</f>
        <v/>
      </c>
      <c r="AK293" s="156" t="str">
        <f>IF('Bulk Order Details'!U303="","","-"&amp;LOOKUP('Bulk Order Details'!U303,#REF!,#REF!))</f>
        <v/>
      </c>
      <c r="AL293" s="156" t="str">
        <f>IF('Bulk Order Details'!V303="","","-"&amp;LOOKUP('Bulk Order Details'!V303,#REF!,#REF!))</f>
        <v/>
      </c>
      <c r="AM293" s="156" t="str">
        <f t="shared" si="22"/>
        <v/>
      </c>
      <c r="AN293" s="156" t="str">
        <f>IF('Bulk Order Details'!N303="","","Na-"&amp;'Bulk Order Details'!N303)</f>
        <v/>
      </c>
      <c r="AO293" s="156" t="str">
        <f>IF('Bulk Order Details'!Q303="","","Fo-"&amp;'Bulk Order Details'!Q303)</f>
        <v/>
      </c>
      <c r="AP293" s="156" t="str">
        <f t="shared" si="23"/>
        <v/>
      </c>
      <c r="AQ293" s="37" t="str">
        <f t="shared" si="24"/>
        <v/>
      </c>
    </row>
    <row r="294" spans="2:43" ht="15" customHeight="1" x14ac:dyDescent="0.2">
      <c r="B294" s="34">
        <f>'Bulk Order Details'!B304</f>
        <v>291</v>
      </c>
      <c r="C294" s="34" t="str">
        <f>IF('Bulk Order Details'!C304="","",'Bulk Order Details'!C304&amp;" "&amp;'Bulk Order Details'!D304)</f>
        <v/>
      </c>
      <c r="D294" s="31" t="str">
        <f>IF('Bulk Order Details'!M304="","",VLOOKUP(1,Price[],3))</f>
        <v/>
      </c>
      <c r="E294" s="29" t="str">
        <f>IF('Bulk Order Details'!M304="","",Summary!$D$9)</f>
        <v/>
      </c>
      <c r="F294" s="16" t="str">
        <f>IF('Bulk Order Details'!I304="","",_xlfn.XLOOKUP('Bulk Order Details'!I304,Size[Display],Size[Price]))</f>
        <v/>
      </c>
      <c r="G294" s="16" t="str">
        <f>IF('Bulk Order Details'!J304="","",_xlfn.XLOOKUP('Bulk Order Details'!J304,Length[Display],Length[Price]))</f>
        <v/>
      </c>
      <c r="H294" s="16" t="str">
        <f>IF('Bulk Order Details'!K304="","",_xlfn.XLOOKUP('Bulk Order Details'!K304,Collection[Display],Collection[Price]))</f>
        <v/>
      </c>
      <c r="I294" s="16" t="str">
        <f>IF('Bulk Order Details'!L304="","",_xlfn.XLOOKUP('Bulk Order Details'!L304,Sleeve[Display],Sleeve[Price]))</f>
        <v/>
      </c>
      <c r="J294" s="16" t="str">
        <f>IF('Bulk Order Details'!M304="","",_xlfn.XLOOKUP('Bulk Order Details'!M304,Collar[Display],Collar[Price]))</f>
        <v/>
      </c>
      <c r="K294" s="16" t="str">
        <f>IF('Bulk Order Details'!N304="","",_xlfn.XLOOKUP("Name",Name[Name],Name[Price]))</f>
        <v/>
      </c>
      <c r="L294" s="18" t="str">
        <f>IFERROR(IF('Bulk Order Details'!R304="","",IF(_xlfn.XLOOKUP('Bulk Order Details'!R304,Logos[Display],Logos[Use])="Flat",_xlfn.XLOOKUP('Bulk Order Details'!R304,Logos[Display],Logos[Flat]),ROUND(_xlfn.XLOOKUP('Bulk Order Details'!R304,Logos[Display],Logos[Pct])*$E294,2))),"")</f>
        <v/>
      </c>
      <c r="M294" s="22" t="str">
        <f>IFERROR(IF('Bulk Order Details'!S304="","",IF(_xlfn.XLOOKUP('Bulk Order Details'!S304,Chest[Display],Chest[Use])="Flat",_xlfn.XLOOKUP('Bulk Order Details'!S304,Chest[Display],Chest[Flat]),ROUND(_xlfn.XLOOKUP('Bulk Order Details'!S304,Chest[Display],Chest[Pct])*$E294,2))),"")</f>
        <v/>
      </c>
      <c r="N294" s="22" t="str">
        <f>IFERROR(IF('Bulk Order Details'!T304="","",IF(_xlfn.XLOOKUP('Bulk Order Details'!T304,Chest[Display],Chest[Use])="Flat",_xlfn.XLOOKUP('Bulk Order Details'!T304,Chest[Display],Chest[Flat]),ROUND(_xlfn.XLOOKUP('Bulk Order Details'!T304,Chest[Display],Chest[Pct])*$E294,2))),"")</f>
        <v/>
      </c>
      <c r="O294" s="22" t="str">
        <f>IFERROR(IF('Bulk Order Details'!U304="","",IF(_xlfn.XLOOKUP('Bulk Order Details'!U304,LeftSleeve[Display],LeftSleeve[Use])="Flat",_xlfn.XLOOKUP('Bulk Order Details'!U304,LeftSleeve[Display],LeftSleeve[Flat]),ROUND(_xlfn.XLOOKUP('Bulk Order Details'!U304,LeftSleeve[Display],LeftSleeve[Pct])*$E294,2))),"")</f>
        <v/>
      </c>
      <c r="P294" s="22" t="str">
        <f>IFERROR(IF('Bulk Order Details'!V304="","",IF(_xlfn.XLOOKUP('Bulk Order Details'!V304,RightSleeve[Display],RightSleeve[Use])="Flat",_xlfn.XLOOKUP('Bulk Order Details'!V304,RightSleeve[Display],RightSleeve[Flat]),ROUND(_xlfn.XLOOKUP('Bulk Order Details'!V304,RightSleeve[Display],RightSleeve[Pct])*$E294,2))),"")</f>
        <v/>
      </c>
      <c r="Q294" s="27" t="str">
        <f>IF('Bulk Order Details'!M304="","",SUM(F294:P294))</f>
        <v/>
      </c>
      <c r="R294" s="24" t="str">
        <f t="shared" si="21"/>
        <v/>
      </c>
      <c r="S294" s="23" t="str">
        <f>IFERROR(MIN(IF(Summary!$D$11="Yes",-J294,0),IF(H294&gt;0,-J294,0)),"")</f>
        <v/>
      </c>
      <c r="T294" s="16" t="str">
        <f>IFERROR(IF(Summary!$D$10="Yes",-K294,""),"")</f>
        <v/>
      </c>
      <c r="U294" s="18" t="str">
        <f>IFERROR(IF(Summary!$D$12="Yes",-L294,""),"")</f>
        <v/>
      </c>
      <c r="V294" s="25" t="str">
        <f>IF('Bulk Order Details'!M304="","",SUM(R294:U294))</f>
        <v/>
      </c>
      <c r="W294" s="36" t="str">
        <f>IF('Bulk Order Details'!M304="","",D294+Q294)</f>
        <v/>
      </c>
      <c r="X294" s="37" t="str">
        <f>IF('Bulk Order Details'!M304="","",D294+Q294+V294)</f>
        <v/>
      </c>
      <c r="Y294" s="168" t="str">
        <f t="shared" si="20"/>
        <v/>
      </c>
      <c r="Z294" s="173" t="str">
        <f>IF('Bulk Order Details'!M304="","",MAX(1,'Bulk Order Details'!G304))</f>
        <v/>
      </c>
      <c r="AA294" s="196" t="str">
        <f>IF(Pricing_Details[[#This Row],[Quantity]]="","",Pricing_Details[[#This Row],[Retail Price]]*Pricing_Details[[#This Row],[Quantity]])</f>
        <v/>
      </c>
      <c r="AB294" s="196" t="str">
        <f>IF(Pricing_Details[[#This Row],[Quantity]]="","",Pricing_Details[[#This Row],[Total Discount]]*Pricing_Details[[#This Row],[Quantity]])</f>
        <v/>
      </c>
      <c r="AC294" s="176" t="str">
        <f>IFERROR(ROUND(Pricing_Details[[#This Row],[Actual Price]]*Pricing_Details[[#This Row],[Quantity]],2),"")</f>
        <v/>
      </c>
      <c r="AE294" s="156" t="str">
        <f>IF('Bulk Order Details'!M304="","",VLOOKUP('Bulk Order Details'!K304,Collection[],3)&amp;VLOOKUP('Bulk Order Details'!M304,Collar[],4)&amp;VLOOKUP('Bulk Order Details'!L304,Sleeve[],4))</f>
        <v/>
      </c>
      <c r="AF294" s="156" t="str">
        <f>IF('Bulk Order Details'!M304="","",LOOKUP('Bulk Order Details'!H304,Cut[Display],Cut[Code])&amp;LOOKUP('Bulk Order Details'!I304,#REF!,#REF!)&amp;IF('Bulk Order Details'!J304="","",LOOKUP('Bulk Order Details'!J304,Length[Display],Length[Code])))</f>
        <v/>
      </c>
      <c r="AG294" s="156" t="str">
        <f>IF('Bulk Order Details'!M304="","",IF('Bulk Order Details'!F304="","",'Bulk Order Details'!F304))</f>
        <v/>
      </c>
      <c r="AH294" s="156" t="str">
        <f>IF('Bulk Order Details'!R304="","","-"&amp;LOOKUP('Bulk Order Details'!R304,#REF!,#REF!))</f>
        <v/>
      </c>
      <c r="AI294" s="156" t="str">
        <f>IF('Bulk Order Details'!S304="","","-"&amp;LOOKUP('Bulk Order Details'!S304,#REF!,#REF!))</f>
        <v/>
      </c>
      <c r="AJ294" s="156" t="str">
        <f>IF('Bulk Order Details'!T304="","","-"&amp;LOOKUP('Bulk Order Details'!T304,#REF!,#REF!))</f>
        <v/>
      </c>
      <c r="AK294" s="156" t="str">
        <f>IF('Bulk Order Details'!U304="","","-"&amp;LOOKUP('Bulk Order Details'!U304,#REF!,#REF!))</f>
        <v/>
      </c>
      <c r="AL294" s="156" t="str">
        <f>IF('Bulk Order Details'!V304="","","-"&amp;LOOKUP('Bulk Order Details'!V304,#REF!,#REF!))</f>
        <v/>
      </c>
      <c r="AM294" s="156" t="str">
        <f t="shared" si="22"/>
        <v/>
      </c>
      <c r="AN294" s="156" t="str">
        <f>IF('Bulk Order Details'!N304="","","Na-"&amp;'Bulk Order Details'!N304)</f>
        <v/>
      </c>
      <c r="AO294" s="156" t="str">
        <f>IF('Bulk Order Details'!Q304="","","Fo-"&amp;'Bulk Order Details'!Q304)</f>
        <v/>
      </c>
      <c r="AP294" s="156" t="str">
        <f t="shared" si="23"/>
        <v/>
      </c>
      <c r="AQ294" s="37" t="str">
        <f t="shared" si="24"/>
        <v/>
      </c>
    </row>
    <row r="295" spans="2:43" ht="15" customHeight="1" x14ac:dyDescent="0.2">
      <c r="B295" s="34">
        <f>'Bulk Order Details'!B305</f>
        <v>292</v>
      </c>
      <c r="C295" s="34" t="str">
        <f>IF('Bulk Order Details'!C305="","",'Bulk Order Details'!C305&amp;" "&amp;'Bulk Order Details'!D305)</f>
        <v/>
      </c>
      <c r="D295" s="31" t="str">
        <f>IF('Bulk Order Details'!M305="","",VLOOKUP(1,Price[],3))</f>
        <v/>
      </c>
      <c r="E295" s="29" t="str">
        <f>IF('Bulk Order Details'!M305="","",Summary!$D$9)</f>
        <v/>
      </c>
      <c r="F295" s="16" t="str">
        <f>IF('Bulk Order Details'!I305="","",_xlfn.XLOOKUP('Bulk Order Details'!I305,Size[Display],Size[Price]))</f>
        <v/>
      </c>
      <c r="G295" s="16" t="str">
        <f>IF('Bulk Order Details'!J305="","",_xlfn.XLOOKUP('Bulk Order Details'!J305,Length[Display],Length[Price]))</f>
        <v/>
      </c>
      <c r="H295" s="16" t="str">
        <f>IF('Bulk Order Details'!K305="","",_xlfn.XLOOKUP('Bulk Order Details'!K305,Collection[Display],Collection[Price]))</f>
        <v/>
      </c>
      <c r="I295" s="16" t="str">
        <f>IF('Bulk Order Details'!L305="","",_xlfn.XLOOKUP('Bulk Order Details'!L305,Sleeve[Display],Sleeve[Price]))</f>
        <v/>
      </c>
      <c r="J295" s="16" t="str">
        <f>IF('Bulk Order Details'!M305="","",_xlfn.XLOOKUP('Bulk Order Details'!M305,Collar[Display],Collar[Price]))</f>
        <v/>
      </c>
      <c r="K295" s="16" t="str">
        <f>IF('Bulk Order Details'!N305="","",_xlfn.XLOOKUP("Name",Name[Name],Name[Price]))</f>
        <v/>
      </c>
      <c r="L295" s="18" t="str">
        <f>IFERROR(IF('Bulk Order Details'!R305="","",IF(_xlfn.XLOOKUP('Bulk Order Details'!R305,Logos[Display],Logos[Use])="Flat",_xlfn.XLOOKUP('Bulk Order Details'!R305,Logos[Display],Logos[Flat]),ROUND(_xlfn.XLOOKUP('Bulk Order Details'!R305,Logos[Display],Logos[Pct])*$E295,2))),"")</f>
        <v/>
      </c>
      <c r="M295" s="22" t="str">
        <f>IFERROR(IF('Bulk Order Details'!S305="","",IF(_xlfn.XLOOKUP('Bulk Order Details'!S305,Chest[Display],Chest[Use])="Flat",_xlfn.XLOOKUP('Bulk Order Details'!S305,Chest[Display],Chest[Flat]),ROUND(_xlfn.XLOOKUP('Bulk Order Details'!S305,Chest[Display],Chest[Pct])*$E295,2))),"")</f>
        <v/>
      </c>
      <c r="N295" s="22" t="str">
        <f>IFERROR(IF('Bulk Order Details'!T305="","",IF(_xlfn.XLOOKUP('Bulk Order Details'!T305,Chest[Display],Chest[Use])="Flat",_xlfn.XLOOKUP('Bulk Order Details'!T305,Chest[Display],Chest[Flat]),ROUND(_xlfn.XLOOKUP('Bulk Order Details'!T305,Chest[Display],Chest[Pct])*$E295,2))),"")</f>
        <v/>
      </c>
      <c r="O295" s="22" t="str">
        <f>IFERROR(IF('Bulk Order Details'!U305="","",IF(_xlfn.XLOOKUP('Bulk Order Details'!U305,LeftSleeve[Display],LeftSleeve[Use])="Flat",_xlfn.XLOOKUP('Bulk Order Details'!U305,LeftSleeve[Display],LeftSleeve[Flat]),ROUND(_xlfn.XLOOKUP('Bulk Order Details'!U305,LeftSleeve[Display],LeftSleeve[Pct])*$E295,2))),"")</f>
        <v/>
      </c>
      <c r="P295" s="22" t="str">
        <f>IFERROR(IF('Bulk Order Details'!V305="","",IF(_xlfn.XLOOKUP('Bulk Order Details'!V305,RightSleeve[Display],RightSleeve[Use])="Flat",_xlfn.XLOOKUP('Bulk Order Details'!V305,RightSleeve[Display],RightSleeve[Flat]),ROUND(_xlfn.XLOOKUP('Bulk Order Details'!V305,RightSleeve[Display],RightSleeve[Pct])*$E295,2))),"")</f>
        <v/>
      </c>
      <c r="Q295" s="27" t="str">
        <f>IF('Bulk Order Details'!M305="","",SUM(F295:P295))</f>
        <v/>
      </c>
      <c r="R295" s="24" t="str">
        <f t="shared" si="21"/>
        <v/>
      </c>
      <c r="S295" s="23" t="str">
        <f>IFERROR(MIN(IF(Summary!$D$11="Yes",-J295,0),IF(H295&gt;0,-J295,0)),"")</f>
        <v/>
      </c>
      <c r="T295" s="16" t="str">
        <f>IFERROR(IF(Summary!$D$10="Yes",-K295,""),"")</f>
        <v/>
      </c>
      <c r="U295" s="18" t="str">
        <f>IFERROR(IF(Summary!$D$12="Yes",-L295,""),"")</f>
        <v/>
      </c>
      <c r="V295" s="25" t="str">
        <f>IF('Bulk Order Details'!M305="","",SUM(R295:U295))</f>
        <v/>
      </c>
      <c r="W295" s="36" t="str">
        <f>IF('Bulk Order Details'!M305="","",D295+Q295)</f>
        <v/>
      </c>
      <c r="X295" s="37" t="str">
        <f>IF('Bulk Order Details'!M305="","",D295+Q295+V295)</f>
        <v/>
      </c>
      <c r="Y295" s="168" t="str">
        <f t="shared" si="20"/>
        <v/>
      </c>
      <c r="Z295" s="173" t="str">
        <f>IF('Bulk Order Details'!M305="","",MAX(1,'Bulk Order Details'!G305))</f>
        <v/>
      </c>
      <c r="AA295" s="196" t="str">
        <f>IF(Pricing_Details[[#This Row],[Quantity]]="","",Pricing_Details[[#This Row],[Retail Price]]*Pricing_Details[[#This Row],[Quantity]])</f>
        <v/>
      </c>
      <c r="AB295" s="196" t="str">
        <f>IF(Pricing_Details[[#This Row],[Quantity]]="","",Pricing_Details[[#This Row],[Total Discount]]*Pricing_Details[[#This Row],[Quantity]])</f>
        <v/>
      </c>
      <c r="AC295" s="176" t="str">
        <f>IFERROR(ROUND(Pricing_Details[[#This Row],[Actual Price]]*Pricing_Details[[#This Row],[Quantity]],2),"")</f>
        <v/>
      </c>
      <c r="AE295" s="156" t="str">
        <f>IF('Bulk Order Details'!M305="","",VLOOKUP('Bulk Order Details'!K305,Collection[],3)&amp;VLOOKUP('Bulk Order Details'!M305,Collar[],4)&amp;VLOOKUP('Bulk Order Details'!L305,Sleeve[],4))</f>
        <v/>
      </c>
      <c r="AF295" s="156" t="str">
        <f>IF('Bulk Order Details'!M305="","",LOOKUP('Bulk Order Details'!H305,Cut[Display],Cut[Code])&amp;LOOKUP('Bulk Order Details'!I305,#REF!,#REF!)&amp;IF('Bulk Order Details'!J305="","",LOOKUP('Bulk Order Details'!J305,Length[Display],Length[Code])))</f>
        <v/>
      </c>
      <c r="AG295" s="156" t="str">
        <f>IF('Bulk Order Details'!M305="","",IF('Bulk Order Details'!F305="","",'Bulk Order Details'!F305))</f>
        <v/>
      </c>
      <c r="AH295" s="156" t="str">
        <f>IF('Bulk Order Details'!R305="","","-"&amp;LOOKUP('Bulk Order Details'!R305,#REF!,#REF!))</f>
        <v/>
      </c>
      <c r="AI295" s="156" t="str">
        <f>IF('Bulk Order Details'!S305="","","-"&amp;LOOKUP('Bulk Order Details'!S305,#REF!,#REF!))</f>
        <v/>
      </c>
      <c r="AJ295" s="156" t="str">
        <f>IF('Bulk Order Details'!T305="","","-"&amp;LOOKUP('Bulk Order Details'!T305,#REF!,#REF!))</f>
        <v/>
      </c>
      <c r="AK295" s="156" t="str">
        <f>IF('Bulk Order Details'!U305="","","-"&amp;LOOKUP('Bulk Order Details'!U305,#REF!,#REF!))</f>
        <v/>
      </c>
      <c r="AL295" s="156" t="str">
        <f>IF('Bulk Order Details'!V305="","","-"&amp;LOOKUP('Bulk Order Details'!V305,#REF!,#REF!))</f>
        <v/>
      </c>
      <c r="AM295" s="156" t="str">
        <f t="shared" si="22"/>
        <v/>
      </c>
      <c r="AN295" s="156" t="str">
        <f>IF('Bulk Order Details'!N305="","","Na-"&amp;'Bulk Order Details'!N305)</f>
        <v/>
      </c>
      <c r="AO295" s="156" t="str">
        <f>IF('Bulk Order Details'!Q305="","","Fo-"&amp;'Bulk Order Details'!Q305)</f>
        <v/>
      </c>
      <c r="AP295" s="156" t="str">
        <f t="shared" si="23"/>
        <v/>
      </c>
      <c r="AQ295" s="37" t="str">
        <f t="shared" si="24"/>
        <v/>
      </c>
    </row>
    <row r="296" spans="2:43" ht="15" customHeight="1" x14ac:dyDescent="0.2">
      <c r="B296" s="34">
        <f>'Bulk Order Details'!B306</f>
        <v>293</v>
      </c>
      <c r="C296" s="34" t="str">
        <f>IF('Bulk Order Details'!C306="","",'Bulk Order Details'!C306&amp;" "&amp;'Bulk Order Details'!D306)</f>
        <v/>
      </c>
      <c r="D296" s="31" t="str">
        <f>IF('Bulk Order Details'!M306="","",VLOOKUP(1,Price[],3))</f>
        <v/>
      </c>
      <c r="E296" s="29" t="str">
        <f>IF('Bulk Order Details'!M306="","",Summary!$D$9)</f>
        <v/>
      </c>
      <c r="F296" s="16" t="str">
        <f>IF('Bulk Order Details'!I306="","",_xlfn.XLOOKUP('Bulk Order Details'!I306,Size[Display],Size[Price]))</f>
        <v/>
      </c>
      <c r="G296" s="16" t="str">
        <f>IF('Bulk Order Details'!J306="","",_xlfn.XLOOKUP('Bulk Order Details'!J306,Length[Display],Length[Price]))</f>
        <v/>
      </c>
      <c r="H296" s="16" t="str">
        <f>IF('Bulk Order Details'!K306="","",_xlfn.XLOOKUP('Bulk Order Details'!K306,Collection[Display],Collection[Price]))</f>
        <v/>
      </c>
      <c r="I296" s="16" t="str">
        <f>IF('Bulk Order Details'!L306="","",_xlfn.XLOOKUP('Bulk Order Details'!L306,Sleeve[Display],Sleeve[Price]))</f>
        <v/>
      </c>
      <c r="J296" s="16" t="str">
        <f>IF('Bulk Order Details'!M306="","",_xlfn.XLOOKUP('Bulk Order Details'!M306,Collar[Display],Collar[Price]))</f>
        <v/>
      </c>
      <c r="K296" s="16" t="str">
        <f>IF('Bulk Order Details'!N306="","",_xlfn.XLOOKUP("Name",Name[Name],Name[Price]))</f>
        <v/>
      </c>
      <c r="L296" s="18" t="str">
        <f>IFERROR(IF('Bulk Order Details'!R306="","",IF(_xlfn.XLOOKUP('Bulk Order Details'!R306,Logos[Display],Logos[Use])="Flat",_xlfn.XLOOKUP('Bulk Order Details'!R306,Logos[Display],Logos[Flat]),ROUND(_xlfn.XLOOKUP('Bulk Order Details'!R306,Logos[Display],Logos[Pct])*$E296,2))),"")</f>
        <v/>
      </c>
      <c r="M296" s="22" t="str">
        <f>IFERROR(IF('Bulk Order Details'!S306="","",IF(_xlfn.XLOOKUP('Bulk Order Details'!S306,Chest[Display],Chest[Use])="Flat",_xlfn.XLOOKUP('Bulk Order Details'!S306,Chest[Display],Chest[Flat]),ROUND(_xlfn.XLOOKUP('Bulk Order Details'!S306,Chest[Display],Chest[Pct])*$E296,2))),"")</f>
        <v/>
      </c>
      <c r="N296" s="22" t="str">
        <f>IFERROR(IF('Bulk Order Details'!T306="","",IF(_xlfn.XLOOKUP('Bulk Order Details'!T306,Chest[Display],Chest[Use])="Flat",_xlfn.XLOOKUP('Bulk Order Details'!T306,Chest[Display],Chest[Flat]),ROUND(_xlfn.XLOOKUP('Bulk Order Details'!T306,Chest[Display],Chest[Pct])*$E296,2))),"")</f>
        <v/>
      </c>
      <c r="O296" s="22" t="str">
        <f>IFERROR(IF('Bulk Order Details'!U306="","",IF(_xlfn.XLOOKUP('Bulk Order Details'!U306,LeftSleeve[Display],LeftSleeve[Use])="Flat",_xlfn.XLOOKUP('Bulk Order Details'!U306,LeftSleeve[Display],LeftSleeve[Flat]),ROUND(_xlfn.XLOOKUP('Bulk Order Details'!U306,LeftSleeve[Display],LeftSleeve[Pct])*$E296,2))),"")</f>
        <v/>
      </c>
      <c r="P296" s="22" t="str">
        <f>IFERROR(IF('Bulk Order Details'!V306="","",IF(_xlfn.XLOOKUP('Bulk Order Details'!V306,RightSleeve[Display],RightSleeve[Use])="Flat",_xlfn.XLOOKUP('Bulk Order Details'!V306,RightSleeve[Display],RightSleeve[Flat]),ROUND(_xlfn.XLOOKUP('Bulk Order Details'!V306,RightSleeve[Display],RightSleeve[Pct])*$E296,2))),"")</f>
        <v/>
      </c>
      <c r="Q296" s="27" t="str">
        <f>IF('Bulk Order Details'!M306="","",SUM(F296:P296))</f>
        <v/>
      </c>
      <c r="R296" s="24" t="str">
        <f t="shared" si="21"/>
        <v/>
      </c>
      <c r="S296" s="23" t="str">
        <f>IFERROR(MIN(IF(Summary!$D$11="Yes",-J296,0),IF(H296&gt;0,-J296,0)),"")</f>
        <v/>
      </c>
      <c r="T296" s="16" t="str">
        <f>IFERROR(IF(Summary!$D$10="Yes",-K296,""),"")</f>
        <v/>
      </c>
      <c r="U296" s="18" t="str">
        <f>IFERROR(IF(Summary!$D$12="Yes",-L296,""),"")</f>
        <v/>
      </c>
      <c r="V296" s="25" t="str">
        <f>IF('Bulk Order Details'!M306="","",SUM(R296:U296))</f>
        <v/>
      </c>
      <c r="W296" s="36" t="str">
        <f>IF('Bulk Order Details'!M306="","",D296+Q296)</f>
        <v/>
      </c>
      <c r="X296" s="37" t="str">
        <f>IF('Bulk Order Details'!M306="","",D296+Q296+V296)</f>
        <v/>
      </c>
      <c r="Y296" s="168" t="str">
        <f t="shared" si="20"/>
        <v/>
      </c>
      <c r="Z296" s="173" t="str">
        <f>IF('Bulk Order Details'!M306="","",MAX(1,'Bulk Order Details'!G306))</f>
        <v/>
      </c>
      <c r="AA296" s="196" t="str">
        <f>IF(Pricing_Details[[#This Row],[Quantity]]="","",Pricing_Details[[#This Row],[Retail Price]]*Pricing_Details[[#This Row],[Quantity]])</f>
        <v/>
      </c>
      <c r="AB296" s="196" t="str">
        <f>IF(Pricing_Details[[#This Row],[Quantity]]="","",Pricing_Details[[#This Row],[Total Discount]]*Pricing_Details[[#This Row],[Quantity]])</f>
        <v/>
      </c>
      <c r="AC296" s="176" t="str">
        <f>IFERROR(ROUND(Pricing_Details[[#This Row],[Actual Price]]*Pricing_Details[[#This Row],[Quantity]],2),"")</f>
        <v/>
      </c>
      <c r="AE296" s="156" t="str">
        <f>IF('Bulk Order Details'!M306="","",VLOOKUP('Bulk Order Details'!K306,Collection[],3)&amp;VLOOKUP('Bulk Order Details'!M306,Collar[],4)&amp;VLOOKUP('Bulk Order Details'!L306,Sleeve[],4))</f>
        <v/>
      </c>
      <c r="AF296" s="156" t="str">
        <f>IF('Bulk Order Details'!M306="","",LOOKUP('Bulk Order Details'!H306,Cut[Display],Cut[Code])&amp;LOOKUP('Bulk Order Details'!I306,#REF!,#REF!)&amp;IF('Bulk Order Details'!J306="","",LOOKUP('Bulk Order Details'!J306,Length[Display],Length[Code])))</f>
        <v/>
      </c>
      <c r="AG296" s="156" t="str">
        <f>IF('Bulk Order Details'!M306="","",IF('Bulk Order Details'!F306="","",'Bulk Order Details'!F306))</f>
        <v/>
      </c>
      <c r="AH296" s="156" t="str">
        <f>IF('Bulk Order Details'!R306="","","-"&amp;LOOKUP('Bulk Order Details'!R306,#REF!,#REF!))</f>
        <v/>
      </c>
      <c r="AI296" s="156" t="str">
        <f>IF('Bulk Order Details'!S306="","","-"&amp;LOOKUP('Bulk Order Details'!S306,#REF!,#REF!))</f>
        <v/>
      </c>
      <c r="AJ296" s="156" t="str">
        <f>IF('Bulk Order Details'!T306="","","-"&amp;LOOKUP('Bulk Order Details'!T306,#REF!,#REF!))</f>
        <v/>
      </c>
      <c r="AK296" s="156" t="str">
        <f>IF('Bulk Order Details'!U306="","","-"&amp;LOOKUP('Bulk Order Details'!U306,#REF!,#REF!))</f>
        <v/>
      </c>
      <c r="AL296" s="156" t="str">
        <f>IF('Bulk Order Details'!V306="","","-"&amp;LOOKUP('Bulk Order Details'!V306,#REF!,#REF!))</f>
        <v/>
      </c>
      <c r="AM296" s="156" t="str">
        <f t="shared" si="22"/>
        <v/>
      </c>
      <c r="AN296" s="156" t="str">
        <f>IF('Bulk Order Details'!N306="","","Na-"&amp;'Bulk Order Details'!N306)</f>
        <v/>
      </c>
      <c r="AO296" s="156" t="str">
        <f>IF('Bulk Order Details'!Q306="","","Fo-"&amp;'Bulk Order Details'!Q306)</f>
        <v/>
      </c>
      <c r="AP296" s="156" t="str">
        <f t="shared" si="23"/>
        <v/>
      </c>
      <c r="AQ296" s="37" t="str">
        <f t="shared" si="24"/>
        <v/>
      </c>
    </row>
    <row r="297" spans="2:43" ht="15" customHeight="1" x14ac:dyDescent="0.2">
      <c r="B297" s="34">
        <f>'Bulk Order Details'!B307</f>
        <v>294</v>
      </c>
      <c r="C297" s="34" t="str">
        <f>IF('Bulk Order Details'!C307="","",'Bulk Order Details'!C307&amp;" "&amp;'Bulk Order Details'!D307)</f>
        <v/>
      </c>
      <c r="D297" s="31" t="str">
        <f>IF('Bulk Order Details'!M307="","",VLOOKUP(1,Price[],3))</f>
        <v/>
      </c>
      <c r="E297" s="29" t="str">
        <f>IF('Bulk Order Details'!M307="","",Summary!$D$9)</f>
        <v/>
      </c>
      <c r="F297" s="16" t="str">
        <f>IF('Bulk Order Details'!I307="","",_xlfn.XLOOKUP('Bulk Order Details'!I307,Size[Display],Size[Price]))</f>
        <v/>
      </c>
      <c r="G297" s="16" t="str">
        <f>IF('Bulk Order Details'!J307="","",_xlfn.XLOOKUP('Bulk Order Details'!J307,Length[Display],Length[Price]))</f>
        <v/>
      </c>
      <c r="H297" s="16" t="str">
        <f>IF('Bulk Order Details'!K307="","",_xlfn.XLOOKUP('Bulk Order Details'!K307,Collection[Display],Collection[Price]))</f>
        <v/>
      </c>
      <c r="I297" s="16" t="str">
        <f>IF('Bulk Order Details'!L307="","",_xlfn.XLOOKUP('Bulk Order Details'!L307,Sleeve[Display],Sleeve[Price]))</f>
        <v/>
      </c>
      <c r="J297" s="16" t="str">
        <f>IF('Bulk Order Details'!M307="","",_xlfn.XLOOKUP('Bulk Order Details'!M307,Collar[Display],Collar[Price]))</f>
        <v/>
      </c>
      <c r="K297" s="16" t="str">
        <f>IF('Bulk Order Details'!N307="","",_xlfn.XLOOKUP("Name",Name[Name],Name[Price]))</f>
        <v/>
      </c>
      <c r="L297" s="18" t="str">
        <f>IFERROR(IF('Bulk Order Details'!R307="","",IF(_xlfn.XLOOKUP('Bulk Order Details'!R307,Logos[Display],Logos[Use])="Flat",_xlfn.XLOOKUP('Bulk Order Details'!R307,Logos[Display],Logos[Flat]),ROUND(_xlfn.XLOOKUP('Bulk Order Details'!R307,Logos[Display],Logos[Pct])*$E297,2))),"")</f>
        <v/>
      </c>
      <c r="M297" s="22" t="str">
        <f>IFERROR(IF('Bulk Order Details'!S307="","",IF(_xlfn.XLOOKUP('Bulk Order Details'!S307,Chest[Display],Chest[Use])="Flat",_xlfn.XLOOKUP('Bulk Order Details'!S307,Chest[Display],Chest[Flat]),ROUND(_xlfn.XLOOKUP('Bulk Order Details'!S307,Chest[Display],Chest[Pct])*$E297,2))),"")</f>
        <v/>
      </c>
      <c r="N297" s="22" t="str">
        <f>IFERROR(IF('Bulk Order Details'!T307="","",IF(_xlfn.XLOOKUP('Bulk Order Details'!T307,Chest[Display],Chest[Use])="Flat",_xlfn.XLOOKUP('Bulk Order Details'!T307,Chest[Display],Chest[Flat]),ROUND(_xlfn.XLOOKUP('Bulk Order Details'!T307,Chest[Display],Chest[Pct])*$E297,2))),"")</f>
        <v/>
      </c>
      <c r="O297" s="22" t="str">
        <f>IFERROR(IF('Bulk Order Details'!U307="","",IF(_xlfn.XLOOKUP('Bulk Order Details'!U307,LeftSleeve[Display],LeftSleeve[Use])="Flat",_xlfn.XLOOKUP('Bulk Order Details'!U307,LeftSleeve[Display],LeftSleeve[Flat]),ROUND(_xlfn.XLOOKUP('Bulk Order Details'!U307,LeftSleeve[Display],LeftSleeve[Pct])*$E297,2))),"")</f>
        <v/>
      </c>
      <c r="P297" s="22" t="str">
        <f>IFERROR(IF('Bulk Order Details'!V307="","",IF(_xlfn.XLOOKUP('Bulk Order Details'!V307,RightSleeve[Display],RightSleeve[Use])="Flat",_xlfn.XLOOKUP('Bulk Order Details'!V307,RightSleeve[Display],RightSleeve[Flat]),ROUND(_xlfn.XLOOKUP('Bulk Order Details'!V307,RightSleeve[Display],RightSleeve[Pct])*$E297,2))),"")</f>
        <v/>
      </c>
      <c r="Q297" s="27" t="str">
        <f>IF('Bulk Order Details'!M307="","",SUM(F297:P297))</f>
        <v/>
      </c>
      <c r="R297" s="24" t="str">
        <f t="shared" si="21"/>
        <v/>
      </c>
      <c r="S297" s="23" t="str">
        <f>IFERROR(MIN(IF(Summary!$D$11="Yes",-J297,0),IF(H297&gt;0,-J297,0)),"")</f>
        <v/>
      </c>
      <c r="T297" s="16" t="str">
        <f>IFERROR(IF(Summary!$D$10="Yes",-K297,""),"")</f>
        <v/>
      </c>
      <c r="U297" s="18" t="str">
        <f>IFERROR(IF(Summary!$D$12="Yes",-L297,""),"")</f>
        <v/>
      </c>
      <c r="V297" s="25" t="str">
        <f>IF('Bulk Order Details'!M307="","",SUM(R297:U297))</f>
        <v/>
      </c>
      <c r="W297" s="36" t="str">
        <f>IF('Bulk Order Details'!M307="","",D297+Q297)</f>
        <v/>
      </c>
      <c r="X297" s="37" t="str">
        <f>IF('Bulk Order Details'!M307="","",D297+Q297+V297)</f>
        <v/>
      </c>
      <c r="Y297" s="168" t="str">
        <f t="shared" si="20"/>
        <v/>
      </c>
      <c r="Z297" s="173" t="str">
        <f>IF('Bulk Order Details'!M307="","",MAX(1,'Bulk Order Details'!G307))</f>
        <v/>
      </c>
      <c r="AA297" s="196" t="str">
        <f>IF(Pricing_Details[[#This Row],[Quantity]]="","",Pricing_Details[[#This Row],[Retail Price]]*Pricing_Details[[#This Row],[Quantity]])</f>
        <v/>
      </c>
      <c r="AB297" s="196" t="str">
        <f>IF(Pricing_Details[[#This Row],[Quantity]]="","",Pricing_Details[[#This Row],[Total Discount]]*Pricing_Details[[#This Row],[Quantity]])</f>
        <v/>
      </c>
      <c r="AC297" s="176" t="str">
        <f>IFERROR(ROUND(Pricing_Details[[#This Row],[Actual Price]]*Pricing_Details[[#This Row],[Quantity]],2),"")</f>
        <v/>
      </c>
      <c r="AE297" s="156" t="str">
        <f>IF('Bulk Order Details'!M307="","",VLOOKUP('Bulk Order Details'!K307,Collection[],3)&amp;VLOOKUP('Bulk Order Details'!M307,Collar[],4)&amp;VLOOKUP('Bulk Order Details'!L307,Sleeve[],4))</f>
        <v/>
      </c>
      <c r="AF297" s="156" t="str">
        <f>IF('Bulk Order Details'!M307="","",LOOKUP('Bulk Order Details'!H307,Cut[Display],Cut[Code])&amp;LOOKUP('Bulk Order Details'!I307,#REF!,#REF!)&amp;IF('Bulk Order Details'!J307="","",LOOKUP('Bulk Order Details'!J307,Length[Display],Length[Code])))</f>
        <v/>
      </c>
      <c r="AG297" s="156" t="str">
        <f>IF('Bulk Order Details'!M307="","",IF('Bulk Order Details'!F307="","",'Bulk Order Details'!F307))</f>
        <v/>
      </c>
      <c r="AH297" s="156" t="str">
        <f>IF('Bulk Order Details'!R307="","","-"&amp;LOOKUP('Bulk Order Details'!R307,#REF!,#REF!))</f>
        <v/>
      </c>
      <c r="AI297" s="156" t="str">
        <f>IF('Bulk Order Details'!S307="","","-"&amp;LOOKUP('Bulk Order Details'!S307,#REF!,#REF!))</f>
        <v/>
      </c>
      <c r="AJ297" s="156" t="str">
        <f>IF('Bulk Order Details'!T307="","","-"&amp;LOOKUP('Bulk Order Details'!T307,#REF!,#REF!))</f>
        <v/>
      </c>
      <c r="AK297" s="156" t="str">
        <f>IF('Bulk Order Details'!U307="","","-"&amp;LOOKUP('Bulk Order Details'!U307,#REF!,#REF!))</f>
        <v/>
      </c>
      <c r="AL297" s="156" t="str">
        <f>IF('Bulk Order Details'!V307="","","-"&amp;LOOKUP('Bulk Order Details'!V307,#REF!,#REF!))</f>
        <v/>
      </c>
      <c r="AM297" s="156" t="str">
        <f t="shared" si="22"/>
        <v/>
      </c>
      <c r="AN297" s="156" t="str">
        <f>IF('Bulk Order Details'!N307="","","Na-"&amp;'Bulk Order Details'!N307)</f>
        <v/>
      </c>
      <c r="AO297" s="156" t="str">
        <f>IF('Bulk Order Details'!Q307="","","Fo-"&amp;'Bulk Order Details'!Q307)</f>
        <v/>
      </c>
      <c r="AP297" s="156" t="str">
        <f t="shared" si="23"/>
        <v/>
      </c>
      <c r="AQ297" s="37" t="str">
        <f t="shared" si="24"/>
        <v/>
      </c>
    </row>
    <row r="298" spans="2:43" ht="15" customHeight="1" x14ac:dyDescent="0.2">
      <c r="B298" s="34">
        <f>'Bulk Order Details'!B308</f>
        <v>295</v>
      </c>
      <c r="C298" s="34" t="str">
        <f>IF('Bulk Order Details'!C308="","",'Bulk Order Details'!C308&amp;" "&amp;'Bulk Order Details'!D308)</f>
        <v/>
      </c>
      <c r="D298" s="31" t="str">
        <f>IF('Bulk Order Details'!M308="","",VLOOKUP(1,Price[],3))</f>
        <v/>
      </c>
      <c r="E298" s="29" t="str">
        <f>IF('Bulk Order Details'!M308="","",Summary!$D$9)</f>
        <v/>
      </c>
      <c r="F298" s="16" t="str">
        <f>IF('Bulk Order Details'!I308="","",_xlfn.XLOOKUP('Bulk Order Details'!I308,Size[Display],Size[Price]))</f>
        <v/>
      </c>
      <c r="G298" s="16" t="str">
        <f>IF('Bulk Order Details'!J308="","",_xlfn.XLOOKUP('Bulk Order Details'!J308,Length[Display],Length[Price]))</f>
        <v/>
      </c>
      <c r="H298" s="16" t="str">
        <f>IF('Bulk Order Details'!K308="","",_xlfn.XLOOKUP('Bulk Order Details'!K308,Collection[Display],Collection[Price]))</f>
        <v/>
      </c>
      <c r="I298" s="16" t="str">
        <f>IF('Bulk Order Details'!L308="","",_xlfn.XLOOKUP('Bulk Order Details'!L308,Sleeve[Display],Sleeve[Price]))</f>
        <v/>
      </c>
      <c r="J298" s="16" t="str">
        <f>IF('Bulk Order Details'!M308="","",_xlfn.XLOOKUP('Bulk Order Details'!M308,Collar[Display],Collar[Price]))</f>
        <v/>
      </c>
      <c r="K298" s="16" t="str">
        <f>IF('Bulk Order Details'!N308="","",_xlfn.XLOOKUP("Name",Name[Name],Name[Price]))</f>
        <v/>
      </c>
      <c r="L298" s="18" t="str">
        <f>IFERROR(IF('Bulk Order Details'!R308="","",IF(_xlfn.XLOOKUP('Bulk Order Details'!R308,Logos[Display],Logos[Use])="Flat",_xlfn.XLOOKUP('Bulk Order Details'!R308,Logos[Display],Logos[Flat]),ROUND(_xlfn.XLOOKUP('Bulk Order Details'!R308,Logos[Display],Logos[Pct])*$E298,2))),"")</f>
        <v/>
      </c>
      <c r="M298" s="22" t="str">
        <f>IFERROR(IF('Bulk Order Details'!S308="","",IF(_xlfn.XLOOKUP('Bulk Order Details'!S308,Chest[Display],Chest[Use])="Flat",_xlfn.XLOOKUP('Bulk Order Details'!S308,Chest[Display],Chest[Flat]),ROUND(_xlfn.XLOOKUP('Bulk Order Details'!S308,Chest[Display],Chest[Pct])*$E298,2))),"")</f>
        <v/>
      </c>
      <c r="N298" s="22" t="str">
        <f>IFERROR(IF('Bulk Order Details'!T308="","",IF(_xlfn.XLOOKUP('Bulk Order Details'!T308,Chest[Display],Chest[Use])="Flat",_xlfn.XLOOKUP('Bulk Order Details'!T308,Chest[Display],Chest[Flat]),ROUND(_xlfn.XLOOKUP('Bulk Order Details'!T308,Chest[Display],Chest[Pct])*$E298,2))),"")</f>
        <v/>
      </c>
      <c r="O298" s="22" t="str">
        <f>IFERROR(IF('Bulk Order Details'!U308="","",IF(_xlfn.XLOOKUP('Bulk Order Details'!U308,LeftSleeve[Display],LeftSleeve[Use])="Flat",_xlfn.XLOOKUP('Bulk Order Details'!U308,LeftSleeve[Display],LeftSleeve[Flat]),ROUND(_xlfn.XLOOKUP('Bulk Order Details'!U308,LeftSleeve[Display],LeftSleeve[Pct])*$E298,2))),"")</f>
        <v/>
      </c>
      <c r="P298" s="22" t="str">
        <f>IFERROR(IF('Bulk Order Details'!V308="","",IF(_xlfn.XLOOKUP('Bulk Order Details'!V308,RightSleeve[Display],RightSleeve[Use])="Flat",_xlfn.XLOOKUP('Bulk Order Details'!V308,RightSleeve[Display],RightSleeve[Flat]),ROUND(_xlfn.XLOOKUP('Bulk Order Details'!V308,RightSleeve[Display],RightSleeve[Pct])*$E298,2))),"")</f>
        <v/>
      </c>
      <c r="Q298" s="27" t="str">
        <f>IF('Bulk Order Details'!M308="","",SUM(F298:P298))</f>
        <v/>
      </c>
      <c r="R298" s="24" t="str">
        <f t="shared" si="21"/>
        <v/>
      </c>
      <c r="S298" s="23" t="str">
        <f>IFERROR(MIN(IF(Summary!$D$11="Yes",-J298,0),IF(H298&gt;0,-J298,0)),"")</f>
        <v/>
      </c>
      <c r="T298" s="16" t="str">
        <f>IFERROR(IF(Summary!$D$10="Yes",-K298,""),"")</f>
        <v/>
      </c>
      <c r="U298" s="18" t="str">
        <f>IFERROR(IF(Summary!$D$12="Yes",-L298,""),"")</f>
        <v/>
      </c>
      <c r="V298" s="25" t="str">
        <f>IF('Bulk Order Details'!M308="","",SUM(R298:U298))</f>
        <v/>
      </c>
      <c r="W298" s="36" t="str">
        <f>IF('Bulk Order Details'!M308="","",D298+Q298)</f>
        <v/>
      </c>
      <c r="X298" s="37" t="str">
        <f>IF('Bulk Order Details'!M308="","",D298+Q298+V298)</f>
        <v/>
      </c>
      <c r="Y298" s="168" t="str">
        <f t="shared" si="20"/>
        <v/>
      </c>
      <c r="Z298" s="173" t="str">
        <f>IF('Bulk Order Details'!M308="","",MAX(1,'Bulk Order Details'!G308))</f>
        <v/>
      </c>
      <c r="AA298" s="196" t="str">
        <f>IF(Pricing_Details[[#This Row],[Quantity]]="","",Pricing_Details[[#This Row],[Retail Price]]*Pricing_Details[[#This Row],[Quantity]])</f>
        <v/>
      </c>
      <c r="AB298" s="196" t="str">
        <f>IF(Pricing_Details[[#This Row],[Quantity]]="","",Pricing_Details[[#This Row],[Total Discount]]*Pricing_Details[[#This Row],[Quantity]])</f>
        <v/>
      </c>
      <c r="AC298" s="176" t="str">
        <f>IFERROR(ROUND(Pricing_Details[[#This Row],[Actual Price]]*Pricing_Details[[#This Row],[Quantity]],2),"")</f>
        <v/>
      </c>
      <c r="AE298" s="156" t="str">
        <f>IF('Bulk Order Details'!M308="","",VLOOKUP('Bulk Order Details'!K308,Collection[],3)&amp;VLOOKUP('Bulk Order Details'!M308,Collar[],4)&amp;VLOOKUP('Bulk Order Details'!L308,Sleeve[],4))</f>
        <v/>
      </c>
      <c r="AF298" s="156" t="str">
        <f>IF('Bulk Order Details'!M308="","",LOOKUP('Bulk Order Details'!H308,Cut[Display],Cut[Code])&amp;LOOKUP('Bulk Order Details'!I308,#REF!,#REF!)&amp;IF('Bulk Order Details'!J308="","",LOOKUP('Bulk Order Details'!J308,Length[Display],Length[Code])))</f>
        <v/>
      </c>
      <c r="AG298" s="156" t="str">
        <f>IF('Bulk Order Details'!M308="","",IF('Bulk Order Details'!F308="","",'Bulk Order Details'!F308))</f>
        <v/>
      </c>
      <c r="AH298" s="156" t="str">
        <f>IF('Bulk Order Details'!R308="","","-"&amp;LOOKUP('Bulk Order Details'!R308,#REF!,#REF!))</f>
        <v/>
      </c>
      <c r="AI298" s="156" t="str">
        <f>IF('Bulk Order Details'!S308="","","-"&amp;LOOKUP('Bulk Order Details'!S308,#REF!,#REF!))</f>
        <v/>
      </c>
      <c r="AJ298" s="156" t="str">
        <f>IF('Bulk Order Details'!T308="","","-"&amp;LOOKUP('Bulk Order Details'!T308,#REF!,#REF!))</f>
        <v/>
      </c>
      <c r="AK298" s="156" t="str">
        <f>IF('Bulk Order Details'!U308="","","-"&amp;LOOKUP('Bulk Order Details'!U308,#REF!,#REF!))</f>
        <v/>
      </c>
      <c r="AL298" s="156" t="str">
        <f>IF('Bulk Order Details'!V308="","","-"&amp;LOOKUP('Bulk Order Details'!V308,#REF!,#REF!))</f>
        <v/>
      </c>
      <c r="AM298" s="156" t="str">
        <f t="shared" si="22"/>
        <v/>
      </c>
      <c r="AN298" s="156" t="str">
        <f>IF('Bulk Order Details'!N308="","","Na-"&amp;'Bulk Order Details'!N308)</f>
        <v/>
      </c>
      <c r="AO298" s="156" t="str">
        <f>IF('Bulk Order Details'!Q308="","","Fo-"&amp;'Bulk Order Details'!Q308)</f>
        <v/>
      </c>
      <c r="AP298" s="156" t="str">
        <f t="shared" si="23"/>
        <v/>
      </c>
      <c r="AQ298" s="37" t="str">
        <f t="shared" si="24"/>
        <v/>
      </c>
    </row>
    <row r="299" spans="2:43" ht="15" customHeight="1" x14ac:dyDescent="0.2">
      <c r="B299" s="34">
        <f>'Bulk Order Details'!B309</f>
        <v>296</v>
      </c>
      <c r="C299" s="34" t="str">
        <f>IF('Bulk Order Details'!C309="","",'Bulk Order Details'!C309&amp;" "&amp;'Bulk Order Details'!D309)</f>
        <v/>
      </c>
      <c r="D299" s="31" t="str">
        <f>IF('Bulk Order Details'!M309="","",VLOOKUP(1,Price[],3))</f>
        <v/>
      </c>
      <c r="E299" s="29" t="str">
        <f>IF('Bulk Order Details'!M309="","",Summary!$D$9)</f>
        <v/>
      </c>
      <c r="F299" s="16" t="str">
        <f>IF('Bulk Order Details'!I309="","",_xlfn.XLOOKUP('Bulk Order Details'!I309,Size[Display],Size[Price]))</f>
        <v/>
      </c>
      <c r="G299" s="16" t="str">
        <f>IF('Bulk Order Details'!J309="","",_xlfn.XLOOKUP('Bulk Order Details'!J309,Length[Display],Length[Price]))</f>
        <v/>
      </c>
      <c r="H299" s="16" t="str">
        <f>IF('Bulk Order Details'!K309="","",_xlfn.XLOOKUP('Bulk Order Details'!K309,Collection[Display],Collection[Price]))</f>
        <v/>
      </c>
      <c r="I299" s="16" t="str">
        <f>IF('Bulk Order Details'!L309="","",_xlfn.XLOOKUP('Bulk Order Details'!L309,Sleeve[Display],Sleeve[Price]))</f>
        <v/>
      </c>
      <c r="J299" s="16" t="str">
        <f>IF('Bulk Order Details'!M309="","",_xlfn.XLOOKUP('Bulk Order Details'!M309,Collar[Display],Collar[Price]))</f>
        <v/>
      </c>
      <c r="K299" s="16" t="str">
        <f>IF('Bulk Order Details'!N309="","",_xlfn.XLOOKUP("Name",Name[Name],Name[Price]))</f>
        <v/>
      </c>
      <c r="L299" s="18" t="str">
        <f>IFERROR(IF('Bulk Order Details'!R309="","",IF(_xlfn.XLOOKUP('Bulk Order Details'!R309,Logos[Display],Logos[Use])="Flat",_xlfn.XLOOKUP('Bulk Order Details'!R309,Logos[Display],Logos[Flat]),ROUND(_xlfn.XLOOKUP('Bulk Order Details'!R309,Logos[Display],Logos[Pct])*$E299,2))),"")</f>
        <v/>
      </c>
      <c r="M299" s="22" t="str">
        <f>IFERROR(IF('Bulk Order Details'!S309="","",IF(_xlfn.XLOOKUP('Bulk Order Details'!S309,Chest[Display],Chest[Use])="Flat",_xlfn.XLOOKUP('Bulk Order Details'!S309,Chest[Display],Chest[Flat]),ROUND(_xlfn.XLOOKUP('Bulk Order Details'!S309,Chest[Display],Chest[Pct])*$E299,2))),"")</f>
        <v/>
      </c>
      <c r="N299" s="22" t="str">
        <f>IFERROR(IF('Bulk Order Details'!T309="","",IF(_xlfn.XLOOKUP('Bulk Order Details'!T309,Chest[Display],Chest[Use])="Flat",_xlfn.XLOOKUP('Bulk Order Details'!T309,Chest[Display],Chest[Flat]),ROUND(_xlfn.XLOOKUP('Bulk Order Details'!T309,Chest[Display],Chest[Pct])*$E299,2))),"")</f>
        <v/>
      </c>
      <c r="O299" s="22" t="str">
        <f>IFERROR(IF('Bulk Order Details'!U309="","",IF(_xlfn.XLOOKUP('Bulk Order Details'!U309,LeftSleeve[Display],LeftSleeve[Use])="Flat",_xlfn.XLOOKUP('Bulk Order Details'!U309,LeftSleeve[Display],LeftSleeve[Flat]),ROUND(_xlfn.XLOOKUP('Bulk Order Details'!U309,LeftSleeve[Display],LeftSleeve[Pct])*$E299,2))),"")</f>
        <v/>
      </c>
      <c r="P299" s="22" t="str">
        <f>IFERROR(IF('Bulk Order Details'!V309="","",IF(_xlfn.XLOOKUP('Bulk Order Details'!V309,RightSleeve[Display],RightSleeve[Use])="Flat",_xlfn.XLOOKUP('Bulk Order Details'!V309,RightSleeve[Display],RightSleeve[Flat]),ROUND(_xlfn.XLOOKUP('Bulk Order Details'!V309,RightSleeve[Display],RightSleeve[Pct])*$E299,2))),"")</f>
        <v/>
      </c>
      <c r="Q299" s="27" t="str">
        <f>IF('Bulk Order Details'!M309="","",SUM(F299:P299))</f>
        <v/>
      </c>
      <c r="R299" s="24" t="str">
        <f t="shared" si="21"/>
        <v/>
      </c>
      <c r="S299" s="23" t="str">
        <f>IFERROR(MIN(IF(Summary!$D$11="Yes",-J299,0),IF(H299&gt;0,-J299,0)),"")</f>
        <v/>
      </c>
      <c r="T299" s="16" t="str">
        <f>IFERROR(IF(Summary!$D$10="Yes",-K299,""),"")</f>
        <v/>
      </c>
      <c r="U299" s="18" t="str">
        <f>IFERROR(IF(Summary!$D$12="Yes",-L299,""),"")</f>
        <v/>
      </c>
      <c r="V299" s="25" t="str">
        <f>IF('Bulk Order Details'!M309="","",SUM(R299:U299))</f>
        <v/>
      </c>
      <c r="W299" s="36" t="str">
        <f>IF('Bulk Order Details'!M309="","",D299+Q299)</f>
        <v/>
      </c>
      <c r="X299" s="37" t="str">
        <f>IF('Bulk Order Details'!M309="","",D299+Q299+V299)</f>
        <v/>
      </c>
      <c r="Y299" s="168" t="str">
        <f t="shared" si="20"/>
        <v/>
      </c>
      <c r="Z299" s="173" t="str">
        <f>IF('Bulk Order Details'!M309="","",MAX(1,'Bulk Order Details'!G309))</f>
        <v/>
      </c>
      <c r="AA299" s="196" t="str">
        <f>IF(Pricing_Details[[#This Row],[Quantity]]="","",Pricing_Details[[#This Row],[Retail Price]]*Pricing_Details[[#This Row],[Quantity]])</f>
        <v/>
      </c>
      <c r="AB299" s="196" t="str">
        <f>IF(Pricing_Details[[#This Row],[Quantity]]="","",Pricing_Details[[#This Row],[Total Discount]]*Pricing_Details[[#This Row],[Quantity]])</f>
        <v/>
      </c>
      <c r="AC299" s="176" t="str">
        <f>IFERROR(ROUND(Pricing_Details[[#This Row],[Actual Price]]*Pricing_Details[[#This Row],[Quantity]],2),"")</f>
        <v/>
      </c>
      <c r="AE299" s="156" t="str">
        <f>IF('Bulk Order Details'!M309="","",VLOOKUP('Bulk Order Details'!K309,Collection[],3)&amp;VLOOKUP('Bulk Order Details'!M309,Collar[],4)&amp;VLOOKUP('Bulk Order Details'!L309,Sleeve[],4))</f>
        <v/>
      </c>
      <c r="AF299" s="156" t="str">
        <f>IF('Bulk Order Details'!M309="","",LOOKUP('Bulk Order Details'!H309,Cut[Display],Cut[Code])&amp;LOOKUP('Bulk Order Details'!I309,#REF!,#REF!)&amp;IF('Bulk Order Details'!J309="","",LOOKUP('Bulk Order Details'!J309,Length[Display],Length[Code])))</f>
        <v/>
      </c>
      <c r="AG299" s="156" t="str">
        <f>IF('Bulk Order Details'!M309="","",IF('Bulk Order Details'!F309="","",'Bulk Order Details'!F309))</f>
        <v/>
      </c>
      <c r="AH299" s="156" t="str">
        <f>IF('Bulk Order Details'!R309="","","-"&amp;LOOKUP('Bulk Order Details'!R309,#REF!,#REF!))</f>
        <v/>
      </c>
      <c r="AI299" s="156" t="str">
        <f>IF('Bulk Order Details'!S309="","","-"&amp;LOOKUP('Bulk Order Details'!S309,#REF!,#REF!))</f>
        <v/>
      </c>
      <c r="AJ299" s="156" t="str">
        <f>IF('Bulk Order Details'!T309="","","-"&amp;LOOKUP('Bulk Order Details'!T309,#REF!,#REF!))</f>
        <v/>
      </c>
      <c r="AK299" s="156" t="str">
        <f>IF('Bulk Order Details'!U309="","","-"&amp;LOOKUP('Bulk Order Details'!U309,#REF!,#REF!))</f>
        <v/>
      </c>
      <c r="AL299" s="156" t="str">
        <f>IF('Bulk Order Details'!V309="","","-"&amp;LOOKUP('Bulk Order Details'!V309,#REF!,#REF!))</f>
        <v/>
      </c>
      <c r="AM299" s="156" t="str">
        <f t="shared" si="22"/>
        <v/>
      </c>
      <c r="AN299" s="156" t="str">
        <f>IF('Bulk Order Details'!N309="","","Na-"&amp;'Bulk Order Details'!N309)</f>
        <v/>
      </c>
      <c r="AO299" s="156" t="str">
        <f>IF('Bulk Order Details'!Q309="","","Fo-"&amp;'Bulk Order Details'!Q309)</f>
        <v/>
      </c>
      <c r="AP299" s="156" t="str">
        <f t="shared" si="23"/>
        <v/>
      </c>
      <c r="AQ299" s="37" t="str">
        <f t="shared" si="24"/>
        <v/>
      </c>
    </row>
    <row r="300" spans="2:43" ht="15" customHeight="1" x14ac:dyDescent="0.2">
      <c r="B300" s="34">
        <f>'Bulk Order Details'!B310</f>
        <v>297</v>
      </c>
      <c r="C300" s="34" t="str">
        <f>IF('Bulk Order Details'!C310="","",'Bulk Order Details'!C310&amp;" "&amp;'Bulk Order Details'!D310)</f>
        <v/>
      </c>
      <c r="D300" s="31" t="str">
        <f>IF('Bulk Order Details'!M310="","",VLOOKUP(1,Price[],3))</f>
        <v/>
      </c>
      <c r="E300" s="29" t="str">
        <f>IF('Bulk Order Details'!M310="","",Summary!$D$9)</f>
        <v/>
      </c>
      <c r="F300" s="16" t="str">
        <f>IF('Bulk Order Details'!I310="","",_xlfn.XLOOKUP('Bulk Order Details'!I310,Size[Display],Size[Price]))</f>
        <v/>
      </c>
      <c r="G300" s="16" t="str">
        <f>IF('Bulk Order Details'!J310="","",_xlfn.XLOOKUP('Bulk Order Details'!J310,Length[Display],Length[Price]))</f>
        <v/>
      </c>
      <c r="H300" s="16" t="str">
        <f>IF('Bulk Order Details'!K310="","",_xlfn.XLOOKUP('Bulk Order Details'!K310,Collection[Display],Collection[Price]))</f>
        <v/>
      </c>
      <c r="I300" s="16" t="str">
        <f>IF('Bulk Order Details'!L310="","",_xlfn.XLOOKUP('Bulk Order Details'!L310,Sleeve[Display],Sleeve[Price]))</f>
        <v/>
      </c>
      <c r="J300" s="16" t="str">
        <f>IF('Bulk Order Details'!M310="","",_xlfn.XLOOKUP('Bulk Order Details'!M310,Collar[Display],Collar[Price]))</f>
        <v/>
      </c>
      <c r="K300" s="16" t="str">
        <f>IF('Bulk Order Details'!N310="","",_xlfn.XLOOKUP("Name",Name[Name],Name[Price]))</f>
        <v/>
      </c>
      <c r="L300" s="18" t="str">
        <f>IFERROR(IF('Bulk Order Details'!R310="","",IF(_xlfn.XLOOKUP('Bulk Order Details'!R310,Logos[Display],Logos[Use])="Flat",_xlfn.XLOOKUP('Bulk Order Details'!R310,Logos[Display],Logos[Flat]),ROUND(_xlfn.XLOOKUP('Bulk Order Details'!R310,Logos[Display],Logos[Pct])*$E300,2))),"")</f>
        <v/>
      </c>
      <c r="M300" s="22" t="str">
        <f>IFERROR(IF('Bulk Order Details'!S310="","",IF(_xlfn.XLOOKUP('Bulk Order Details'!S310,Chest[Display],Chest[Use])="Flat",_xlfn.XLOOKUP('Bulk Order Details'!S310,Chest[Display],Chest[Flat]),ROUND(_xlfn.XLOOKUP('Bulk Order Details'!S310,Chest[Display],Chest[Pct])*$E300,2))),"")</f>
        <v/>
      </c>
      <c r="N300" s="22" t="str">
        <f>IFERROR(IF('Bulk Order Details'!T310="","",IF(_xlfn.XLOOKUP('Bulk Order Details'!T310,Chest[Display],Chest[Use])="Flat",_xlfn.XLOOKUP('Bulk Order Details'!T310,Chest[Display],Chest[Flat]),ROUND(_xlfn.XLOOKUP('Bulk Order Details'!T310,Chest[Display],Chest[Pct])*$E300,2))),"")</f>
        <v/>
      </c>
      <c r="O300" s="22" t="str">
        <f>IFERROR(IF('Bulk Order Details'!U310="","",IF(_xlfn.XLOOKUP('Bulk Order Details'!U310,LeftSleeve[Display],LeftSleeve[Use])="Flat",_xlfn.XLOOKUP('Bulk Order Details'!U310,LeftSleeve[Display],LeftSleeve[Flat]),ROUND(_xlfn.XLOOKUP('Bulk Order Details'!U310,LeftSleeve[Display],LeftSleeve[Pct])*$E300,2))),"")</f>
        <v/>
      </c>
      <c r="P300" s="22" t="str">
        <f>IFERROR(IF('Bulk Order Details'!V310="","",IF(_xlfn.XLOOKUP('Bulk Order Details'!V310,RightSleeve[Display],RightSleeve[Use])="Flat",_xlfn.XLOOKUP('Bulk Order Details'!V310,RightSleeve[Display],RightSleeve[Flat]),ROUND(_xlfn.XLOOKUP('Bulk Order Details'!V310,RightSleeve[Display],RightSleeve[Pct])*$E300,2))),"")</f>
        <v/>
      </c>
      <c r="Q300" s="27" t="str">
        <f>IF('Bulk Order Details'!M310="","",SUM(F300:P300))</f>
        <v/>
      </c>
      <c r="R300" s="24" t="str">
        <f t="shared" si="21"/>
        <v/>
      </c>
      <c r="S300" s="23" t="str">
        <f>IFERROR(MIN(IF(Summary!$D$11="Yes",-J300,0),IF(H300&gt;0,-J300,0)),"")</f>
        <v/>
      </c>
      <c r="T300" s="16" t="str">
        <f>IFERROR(IF(Summary!$D$10="Yes",-K300,""),"")</f>
        <v/>
      </c>
      <c r="U300" s="18" t="str">
        <f>IFERROR(IF(Summary!$D$12="Yes",-L300,""),"")</f>
        <v/>
      </c>
      <c r="V300" s="25" t="str">
        <f>IF('Bulk Order Details'!M310="","",SUM(R300:U300))</f>
        <v/>
      </c>
      <c r="W300" s="36" t="str">
        <f>IF('Bulk Order Details'!M310="","",D300+Q300)</f>
        <v/>
      </c>
      <c r="X300" s="37" t="str">
        <f>IF('Bulk Order Details'!M310="","",D300+Q300+V300)</f>
        <v/>
      </c>
      <c r="Y300" s="168" t="str">
        <f t="shared" si="20"/>
        <v/>
      </c>
      <c r="Z300" s="173" t="str">
        <f>IF('Bulk Order Details'!M310="","",MAX(1,'Bulk Order Details'!G310))</f>
        <v/>
      </c>
      <c r="AA300" s="196" t="str">
        <f>IF(Pricing_Details[[#This Row],[Quantity]]="","",Pricing_Details[[#This Row],[Retail Price]]*Pricing_Details[[#This Row],[Quantity]])</f>
        <v/>
      </c>
      <c r="AB300" s="196" t="str">
        <f>IF(Pricing_Details[[#This Row],[Quantity]]="","",Pricing_Details[[#This Row],[Total Discount]]*Pricing_Details[[#This Row],[Quantity]])</f>
        <v/>
      </c>
      <c r="AC300" s="176" t="str">
        <f>IFERROR(ROUND(Pricing_Details[[#This Row],[Actual Price]]*Pricing_Details[[#This Row],[Quantity]],2),"")</f>
        <v/>
      </c>
      <c r="AE300" s="156" t="str">
        <f>IF('Bulk Order Details'!M310="","",VLOOKUP('Bulk Order Details'!K310,Collection[],3)&amp;VLOOKUP('Bulk Order Details'!M310,Collar[],4)&amp;VLOOKUP('Bulk Order Details'!L310,Sleeve[],4))</f>
        <v/>
      </c>
      <c r="AF300" s="156" t="str">
        <f>IF('Bulk Order Details'!M310="","",LOOKUP('Bulk Order Details'!H310,Cut[Display],Cut[Code])&amp;LOOKUP('Bulk Order Details'!I310,#REF!,#REF!)&amp;IF('Bulk Order Details'!J310="","",LOOKUP('Bulk Order Details'!J310,Length[Display],Length[Code])))</f>
        <v/>
      </c>
      <c r="AG300" s="156" t="str">
        <f>IF('Bulk Order Details'!M310="","",IF('Bulk Order Details'!F310="","",'Bulk Order Details'!F310))</f>
        <v/>
      </c>
      <c r="AH300" s="156" t="str">
        <f>IF('Bulk Order Details'!R310="","","-"&amp;LOOKUP('Bulk Order Details'!R310,#REF!,#REF!))</f>
        <v/>
      </c>
      <c r="AI300" s="156" t="str">
        <f>IF('Bulk Order Details'!S310="","","-"&amp;LOOKUP('Bulk Order Details'!S310,#REF!,#REF!))</f>
        <v/>
      </c>
      <c r="AJ300" s="156" t="str">
        <f>IF('Bulk Order Details'!T310="","","-"&amp;LOOKUP('Bulk Order Details'!T310,#REF!,#REF!))</f>
        <v/>
      </c>
      <c r="AK300" s="156" t="str">
        <f>IF('Bulk Order Details'!U310="","","-"&amp;LOOKUP('Bulk Order Details'!U310,#REF!,#REF!))</f>
        <v/>
      </c>
      <c r="AL300" s="156" t="str">
        <f>IF('Bulk Order Details'!V310="","","-"&amp;LOOKUP('Bulk Order Details'!V310,#REF!,#REF!))</f>
        <v/>
      </c>
      <c r="AM300" s="156" t="str">
        <f t="shared" si="22"/>
        <v/>
      </c>
      <c r="AN300" s="156" t="str">
        <f>IF('Bulk Order Details'!N310="","","Na-"&amp;'Bulk Order Details'!N310)</f>
        <v/>
      </c>
      <c r="AO300" s="156" t="str">
        <f>IF('Bulk Order Details'!Q310="","","Fo-"&amp;'Bulk Order Details'!Q310)</f>
        <v/>
      </c>
      <c r="AP300" s="156" t="str">
        <f t="shared" si="23"/>
        <v/>
      </c>
      <c r="AQ300" s="37" t="str">
        <f t="shared" si="24"/>
        <v/>
      </c>
    </row>
    <row r="301" spans="2:43" ht="15" customHeight="1" x14ac:dyDescent="0.2">
      <c r="B301" s="34">
        <f>'Bulk Order Details'!B311</f>
        <v>298</v>
      </c>
      <c r="C301" s="34" t="str">
        <f>IF('Bulk Order Details'!C311="","",'Bulk Order Details'!C311&amp;" "&amp;'Bulk Order Details'!D311)</f>
        <v/>
      </c>
      <c r="D301" s="31" t="str">
        <f>IF('Bulk Order Details'!M311="","",VLOOKUP(1,Price[],3))</f>
        <v/>
      </c>
      <c r="E301" s="29" t="str">
        <f>IF('Bulk Order Details'!M311="","",Summary!$D$9)</f>
        <v/>
      </c>
      <c r="F301" s="16" t="str">
        <f>IF('Bulk Order Details'!I311="","",_xlfn.XLOOKUP('Bulk Order Details'!I311,Size[Display],Size[Price]))</f>
        <v/>
      </c>
      <c r="G301" s="16" t="str">
        <f>IF('Bulk Order Details'!J311="","",_xlfn.XLOOKUP('Bulk Order Details'!J311,Length[Display],Length[Price]))</f>
        <v/>
      </c>
      <c r="H301" s="16" t="str">
        <f>IF('Bulk Order Details'!K311="","",_xlfn.XLOOKUP('Bulk Order Details'!K311,Collection[Display],Collection[Price]))</f>
        <v/>
      </c>
      <c r="I301" s="16" t="str">
        <f>IF('Bulk Order Details'!L311="","",_xlfn.XLOOKUP('Bulk Order Details'!L311,Sleeve[Display],Sleeve[Price]))</f>
        <v/>
      </c>
      <c r="J301" s="16" t="str">
        <f>IF('Bulk Order Details'!M311="","",_xlfn.XLOOKUP('Bulk Order Details'!M311,Collar[Display],Collar[Price]))</f>
        <v/>
      </c>
      <c r="K301" s="16" t="str">
        <f>IF('Bulk Order Details'!N311="","",_xlfn.XLOOKUP("Name",Name[Name],Name[Price]))</f>
        <v/>
      </c>
      <c r="L301" s="18" t="str">
        <f>IFERROR(IF('Bulk Order Details'!R311="","",IF(_xlfn.XLOOKUP('Bulk Order Details'!R311,Logos[Display],Logos[Use])="Flat",_xlfn.XLOOKUP('Bulk Order Details'!R311,Logos[Display],Logos[Flat]),ROUND(_xlfn.XLOOKUP('Bulk Order Details'!R311,Logos[Display],Logos[Pct])*$E301,2))),"")</f>
        <v/>
      </c>
      <c r="M301" s="22" t="str">
        <f>IFERROR(IF('Bulk Order Details'!S311="","",IF(_xlfn.XLOOKUP('Bulk Order Details'!S311,Chest[Display],Chest[Use])="Flat",_xlfn.XLOOKUP('Bulk Order Details'!S311,Chest[Display],Chest[Flat]),ROUND(_xlfn.XLOOKUP('Bulk Order Details'!S311,Chest[Display],Chest[Pct])*$E301,2))),"")</f>
        <v/>
      </c>
      <c r="N301" s="22" t="str">
        <f>IFERROR(IF('Bulk Order Details'!T311="","",IF(_xlfn.XLOOKUP('Bulk Order Details'!T311,Chest[Display],Chest[Use])="Flat",_xlfn.XLOOKUP('Bulk Order Details'!T311,Chest[Display],Chest[Flat]),ROUND(_xlfn.XLOOKUP('Bulk Order Details'!T311,Chest[Display],Chest[Pct])*$E301,2))),"")</f>
        <v/>
      </c>
      <c r="O301" s="22" t="str">
        <f>IFERROR(IF('Bulk Order Details'!U311="","",IF(_xlfn.XLOOKUP('Bulk Order Details'!U311,LeftSleeve[Display],LeftSleeve[Use])="Flat",_xlfn.XLOOKUP('Bulk Order Details'!U311,LeftSleeve[Display],LeftSleeve[Flat]),ROUND(_xlfn.XLOOKUP('Bulk Order Details'!U311,LeftSleeve[Display],LeftSleeve[Pct])*$E301,2))),"")</f>
        <v/>
      </c>
      <c r="P301" s="22" t="str">
        <f>IFERROR(IF('Bulk Order Details'!V311="","",IF(_xlfn.XLOOKUP('Bulk Order Details'!V311,RightSleeve[Display],RightSleeve[Use])="Flat",_xlfn.XLOOKUP('Bulk Order Details'!V311,RightSleeve[Display],RightSleeve[Flat]),ROUND(_xlfn.XLOOKUP('Bulk Order Details'!V311,RightSleeve[Display],RightSleeve[Pct])*$E301,2))),"")</f>
        <v/>
      </c>
      <c r="Q301" s="27" t="str">
        <f>IF('Bulk Order Details'!M311="","",SUM(F301:P301))</f>
        <v/>
      </c>
      <c r="R301" s="24" t="str">
        <f t="shared" si="21"/>
        <v/>
      </c>
      <c r="S301" s="23" t="str">
        <f>IFERROR(MIN(IF(Summary!$D$11="Yes",-J301,0),IF(H301&gt;0,-J301,0)),"")</f>
        <v/>
      </c>
      <c r="T301" s="16" t="str">
        <f>IFERROR(IF(Summary!$D$10="Yes",-K301,""),"")</f>
        <v/>
      </c>
      <c r="U301" s="18" t="str">
        <f>IFERROR(IF(Summary!$D$12="Yes",-L301,""),"")</f>
        <v/>
      </c>
      <c r="V301" s="25" t="str">
        <f>IF('Bulk Order Details'!M311="","",SUM(R301:U301))</f>
        <v/>
      </c>
      <c r="W301" s="36" t="str">
        <f>IF('Bulk Order Details'!M311="","",D301+Q301)</f>
        <v/>
      </c>
      <c r="X301" s="37" t="str">
        <f>IF('Bulk Order Details'!M311="","",D301+Q301+V301)</f>
        <v/>
      </c>
      <c r="Y301" s="168" t="str">
        <f t="shared" si="20"/>
        <v/>
      </c>
      <c r="Z301" s="173" t="str">
        <f>IF('Bulk Order Details'!M311="","",MAX(1,'Bulk Order Details'!G311))</f>
        <v/>
      </c>
      <c r="AA301" s="196" t="str">
        <f>IF(Pricing_Details[[#This Row],[Quantity]]="","",Pricing_Details[[#This Row],[Retail Price]]*Pricing_Details[[#This Row],[Quantity]])</f>
        <v/>
      </c>
      <c r="AB301" s="196" t="str">
        <f>IF(Pricing_Details[[#This Row],[Quantity]]="","",Pricing_Details[[#This Row],[Total Discount]]*Pricing_Details[[#This Row],[Quantity]])</f>
        <v/>
      </c>
      <c r="AC301" s="176" t="str">
        <f>IFERROR(ROUND(Pricing_Details[[#This Row],[Actual Price]]*Pricing_Details[[#This Row],[Quantity]],2),"")</f>
        <v/>
      </c>
      <c r="AE301" s="156" t="str">
        <f>IF('Bulk Order Details'!M311="","",VLOOKUP('Bulk Order Details'!K311,Collection[],3)&amp;VLOOKUP('Bulk Order Details'!M311,Collar[],4)&amp;VLOOKUP('Bulk Order Details'!L311,Sleeve[],4))</f>
        <v/>
      </c>
      <c r="AF301" s="156" t="str">
        <f>IF('Bulk Order Details'!M311="","",LOOKUP('Bulk Order Details'!H311,Cut[Display],Cut[Code])&amp;LOOKUP('Bulk Order Details'!I311,#REF!,#REF!)&amp;IF('Bulk Order Details'!J311="","",LOOKUP('Bulk Order Details'!J311,Length[Display],Length[Code])))</f>
        <v/>
      </c>
      <c r="AG301" s="156" t="str">
        <f>IF('Bulk Order Details'!M311="","",IF('Bulk Order Details'!F311="","",'Bulk Order Details'!F311))</f>
        <v/>
      </c>
      <c r="AH301" s="156" t="str">
        <f>IF('Bulk Order Details'!R311="","","-"&amp;LOOKUP('Bulk Order Details'!R311,#REF!,#REF!))</f>
        <v/>
      </c>
      <c r="AI301" s="156" t="str">
        <f>IF('Bulk Order Details'!S311="","","-"&amp;LOOKUP('Bulk Order Details'!S311,#REF!,#REF!))</f>
        <v/>
      </c>
      <c r="AJ301" s="156" t="str">
        <f>IF('Bulk Order Details'!T311="","","-"&amp;LOOKUP('Bulk Order Details'!T311,#REF!,#REF!))</f>
        <v/>
      </c>
      <c r="AK301" s="156" t="str">
        <f>IF('Bulk Order Details'!U311="","","-"&amp;LOOKUP('Bulk Order Details'!U311,#REF!,#REF!))</f>
        <v/>
      </c>
      <c r="AL301" s="156" t="str">
        <f>IF('Bulk Order Details'!V311="","","-"&amp;LOOKUP('Bulk Order Details'!V311,#REF!,#REF!))</f>
        <v/>
      </c>
      <c r="AM301" s="156" t="str">
        <f t="shared" si="22"/>
        <v/>
      </c>
      <c r="AN301" s="156" t="str">
        <f>IF('Bulk Order Details'!N311="","","Na-"&amp;'Bulk Order Details'!N311)</f>
        <v/>
      </c>
      <c r="AO301" s="156" t="str">
        <f>IF('Bulk Order Details'!Q311="","","Fo-"&amp;'Bulk Order Details'!Q311)</f>
        <v/>
      </c>
      <c r="AP301" s="156" t="str">
        <f t="shared" si="23"/>
        <v/>
      </c>
      <c r="AQ301" s="37" t="str">
        <f t="shared" si="24"/>
        <v/>
      </c>
    </row>
    <row r="302" spans="2:43" ht="15" customHeight="1" x14ac:dyDescent="0.2">
      <c r="B302" s="34">
        <f>'Bulk Order Details'!B312</f>
        <v>299</v>
      </c>
      <c r="C302" s="34" t="str">
        <f>IF('Bulk Order Details'!C312="","",'Bulk Order Details'!C312&amp;" "&amp;'Bulk Order Details'!D312)</f>
        <v/>
      </c>
      <c r="D302" s="31" t="str">
        <f>IF('Bulk Order Details'!M312="","",VLOOKUP(1,Price[],3))</f>
        <v/>
      </c>
      <c r="E302" s="29" t="str">
        <f>IF('Bulk Order Details'!M312="","",Summary!$D$9)</f>
        <v/>
      </c>
      <c r="F302" s="16" t="str">
        <f>IF('Bulk Order Details'!I312="","",_xlfn.XLOOKUP('Bulk Order Details'!I312,Size[Display],Size[Price]))</f>
        <v/>
      </c>
      <c r="G302" s="16" t="str">
        <f>IF('Bulk Order Details'!J312="","",_xlfn.XLOOKUP('Bulk Order Details'!J312,Length[Display],Length[Price]))</f>
        <v/>
      </c>
      <c r="H302" s="16" t="str">
        <f>IF('Bulk Order Details'!K312="","",_xlfn.XLOOKUP('Bulk Order Details'!K312,Collection[Display],Collection[Price]))</f>
        <v/>
      </c>
      <c r="I302" s="16" t="str">
        <f>IF('Bulk Order Details'!L312="","",_xlfn.XLOOKUP('Bulk Order Details'!L312,Sleeve[Display],Sleeve[Price]))</f>
        <v/>
      </c>
      <c r="J302" s="16" t="str">
        <f>IF('Bulk Order Details'!M312="","",_xlfn.XLOOKUP('Bulk Order Details'!M312,Collar[Display],Collar[Price]))</f>
        <v/>
      </c>
      <c r="K302" s="16" t="str">
        <f>IF('Bulk Order Details'!N312="","",_xlfn.XLOOKUP("Name",Name[Name],Name[Price]))</f>
        <v/>
      </c>
      <c r="L302" s="18" t="str">
        <f>IFERROR(IF('Bulk Order Details'!R312="","",IF(_xlfn.XLOOKUP('Bulk Order Details'!R312,Logos[Display],Logos[Use])="Flat",_xlfn.XLOOKUP('Bulk Order Details'!R312,Logos[Display],Logos[Flat]),ROUND(_xlfn.XLOOKUP('Bulk Order Details'!R312,Logos[Display],Logos[Pct])*$E302,2))),"")</f>
        <v/>
      </c>
      <c r="M302" s="22" t="str">
        <f>IFERROR(IF('Bulk Order Details'!S312="","",IF(_xlfn.XLOOKUP('Bulk Order Details'!S312,Chest[Display],Chest[Use])="Flat",_xlfn.XLOOKUP('Bulk Order Details'!S312,Chest[Display],Chest[Flat]),ROUND(_xlfn.XLOOKUP('Bulk Order Details'!S312,Chest[Display],Chest[Pct])*$E302,2))),"")</f>
        <v/>
      </c>
      <c r="N302" s="22" t="str">
        <f>IFERROR(IF('Bulk Order Details'!T312="","",IF(_xlfn.XLOOKUP('Bulk Order Details'!T312,Chest[Display],Chest[Use])="Flat",_xlfn.XLOOKUP('Bulk Order Details'!T312,Chest[Display],Chest[Flat]),ROUND(_xlfn.XLOOKUP('Bulk Order Details'!T312,Chest[Display],Chest[Pct])*$E302,2))),"")</f>
        <v/>
      </c>
      <c r="O302" s="22" t="str">
        <f>IFERROR(IF('Bulk Order Details'!U312="","",IF(_xlfn.XLOOKUP('Bulk Order Details'!U312,LeftSleeve[Display],LeftSleeve[Use])="Flat",_xlfn.XLOOKUP('Bulk Order Details'!U312,LeftSleeve[Display],LeftSleeve[Flat]),ROUND(_xlfn.XLOOKUP('Bulk Order Details'!U312,LeftSleeve[Display],LeftSleeve[Pct])*$E302,2))),"")</f>
        <v/>
      </c>
      <c r="P302" s="22" t="str">
        <f>IFERROR(IF('Bulk Order Details'!V312="","",IF(_xlfn.XLOOKUP('Bulk Order Details'!V312,RightSleeve[Display],RightSleeve[Use])="Flat",_xlfn.XLOOKUP('Bulk Order Details'!V312,RightSleeve[Display],RightSleeve[Flat]),ROUND(_xlfn.XLOOKUP('Bulk Order Details'!V312,RightSleeve[Display],RightSleeve[Pct])*$E302,2))),"")</f>
        <v/>
      </c>
      <c r="Q302" s="27" t="str">
        <f>IF('Bulk Order Details'!M312="","",SUM(F302:P302))</f>
        <v/>
      </c>
      <c r="R302" s="24" t="str">
        <f t="shared" si="21"/>
        <v/>
      </c>
      <c r="S302" s="23" t="str">
        <f>IFERROR(MIN(IF(Summary!$D$11="Yes",-J302,0),IF(H302&gt;0,-J302,0)),"")</f>
        <v/>
      </c>
      <c r="T302" s="16" t="str">
        <f>IFERROR(IF(Summary!$D$10="Yes",-K302,""),"")</f>
        <v/>
      </c>
      <c r="U302" s="18" t="str">
        <f>IFERROR(IF(Summary!$D$12="Yes",-L302,""),"")</f>
        <v/>
      </c>
      <c r="V302" s="25" t="str">
        <f>IF('Bulk Order Details'!M312="","",SUM(R302:U302))</f>
        <v/>
      </c>
      <c r="W302" s="36" t="str">
        <f>IF('Bulk Order Details'!M312="","",D302+Q302)</f>
        <v/>
      </c>
      <c r="X302" s="37" t="str">
        <f>IF('Bulk Order Details'!M312="","",D302+Q302+V302)</f>
        <v/>
      </c>
      <c r="Y302" s="168" t="str">
        <f t="shared" si="20"/>
        <v/>
      </c>
      <c r="Z302" s="173" t="str">
        <f>IF('Bulk Order Details'!M312="","",MAX(1,'Bulk Order Details'!G312))</f>
        <v/>
      </c>
      <c r="AA302" s="196" t="str">
        <f>IF(Pricing_Details[[#This Row],[Quantity]]="","",Pricing_Details[[#This Row],[Retail Price]]*Pricing_Details[[#This Row],[Quantity]])</f>
        <v/>
      </c>
      <c r="AB302" s="196" t="str">
        <f>IF(Pricing_Details[[#This Row],[Quantity]]="","",Pricing_Details[[#This Row],[Total Discount]]*Pricing_Details[[#This Row],[Quantity]])</f>
        <v/>
      </c>
      <c r="AC302" s="176" t="str">
        <f>IFERROR(ROUND(Pricing_Details[[#This Row],[Actual Price]]*Pricing_Details[[#This Row],[Quantity]],2),"")</f>
        <v/>
      </c>
      <c r="AE302" s="156" t="str">
        <f>IF('Bulk Order Details'!M312="","",VLOOKUP('Bulk Order Details'!K312,Collection[],3)&amp;VLOOKUP('Bulk Order Details'!M312,Collar[],4)&amp;VLOOKUP('Bulk Order Details'!L312,Sleeve[],4))</f>
        <v/>
      </c>
      <c r="AF302" s="156" t="str">
        <f>IF('Bulk Order Details'!M312="","",LOOKUP('Bulk Order Details'!H312,Cut[Display],Cut[Code])&amp;LOOKUP('Bulk Order Details'!I312,#REF!,#REF!)&amp;IF('Bulk Order Details'!J312="","",LOOKUP('Bulk Order Details'!J312,Length[Display],Length[Code])))</f>
        <v/>
      </c>
      <c r="AG302" s="156" t="str">
        <f>IF('Bulk Order Details'!M312="","",IF('Bulk Order Details'!F312="","",'Bulk Order Details'!F312))</f>
        <v/>
      </c>
      <c r="AH302" s="156" t="str">
        <f>IF('Bulk Order Details'!R312="","","-"&amp;LOOKUP('Bulk Order Details'!R312,#REF!,#REF!))</f>
        <v/>
      </c>
      <c r="AI302" s="156" t="str">
        <f>IF('Bulk Order Details'!S312="","","-"&amp;LOOKUP('Bulk Order Details'!S312,#REF!,#REF!))</f>
        <v/>
      </c>
      <c r="AJ302" s="156" t="str">
        <f>IF('Bulk Order Details'!T312="","","-"&amp;LOOKUP('Bulk Order Details'!T312,#REF!,#REF!))</f>
        <v/>
      </c>
      <c r="AK302" s="156" t="str">
        <f>IF('Bulk Order Details'!U312="","","-"&amp;LOOKUP('Bulk Order Details'!U312,#REF!,#REF!))</f>
        <v/>
      </c>
      <c r="AL302" s="156" t="str">
        <f>IF('Bulk Order Details'!V312="","","-"&amp;LOOKUP('Bulk Order Details'!V312,#REF!,#REF!))</f>
        <v/>
      </c>
      <c r="AM302" s="156" t="str">
        <f t="shared" si="22"/>
        <v/>
      </c>
      <c r="AN302" s="156" t="str">
        <f>IF('Bulk Order Details'!N312="","","Na-"&amp;'Bulk Order Details'!N312)</f>
        <v/>
      </c>
      <c r="AO302" s="156" t="str">
        <f>IF('Bulk Order Details'!Q312="","","Fo-"&amp;'Bulk Order Details'!Q312)</f>
        <v/>
      </c>
      <c r="AP302" s="156" t="str">
        <f t="shared" si="23"/>
        <v/>
      </c>
      <c r="AQ302" s="37" t="str">
        <f t="shared" si="24"/>
        <v/>
      </c>
    </row>
    <row r="303" spans="2:43" ht="15" customHeight="1" x14ac:dyDescent="0.2">
      <c r="B303" s="34">
        <f>'Bulk Order Details'!B313</f>
        <v>300</v>
      </c>
      <c r="C303" s="34" t="str">
        <f>IF('Bulk Order Details'!C313="","",'Bulk Order Details'!C313&amp;" "&amp;'Bulk Order Details'!D313)</f>
        <v/>
      </c>
      <c r="D303" s="31" t="str">
        <f>IF('Bulk Order Details'!M313="","",VLOOKUP(1,Price[],3))</f>
        <v/>
      </c>
      <c r="E303" s="29" t="str">
        <f>IF('Bulk Order Details'!M313="","",Summary!$D$9)</f>
        <v/>
      </c>
      <c r="F303" s="16" t="str">
        <f>IF('Bulk Order Details'!I313="","",_xlfn.XLOOKUP('Bulk Order Details'!I313,Size[Display],Size[Price]))</f>
        <v/>
      </c>
      <c r="G303" s="16" t="str">
        <f>IF('Bulk Order Details'!J313="","",_xlfn.XLOOKUP('Bulk Order Details'!J313,Length[Display],Length[Price]))</f>
        <v/>
      </c>
      <c r="H303" s="16" t="str">
        <f>IF('Bulk Order Details'!K313="","",_xlfn.XLOOKUP('Bulk Order Details'!K313,Collection[Display],Collection[Price]))</f>
        <v/>
      </c>
      <c r="I303" s="16" t="str">
        <f>IF('Bulk Order Details'!L313="","",_xlfn.XLOOKUP('Bulk Order Details'!L313,Sleeve[Display],Sleeve[Price]))</f>
        <v/>
      </c>
      <c r="J303" s="16" t="str">
        <f>IF('Bulk Order Details'!M313="","",_xlfn.XLOOKUP('Bulk Order Details'!M313,Collar[Display],Collar[Price]))</f>
        <v/>
      </c>
      <c r="K303" s="16" t="str">
        <f>IF('Bulk Order Details'!N313="","",_xlfn.XLOOKUP("Name",Name[Name],Name[Price]))</f>
        <v/>
      </c>
      <c r="L303" s="18" t="str">
        <f>IFERROR(IF('Bulk Order Details'!R313="","",IF(_xlfn.XLOOKUP('Bulk Order Details'!R313,Logos[Display],Logos[Use])="Flat",_xlfn.XLOOKUP('Bulk Order Details'!R313,Logos[Display],Logos[Flat]),ROUND(_xlfn.XLOOKUP('Bulk Order Details'!R313,Logos[Display],Logos[Pct])*$E303,2))),"")</f>
        <v/>
      </c>
      <c r="M303" s="22" t="str">
        <f>IFERROR(IF('Bulk Order Details'!S313="","",IF(_xlfn.XLOOKUP('Bulk Order Details'!S313,Chest[Display],Chest[Use])="Flat",_xlfn.XLOOKUP('Bulk Order Details'!S313,Chest[Display],Chest[Flat]),ROUND(_xlfn.XLOOKUP('Bulk Order Details'!S313,Chest[Display],Chest[Pct])*$E303,2))),"")</f>
        <v/>
      </c>
      <c r="N303" s="22" t="str">
        <f>IFERROR(IF('Bulk Order Details'!T313="","",IF(_xlfn.XLOOKUP('Bulk Order Details'!T313,Chest[Display],Chest[Use])="Flat",_xlfn.XLOOKUP('Bulk Order Details'!T313,Chest[Display],Chest[Flat]),ROUND(_xlfn.XLOOKUP('Bulk Order Details'!T313,Chest[Display],Chest[Pct])*$E303,2))),"")</f>
        <v/>
      </c>
      <c r="O303" s="22" t="str">
        <f>IFERROR(IF('Bulk Order Details'!U313="","",IF(_xlfn.XLOOKUP('Bulk Order Details'!U313,LeftSleeve[Display],LeftSleeve[Use])="Flat",_xlfn.XLOOKUP('Bulk Order Details'!U313,LeftSleeve[Display],LeftSleeve[Flat]),ROUND(_xlfn.XLOOKUP('Bulk Order Details'!U313,LeftSleeve[Display],LeftSleeve[Pct])*$E303,2))),"")</f>
        <v/>
      </c>
      <c r="P303" s="22" t="str">
        <f>IFERROR(IF('Bulk Order Details'!V313="","",IF(_xlfn.XLOOKUP('Bulk Order Details'!V313,RightSleeve[Display],RightSleeve[Use])="Flat",_xlfn.XLOOKUP('Bulk Order Details'!V313,RightSleeve[Display],RightSleeve[Flat]),ROUND(_xlfn.XLOOKUP('Bulk Order Details'!V313,RightSleeve[Display],RightSleeve[Pct])*$E303,2))),"")</f>
        <v/>
      </c>
      <c r="Q303" s="27" t="str">
        <f>IF('Bulk Order Details'!M313="","",SUM(F303:P303))</f>
        <v/>
      </c>
      <c r="R303" s="24" t="str">
        <f t="shared" si="21"/>
        <v/>
      </c>
      <c r="S303" s="23" t="str">
        <f>IFERROR(MIN(IF(Summary!$D$11="Yes",-J303,0),IF(H303&gt;0,-J303,0)),"")</f>
        <v/>
      </c>
      <c r="T303" s="16" t="str">
        <f>IFERROR(IF(Summary!$D$10="Yes",-K303,""),"")</f>
        <v/>
      </c>
      <c r="U303" s="18" t="str">
        <f>IFERROR(IF(Summary!$D$12="Yes",-L303,""),"")</f>
        <v/>
      </c>
      <c r="V303" s="25" t="str">
        <f>IF('Bulk Order Details'!M313="","",SUM(R303:U303))</f>
        <v/>
      </c>
      <c r="W303" s="36" t="str">
        <f>IF('Bulk Order Details'!M313="","",D303+Q303)</f>
        <v/>
      </c>
      <c r="X303" s="37" t="str">
        <f>IF('Bulk Order Details'!M313="","",D303+Q303+V303)</f>
        <v/>
      </c>
      <c r="Y303" s="168" t="str">
        <f t="shared" si="20"/>
        <v/>
      </c>
      <c r="Z303" s="173" t="str">
        <f>IF('Bulk Order Details'!M313="","",MAX(1,'Bulk Order Details'!G313))</f>
        <v/>
      </c>
      <c r="AA303" s="196" t="str">
        <f>IF(Pricing_Details[[#This Row],[Quantity]]="","",Pricing_Details[[#This Row],[Retail Price]]*Pricing_Details[[#This Row],[Quantity]])</f>
        <v/>
      </c>
      <c r="AB303" s="196" t="str">
        <f>IF(Pricing_Details[[#This Row],[Quantity]]="","",Pricing_Details[[#This Row],[Total Discount]]*Pricing_Details[[#This Row],[Quantity]])</f>
        <v/>
      </c>
      <c r="AC303" s="176" t="str">
        <f>IFERROR(ROUND(Pricing_Details[[#This Row],[Actual Price]]*Pricing_Details[[#This Row],[Quantity]],2),"")</f>
        <v/>
      </c>
      <c r="AE303" s="156" t="str">
        <f>IF('Bulk Order Details'!M313="","",VLOOKUP('Bulk Order Details'!K313,Collection[],3)&amp;VLOOKUP('Bulk Order Details'!M313,Collar[],4)&amp;VLOOKUP('Bulk Order Details'!L313,Sleeve[],4))</f>
        <v/>
      </c>
      <c r="AF303" s="156" t="str">
        <f>IF('Bulk Order Details'!M313="","",LOOKUP('Bulk Order Details'!H313,Cut[Display],Cut[Code])&amp;LOOKUP('Bulk Order Details'!I313,#REF!,#REF!)&amp;IF('Bulk Order Details'!J313="","",LOOKUP('Bulk Order Details'!J313,Length[Display],Length[Code])))</f>
        <v/>
      </c>
      <c r="AG303" s="156" t="str">
        <f>IF('Bulk Order Details'!M313="","",IF('Bulk Order Details'!F313="","",'Bulk Order Details'!F313))</f>
        <v/>
      </c>
      <c r="AH303" s="156" t="str">
        <f>IF('Bulk Order Details'!R313="","","-"&amp;LOOKUP('Bulk Order Details'!R313,#REF!,#REF!))</f>
        <v/>
      </c>
      <c r="AI303" s="156" t="str">
        <f>IF('Bulk Order Details'!S313="","","-"&amp;LOOKUP('Bulk Order Details'!S313,#REF!,#REF!))</f>
        <v/>
      </c>
      <c r="AJ303" s="156" t="str">
        <f>IF('Bulk Order Details'!T313="","","-"&amp;LOOKUP('Bulk Order Details'!T313,#REF!,#REF!))</f>
        <v/>
      </c>
      <c r="AK303" s="156" t="str">
        <f>IF('Bulk Order Details'!U313="","","-"&amp;LOOKUP('Bulk Order Details'!U313,#REF!,#REF!))</f>
        <v/>
      </c>
      <c r="AL303" s="156" t="str">
        <f>IF('Bulk Order Details'!V313="","","-"&amp;LOOKUP('Bulk Order Details'!V313,#REF!,#REF!))</f>
        <v/>
      </c>
      <c r="AM303" s="156" t="str">
        <f t="shared" si="22"/>
        <v/>
      </c>
      <c r="AN303" s="156" t="str">
        <f>IF('Bulk Order Details'!N313="","","Na-"&amp;'Bulk Order Details'!N313)</f>
        <v/>
      </c>
      <c r="AO303" s="156" t="str">
        <f>IF('Bulk Order Details'!Q313="","","Fo-"&amp;'Bulk Order Details'!Q313)</f>
        <v/>
      </c>
      <c r="AP303" s="156" t="str">
        <f t="shared" si="23"/>
        <v/>
      </c>
      <c r="AQ303" s="37" t="str">
        <f t="shared" si="24"/>
        <v/>
      </c>
    </row>
    <row r="304" spans="2:43" s="75" customFormat="1" ht="15" customHeight="1" x14ac:dyDescent="0.2">
      <c r="B304" s="113"/>
      <c r="C304" s="113"/>
      <c r="D304" s="114"/>
      <c r="E304" s="115"/>
      <c r="F304" s="116"/>
      <c r="G304" s="116"/>
      <c r="H304" s="116"/>
      <c r="I304" s="116"/>
      <c r="J304" s="116"/>
      <c r="K304" s="116"/>
      <c r="L304" s="117"/>
      <c r="M304" s="117"/>
      <c r="N304" s="117"/>
      <c r="O304" s="117"/>
      <c r="P304" s="117"/>
      <c r="Q304" s="118"/>
      <c r="R304" s="117"/>
      <c r="S304" s="117"/>
      <c r="T304" s="117"/>
      <c r="U304" s="117"/>
      <c r="V304" s="118"/>
      <c r="W304" s="118"/>
      <c r="X304" s="115"/>
      <c r="Y304" s="119"/>
      <c r="Z304" s="170"/>
      <c r="AA304" s="170"/>
      <c r="AB304" s="170"/>
      <c r="AC304" s="118"/>
      <c r="AE304" s="155"/>
      <c r="AF304" s="155"/>
      <c r="AG304" s="155"/>
      <c r="AH304" s="155"/>
      <c r="AI304" s="155"/>
      <c r="AJ304" s="155"/>
      <c r="AK304" s="155"/>
      <c r="AL304" s="155"/>
      <c r="AM304" s="155"/>
      <c r="AN304" s="155"/>
      <c r="AO304" s="155"/>
      <c r="AP304" s="155"/>
    </row>
  </sheetData>
  <sheetProtection algorithmName="SHA-512" hashValue="us7gqURaImsnfQV5YoipvShKcQ0sWyIrTRJxk13JIxwfHEc6ZV+0eDQ1UscUo0l3hAXHrpW8wNT6ocobBIrYAA==" saltValue="6585//upNAtmtI/lnWQFRg==" spinCount="100000" sheet="1" objects="1" scenarios="1"/>
  <mergeCells count="4">
    <mergeCell ref="R2:V2"/>
    <mergeCell ref="D2:E2"/>
    <mergeCell ref="F2:Q2"/>
    <mergeCell ref="W2:Y2"/>
  </mergeCells>
  <phoneticPr fontId="11" type="noConversion"/>
  <pageMargins left="0" right="0" top="0" bottom="0" header="0" footer="0"/>
  <pageSetup scale="80" orientation="landscape" r:id="rId1"/>
  <headerFooter>
    <oddFooter>&amp;C&amp;"Helvetica Neue,Regular"&amp;12&amp;K000000&amp;P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65BB-57E8-4D56-A561-B2825B7EF432}">
  <sheetPr codeName="Sheet4"/>
  <dimension ref="A1:FA110"/>
  <sheetViews>
    <sheetView topLeftCell="XFD1" workbookViewId="0">
      <selection sqref="A1:XFD1048576"/>
    </sheetView>
  </sheetViews>
  <sheetFormatPr baseColWidth="10" defaultColWidth="0" defaultRowHeight="15" x14ac:dyDescent="0.2"/>
  <cols>
    <col min="1" max="1" width="10.5" hidden="1" customWidth="1"/>
    <col min="2" max="2" width="10.5" style="14" hidden="1" customWidth="1"/>
    <col min="3" max="3" width="6.6640625" style="6" hidden="1" customWidth="1"/>
    <col min="4" max="5" width="8.6640625" hidden="1" customWidth="1"/>
    <col min="6" max="6" width="7.33203125" style="12" hidden="1" customWidth="1"/>
    <col min="7" max="7" width="6.6640625" style="6" hidden="1" customWidth="1"/>
    <col min="8" max="8" width="8.33203125" style="6" hidden="1" customWidth="1"/>
    <col min="9" max="9" width="11.1640625" style="6" hidden="1" customWidth="1"/>
    <col min="10" max="10" width="8.33203125" style="6" hidden="1" customWidth="1"/>
    <col min="11" max="12" width="17.1640625" style="6" hidden="1" customWidth="1"/>
    <col min="13" max="14" width="15.6640625" style="6" hidden="1" customWidth="1"/>
    <col min="15" max="15" width="8.6640625" hidden="1" customWidth="1"/>
    <col min="16" max="16" width="15.6640625" hidden="1" customWidth="1"/>
    <col min="17" max="17" width="17.33203125" hidden="1" customWidth="1"/>
    <col min="18" max="18" width="7.33203125" hidden="1" customWidth="1"/>
    <col min="19" max="19" width="6.6640625" style="6" hidden="1" customWidth="1"/>
    <col min="20" max="20" width="11.5" style="6" hidden="1" customWidth="1"/>
    <col min="21" max="21" width="5.83203125" style="6" hidden="1" customWidth="1"/>
    <col min="22" max="22" width="15.6640625" hidden="1" customWidth="1"/>
    <col min="23" max="23" width="8.6640625" hidden="1" customWidth="1"/>
    <col min="24" max="24" width="13.1640625" hidden="1" customWidth="1"/>
    <col min="25" max="25" width="7.33203125" hidden="1" customWidth="1"/>
    <col min="26" max="26" width="7.1640625" hidden="1" customWidth="1"/>
    <col min="27" max="27" width="15.6640625" hidden="1" customWidth="1"/>
    <col min="28" max="28" width="8.6640625" hidden="1" customWidth="1"/>
    <col min="29" max="29" width="11.6640625" hidden="1" customWidth="1"/>
    <col min="30" max="31" width="8.6640625" hidden="1" customWidth="1"/>
    <col min="32" max="32" width="14.6640625" hidden="1" customWidth="1"/>
    <col min="33" max="33" width="10.6640625" hidden="1" customWidth="1"/>
    <col min="34" max="34" width="22.1640625" hidden="1" customWidth="1"/>
    <col min="35" max="35" width="9.6640625" style="10" hidden="1" customWidth="1"/>
    <col min="36" max="36" width="7.1640625" style="6" hidden="1" customWidth="1"/>
    <col min="37" max="37" width="10.33203125" hidden="1" customWidth="1"/>
    <col min="38" max="38" width="15.6640625" hidden="1" customWidth="1"/>
    <col min="39" max="39" width="24.1640625" hidden="1" customWidth="1"/>
    <col min="40" max="40" width="11.5" hidden="1" customWidth="1"/>
    <col min="41" max="42" width="25.33203125" hidden="1" customWidth="1"/>
    <col min="43" max="43" width="31.6640625" hidden="1" customWidth="1"/>
    <col min="44" max="44" width="22.1640625" hidden="1" customWidth="1"/>
    <col min="45" max="45" width="19.33203125" hidden="1" customWidth="1"/>
    <col min="46" max="46" width="8.6640625" hidden="1" customWidth="1"/>
    <col min="47" max="48" width="8.6640625" style="4" hidden="1" customWidth="1"/>
    <col min="49" max="49" width="16.33203125" style="1" hidden="1" customWidth="1"/>
    <col min="50" max="50" width="8.6640625" style="10" hidden="1" customWidth="1"/>
    <col min="51" max="53" width="8.6640625" style="6" hidden="1" customWidth="1"/>
    <col min="54" max="55" width="16.33203125" style="6" hidden="1" customWidth="1"/>
    <col min="56" max="56" width="7.83203125" style="6" hidden="1" customWidth="1"/>
    <col min="57" max="57" width="7.33203125" style="6" hidden="1" customWidth="1"/>
    <col min="58" max="58" width="8.6640625" hidden="1" customWidth="1"/>
    <col min="59" max="59" width="8.6640625" style="4" hidden="1" customWidth="1"/>
    <col min="60" max="60" width="10.1640625" style="4" hidden="1" customWidth="1"/>
    <col min="61" max="61" width="8.6640625" style="12" hidden="1" customWidth="1"/>
    <col min="62" max="62" width="6.6640625" style="6" hidden="1" customWidth="1"/>
    <col min="63" max="63" width="8.6640625" hidden="1" customWidth="1"/>
    <col min="64" max="64" width="13.5" hidden="1" customWidth="1"/>
    <col min="65" max="65" width="8" hidden="1" customWidth="1"/>
    <col min="66" max="66" width="20.6640625" hidden="1" customWidth="1"/>
    <col min="67" max="67" width="13.5" hidden="1" customWidth="1"/>
    <col min="68" max="68" width="6.6640625" hidden="1" customWidth="1"/>
    <col min="69" max="69" width="6.6640625" style="6" hidden="1" customWidth="1"/>
    <col min="70" max="70" width="6.6640625" hidden="1" customWidth="1"/>
    <col min="71" max="71" width="8.6640625" hidden="1" customWidth="1"/>
    <col min="72" max="72" width="20.5" hidden="1" customWidth="1"/>
    <col min="73" max="73" width="8" hidden="1" customWidth="1"/>
    <col min="74" max="74" width="20.6640625" hidden="1" customWidth="1"/>
    <col min="75" max="75" width="16.1640625" style="291" hidden="1" customWidth="1"/>
    <col min="76" max="76" width="6.6640625" hidden="1" customWidth="1"/>
    <col min="77" max="77" width="6.6640625" style="6" hidden="1" customWidth="1"/>
    <col min="78" max="78" width="6.6640625" hidden="1" customWidth="1"/>
    <col min="79" max="79" width="8.6640625" hidden="1" customWidth="1"/>
    <col min="80" max="80" width="20.5" hidden="1" customWidth="1"/>
    <col min="81" max="81" width="13.5" hidden="1" customWidth="1"/>
    <col min="82" max="82" width="20.5" hidden="1" customWidth="1"/>
    <col min="83" max="83" width="16.1640625" hidden="1" customWidth="1"/>
    <col min="84" max="84" width="6.6640625" hidden="1" customWidth="1"/>
    <col min="85" max="85" width="6.6640625" style="6" hidden="1" customWidth="1"/>
    <col min="86" max="87" width="8.6640625" hidden="1" customWidth="1"/>
    <col min="88" max="89" width="13.5" hidden="1" customWidth="1"/>
    <col min="90" max="90" width="30.1640625" hidden="1" customWidth="1"/>
    <col min="91" max="91" width="13.5" hidden="1" customWidth="1"/>
    <col min="92" max="93" width="6.6640625" hidden="1" customWidth="1"/>
    <col min="94" max="96" width="8.6640625" hidden="1" customWidth="1"/>
    <col min="97" max="97" width="8.6640625" style="6" hidden="1" customWidth="1"/>
    <col min="98" max="98" width="8.6640625" hidden="1" customWidth="1"/>
    <col min="99" max="99" width="15.33203125" hidden="1" customWidth="1"/>
    <col min="100" max="100" width="8.6640625" hidden="1" customWidth="1"/>
    <col min="101" max="101" width="15.6640625" hidden="1" customWidth="1"/>
    <col min="102" max="102" width="8.6640625" hidden="1" customWidth="1"/>
    <col min="103" max="103" width="12.33203125" hidden="1" customWidth="1"/>
    <col min="104" max="104" width="8.6640625" hidden="1" customWidth="1"/>
    <col min="105" max="105" width="8.6640625" style="6" hidden="1" customWidth="1"/>
    <col min="106" max="106" width="8.6640625" hidden="1" customWidth="1"/>
    <col min="107" max="107" width="23.33203125" hidden="1" customWidth="1"/>
    <col min="108" max="108" width="53.33203125" hidden="1" customWidth="1"/>
    <col min="109" max="110" width="8.5" hidden="1" customWidth="1"/>
    <col min="111" max="111" width="8.5" style="6" hidden="1" customWidth="1"/>
    <col min="112" max="112" width="8.5" style="14" hidden="1" customWidth="1"/>
    <col min="113" max="113" width="8.5" style="6" hidden="1" customWidth="1"/>
    <col min="114" max="114" width="10.5" style="12" hidden="1" customWidth="1"/>
    <col min="115" max="115" width="27.33203125" style="61" hidden="1" customWidth="1"/>
    <col min="116" max="119" width="8.6640625" hidden="1" customWidth="1"/>
    <col min="120" max="120" width="16.1640625" hidden="1" customWidth="1"/>
    <col min="121" max="121" width="8.6640625" hidden="1" customWidth="1"/>
    <col min="122" max="122" width="13.33203125" style="12" hidden="1" customWidth="1"/>
    <col min="123" max="123" width="13.6640625" hidden="1" customWidth="1"/>
    <col min="124" max="124" width="8.6640625" hidden="1" customWidth="1"/>
    <col min="125" max="125" width="13.33203125" hidden="1" customWidth="1"/>
    <col min="126" max="126" width="16.5" hidden="1" customWidth="1"/>
    <col min="127" max="127" width="8.6640625" hidden="1" customWidth="1"/>
    <col min="128" max="128" width="13.33203125" hidden="1" customWidth="1"/>
    <col min="129" max="129" width="16.5" hidden="1" customWidth="1"/>
    <col min="130" max="130" width="11.6640625" hidden="1" customWidth="1"/>
    <col min="131" max="131" width="8.6640625" hidden="1" customWidth="1"/>
    <col min="132" max="132" width="12.1640625" hidden="1" customWidth="1"/>
    <col min="133" max="133" width="12.1640625" style="264" hidden="1" customWidth="1"/>
    <col min="134" max="135" width="14.6640625" hidden="1" customWidth="1"/>
    <col min="136" max="136" width="26.33203125" hidden="1" customWidth="1"/>
    <col min="137" max="137" width="13.6640625" hidden="1" customWidth="1"/>
    <col min="138" max="138" width="14.1640625" hidden="1" customWidth="1"/>
    <col min="139" max="139" width="14" style="261" hidden="1" customWidth="1"/>
    <col min="140" max="141" width="17.83203125" hidden="1" customWidth="1"/>
    <col min="142" max="142" width="114.5" style="61" hidden="1" customWidth="1"/>
    <col min="143" max="143" width="4.83203125" hidden="1" customWidth="1"/>
    <col min="144" max="144" width="17.83203125" style="12" hidden="1" customWidth="1"/>
    <col min="145" max="145" width="12.6640625" style="12" hidden="1" customWidth="1"/>
    <col min="146" max="146" width="12.33203125" style="12" hidden="1" customWidth="1"/>
    <col min="147" max="147" width="10.33203125" style="12" hidden="1" customWidth="1"/>
    <col min="148" max="148" width="10.1640625" hidden="1" customWidth="1"/>
    <col min="149" max="149" width="13.33203125" hidden="1" customWidth="1"/>
    <col min="150" max="150" width="10" hidden="1" customWidth="1"/>
    <col min="151" max="151" width="13.5" hidden="1" customWidth="1"/>
    <col min="152" max="152" width="13.83203125" hidden="1" customWidth="1"/>
    <col min="153" max="153" width="12.5" hidden="1" customWidth="1"/>
    <col min="154" max="155" width="10.33203125" hidden="1" customWidth="1"/>
    <col min="156" max="156" width="11.6640625" hidden="1" customWidth="1"/>
    <col min="157" max="16384" width="8.6640625" hidden="1"/>
  </cols>
  <sheetData>
    <row r="1" spans="1:157" ht="25" thickBot="1" x14ac:dyDescent="0.35">
      <c r="E1" s="327" t="s">
        <v>342</v>
      </c>
      <c r="F1" s="327"/>
      <c r="G1" s="327"/>
      <c r="H1" s="327"/>
      <c r="I1" s="327"/>
      <c r="J1" s="327"/>
      <c r="K1" s="327"/>
      <c r="L1" s="327"/>
      <c r="M1" s="327"/>
      <c r="N1" s="327"/>
      <c r="P1" s="327" t="s">
        <v>365</v>
      </c>
      <c r="Q1" s="327"/>
      <c r="R1" s="327"/>
      <c r="S1" s="327"/>
      <c r="T1" s="327"/>
      <c r="U1"/>
      <c r="V1" s="327" t="s">
        <v>364</v>
      </c>
      <c r="W1" s="327"/>
      <c r="X1" s="327"/>
      <c r="Y1" s="327"/>
      <c r="Z1" s="327"/>
      <c r="AA1" s="327"/>
      <c r="AB1" s="327"/>
      <c r="AC1" s="327"/>
      <c r="AD1" s="327"/>
      <c r="AF1" s="288" t="s">
        <v>169</v>
      </c>
      <c r="AG1" s="288"/>
      <c r="AH1" s="288"/>
      <c r="AI1" s="288"/>
      <c r="AJ1" s="288"/>
      <c r="AK1" s="288"/>
      <c r="AL1" s="288"/>
      <c r="AM1" s="288"/>
      <c r="AN1" s="288"/>
      <c r="AO1" s="288"/>
      <c r="AP1" s="288"/>
      <c r="AQ1" s="288"/>
      <c r="AR1" s="288"/>
      <c r="AS1" s="288"/>
      <c r="AU1" s="327" t="s">
        <v>170</v>
      </c>
      <c r="AV1" s="327"/>
      <c r="AW1" s="327"/>
      <c r="AX1" s="327"/>
      <c r="AY1" s="327"/>
      <c r="AZ1" s="327"/>
      <c r="BA1" s="327"/>
      <c r="BB1" s="327"/>
      <c r="BC1" s="327"/>
      <c r="BD1" s="327"/>
      <c r="BE1" s="327"/>
      <c r="BF1" s="327"/>
      <c r="BG1" s="327"/>
      <c r="BH1" s="327"/>
      <c r="BI1" s="327"/>
      <c r="BJ1" s="327"/>
      <c r="BL1" s="327" t="s">
        <v>366</v>
      </c>
      <c r="BM1" s="327"/>
      <c r="BN1" s="327"/>
      <c r="BO1" s="327"/>
      <c r="BP1" s="327"/>
      <c r="BQ1" s="327"/>
      <c r="BR1" s="327"/>
      <c r="BT1" s="327" t="s">
        <v>367</v>
      </c>
      <c r="BU1" s="327"/>
      <c r="BV1" s="327"/>
      <c r="BW1" s="327"/>
      <c r="BX1" s="327"/>
      <c r="BY1" s="327"/>
      <c r="BZ1" s="327"/>
      <c r="CB1" s="327" t="s">
        <v>368</v>
      </c>
      <c r="CC1" s="327"/>
      <c r="CD1" s="327"/>
      <c r="CE1" s="327"/>
      <c r="CF1" s="327"/>
      <c r="CG1" s="327"/>
      <c r="CH1" s="327"/>
      <c r="CJ1" s="327" t="s">
        <v>369</v>
      </c>
      <c r="CK1" s="327"/>
      <c r="CL1" s="327"/>
      <c r="CM1" s="327"/>
      <c r="CN1" s="327"/>
      <c r="CO1" s="327"/>
      <c r="CP1" s="327"/>
      <c r="CR1" s="327" t="s">
        <v>370</v>
      </c>
      <c r="CS1" s="327"/>
      <c r="CT1" s="327"/>
      <c r="CU1" s="327"/>
      <c r="CV1" s="327"/>
      <c r="CW1" s="327"/>
      <c r="CX1" s="327"/>
      <c r="CY1" s="327"/>
      <c r="CZ1" s="327"/>
      <c r="DA1" s="327"/>
      <c r="DC1" s="327" t="s">
        <v>371</v>
      </c>
      <c r="DD1" s="327"/>
      <c r="DE1" s="327"/>
      <c r="DF1" s="327"/>
      <c r="DG1" s="327"/>
      <c r="DH1" s="327"/>
      <c r="DI1" s="327"/>
      <c r="DJ1" s="327"/>
      <c r="DK1" s="327"/>
      <c r="DL1" s="327"/>
      <c r="DM1" s="327"/>
      <c r="DN1" s="327"/>
      <c r="DP1" s="288" t="s">
        <v>375</v>
      </c>
      <c r="DR1" s="327" t="s">
        <v>372</v>
      </c>
      <c r="DS1" s="327"/>
      <c r="DT1" s="327"/>
      <c r="DU1" s="327"/>
      <c r="DV1" s="327"/>
      <c r="DW1" s="327"/>
      <c r="DX1" s="327"/>
      <c r="DY1" s="327"/>
      <c r="DZ1" s="327"/>
      <c r="EA1" s="327"/>
      <c r="EB1" s="327"/>
      <c r="EC1" s="327"/>
      <c r="ED1" s="327"/>
      <c r="EE1" s="327"/>
      <c r="EF1" s="327"/>
      <c r="EG1" s="327"/>
      <c r="EH1" s="327"/>
      <c r="EI1" s="327"/>
      <c r="EJ1" s="327"/>
      <c r="EK1" s="327"/>
      <c r="EL1" s="327"/>
      <c r="EM1" s="235"/>
      <c r="EN1" s="327" t="s">
        <v>373</v>
      </c>
      <c r="EO1" s="327"/>
      <c r="EP1" s="327"/>
      <c r="EQ1" s="327"/>
      <c r="ER1" s="327"/>
      <c r="ES1" s="327"/>
      <c r="ET1" s="327"/>
      <c r="EU1" s="327"/>
      <c r="EV1" s="327"/>
      <c r="EW1" s="327"/>
      <c r="EX1" s="327"/>
      <c r="EZ1" s="235"/>
      <c r="FA1" s="235"/>
    </row>
    <row r="2" spans="1:157" ht="49" thickBot="1" x14ac:dyDescent="0.25">
      <c r="A2" s="2" t="s">
        <v>89</v>
      </c>
      <c r="B2" s="298" t="s">
        <v>35</v>
      </c>
      <c r="C2" s="5" t="s">
        <v>17</v>
      </c>
      <c r="E2" s="2" t="s">
        <v>105</v>
      </c>
      <c r="F2" s="11" t="s">
        <v>16</v>
      </c>
      <c r="G2" s="5" t="s">
        <v>162</v>
      </c>
      <c r="H2" s="5" t="s">
        <v>18</v>
      </c>
      <c r="I2" s="5" t="s">
        <v>310</v>
      </c>
      <c r="J2" s="5"/>
      <c r="K2" s="299" t="s">
        <v>325</v>
      </c>
      <c r="L2" s="299" t="s">
        <v>326</v>
      </c>
      <c r="M2" s="299" t="s">
        <v>8</v>
      </c>
      <c r="N2" s="299" t="s">
        <v>319</v>
      </c>
      <c r="P2" s="2" t="s">
        <v>78</v>
      </c>
      <c r="Q2" s="2" t="s">
        <v>105</v>
      </c>
      <c r="R2" s="2" t="s">
        <v>16</v>
      </c>
      <c r="S2" s="5" t="s">
        <v>162</v>
      </c>
      <c r="T2" s="5" t="s">
        <v>310</v>
      </c>
      <c r="U2" s="5"/>
      <c r="V2" s="2" t="s">
        <v>72</v>
      </c>
      <c r="W2" s="2" t="s">
        <v>106</v>
      </c>
      <c r="X2" s="2" t="s">
        <v>105</v>
      </c>
      <c r="Y2" s="2" t="s">
        <v>16</v>
      </c>
      <c r="Z2" s="5" t="s">
        <v>162</v>
      </c>
      <c r="AA2" s="2" t="s">
        <v>310</v>
      </c>
      <c r="AC2" s="299" t="s">
        <v>312</v>
      </c>
      <c r="AD2" s="299" t="s">
        <v>313</v>
      </c>
      <c r="AF2" s="2" t="s">
        <v>12</v>
      </c>
      <c r="AG2" s="2" t="s">
        <v>106</v>
      </c>
      <c r="AH2" s="2" t="s">
        <v>105</v>
      </c>
      <c r="AI2" s="9" t="s">
        <v>16</v>
      </c>
      <c r="AJ2" s="5" t="s">
        <v>162</v>
      </c>
      <c r="AK2" s="278" t="s">
        <v>72</v>
      </c>
      <c r="AL2" s="2" t="s">
        <v>78</v>
      </c>
      <c r="AM2" s="2" t="s">
        <v>311</v>
      </c>
      <c r="AO2" s="299" t="s">
        <v>314</v>
      </c>
      <c r="AP2" s="299" t="s">
        <v>315</v>
      </c>
      <c r="AQ2" s="299" t="s">
        <v>316</v>
      </c>
      <c r="AR2" s="299" t="s">
        <v>317</v>
      </c>
      <c r="AS2" s="299" t="s">
        <v>318</v>
      </c>
      <c r="AU2" s="3" t="s">
        <v>1</v>
      </c>
      <c r="AV2" s="3" t="s">
        <v>106</v>
      </c>
      <c r="AW2" s="20" t="s">
        <v>105</v>
      </c>
      <c r="AX2" s="9" t="s">
        <v>16</v>
      </c>
      <c r="AY2" s="5" t="s">
        <v>162</v>
      </c>
      <c r="AZ2" s="3" t="s">
        <v>18</v>
      </c>
      <c r="BA2" s="5"/>
      <c r="BB2" s="300" t="s">
        <v>19</v>
      </c>
      <c r="BC2" s="300" t="s">
        <v>20</v>
      </c>
      <c r="BD2" s="300" t="s">
        <v>8</v>
      </c>
      <c r="BE2" s="300" t="s">
        <v>319</v>
      </c>
      <c r="BG2" s="3" t="s">
        <v>30</v>
      </c>
      <c r="BH2" s="3" t="s">
        <v>105</v>
      </c>
      <c r="BI2" s="11" t="s">
        <v>16</v>
      </c>
      <c r="BJ2" s="5" t="s">
        <v>162</v>
      </c>
      <c r="BL2" s="2" t="s">
        <v>36</v>
      </c>
      <c r="BM2" s="2" t="s">
        <v>106</v>
      </c>
      <c r="BN2" s="2" t="s">
        <v>105</v>
      </c>
      <c r="BO2" s="2" t="s">
        <v>16</v>
      </c>
      <c r="BP2" s="5" t="s">
        <v>347</v>
      </c>
      <c r="BQ2" s="5" t="s">
        <v>348</v>
      </c>
      <c r="BR2" s="5" t="s">
        <v>349</v>
      </c>
      <c r="BT2" s="2" t="s">
        <v>36</v>
      </c>
      <c r="BU2" s="2" t="s">
        <v>106</v>
      </c>
      <c r="BV2" s="2" t="s">
        <v>105</v>
      </c>
      <c r="BW2" s="301" t="s">
        <v>16</v>
      </c>
      <c r="BX2" s="5" t="s">
        <v>347</v>
      </c>
      <c r="BY2" s="5" t="s">
        <v>348</v>
      </c>
      <c r="BZ2" s="5" t="s">
        <v>349</v>
      </c>
      <c r="CB2" s="2" t="s">
        <v>36</v>
      </c>
      <c r="CC2" s="2" t="s">
        <v>106</v>
      </c>
      <c r="CD2" s="2" t="s">
        <v>105</v>
      </c>
      <c r="CE2" s="2" t="s">
        <v>16</v>
      </c>
      <c r="CF2" s="5" t="s">
        <v>347</v>
      </c>
      <c r="CG2" s="5" t="s">
        <v>348</v>
      </c>
      <c r="CH2" s="5" t="s">
        <v>349</v>
      </c>
      <c r="CI2" s="5"/>
      <c r="CJ2" s="2" t="s">
        <v>36</v>
      </c>
      <c r="CK2" s="2" t="s">
        <v>106</v>
      </c>
      <c r="CL2" s="2" t="s">
        <v>105</v>
      </c>
      <c r="CM2" s="2" t="s">
        <v>16</v>
      </c>
      <c r="CN2" s="5" t="s">
        <v>347</v>
      </c>
      <c r="CO2" s="5" t="s">
        <v>348</v>
      </c>
      <c r="CP2" s="5" t="s">
        <v>349</v>
      </c>
      <c r="CQ2" s="5"/>
      <c r="CR2" s="2" t="s">
        <v>0</v>
      </c>
      <c r="CS2" s="5" t="s">
        <v>162</v>
      </c>
      <c r="CU2" s="2" t="s">
        <v>221</v>
      </c>
      <c r="CW2" s="2" t="s">
        <v>75</v>
      </c>
      <c r="CY2" s="2" t="s">
        <v>3</v>
      </c>
      <c r="CZ2" s="2" t="s">
        <v>16</v>
      </c>
      <c r="DA2" s="5" t="s">
        <v>162</v>
      </c>
      <c r="DC2" s="2" t="s">
        <v>98</v>
      </c>
      <c r="DD2" s="2" t="s">
        <v>105</v>
      </c>
      <c r="DE2" s="5" t="s">
        <v>162</v>
      </c>
      <c r="DF2" s="5" t="s">
        <v>256</v>
      </c>
      <c r="DG2" s="5" t="s">
        <v>228</v>
      </c>
      <c r="DH2" s="298" t="s">
        <v>257</v>
      </c>
      <c r="DI2" s="5" t="s">
        <v>258</v>
      </c>
      <c r="DJ2" s="11"/>
      <c r="DK2" s="60" t="s">
        <v>123</v>
      </c>
      <c r="DL2" s="2" t="s">
        <v>95</v>
      </c>
      <c r="DM2" s="2" t="s">
        <v>93</v>
      </c>
      <c r="DN2" s="2" t="s">
        <v>207</v>
      </c>
      <c r="DP2" s="2" t="s">
        <v>374</v>
      </c>
      <c r="DR2" s="11" t="s">
        <v>192</v>
      </c>
      <c r="DS2" s="2" t="s">
        <v>193</v>
      </c>
      <c r="DU2" s="11" t="s">
        <v>205</v>
      </c>
      <c r="DV2" s="2" t="s">
        <v>206</v>
      </c>
      <c r="DX2" s="11" t="s">
        <v>209</v>
      </c>
      <c r="DY2" s="2" t="s">
        <v>206</v>
      </c>
      <c r="DZ2" t="s">
        <v>219</v>
      </c>
      <c r="EB2" s="292" t="s">
        <v>243</v>
      </c>
      <c r="EC2" s="293" t="s">
        <v>207</v>
      </c>
      <c r="ED2" s="292" t="s">
        <v>244</v>
      </c>
      <c r="EE2" s="292" t="s">
        <v>260</v>
      </c>
      <c r="EF2" s="292" t="s">
        <v>133</v>
      </c>
      <c r="EG2" s="294" t="s">
        <v>247</v>
      </c>
      <c r="EH2" s="292" t="s">
        <v>261</v>
      </c>
      <c r="EI2" s="295" t="s">
        <v>245</v>
      </c>
      <c r="EJ2" s="296" t="s">
        <v>96</v>
      </c>
      <c r="EK2" s="296" t="s">
        <v>98</v>
      </c>
      <c r="EL2" s="297" t="s">
        <v>246</v>
      </c>
      <c r="EM2" s="302"/>
      <c r="EN2" s="56" t="s">
        <v>148</v>
      </c>
      <c r="EO2" s="57" t="s">
        <v>149</v>
      </c>
      <c r="EP2" s="57" t="s">
        <v>150</v>
      </c>
      <c r="EQ2" s="57" t="s">
        <v>90</v>
      </c>
      <c r="ER2" s="57" t="s">
        <v>91</v>
      </c>
      <c r="ES2" s="57" t="s">
        <v>92</v>
      </c>
      <c r="ET2" s="57" t="s">
        <v>94</v>
      </c>
      <c r="EU2" s="57" t="s">
        <v>155</v>
      </c>
      <c r="EV2" s="57" t="s">
        <v>241</v>
      </c>
      <c r="EW2" s="57" t="s">
        <v>173</v>
      </c>
      <c r="EX2" s="57" t="s">
        <v>157</v>
      </c>
      <c r="EZ2" s="302"/>
      <c r="FA2" s="235"/>
    </row>
    <row r="3" spans="1:157" x14ac:dyDescent="0.2">
      <c r="A3">
        <v>1</v>
      </c>
      <c r="B3" s="14">
        <v>0</v>
      </c>
      <c r="C3" s="6">
        <v>49</v>
      </c>
      <c r="E3" s="2" t="s">
        <v>19</v>
      </c>
      <c r="F3" s="11" t="s">
        <v>21</v>
      </c>
      <c r="G3" s="5"/>
      <c r="H3" s="5" t="s">
        <v>325</v>
      </c>
      <c r="I3" s="5" t="s">
        <v>343</v>
      </c>
      <c r="J3" s="5"/>
      <c r="K3" s="280" t="str">
        <f>Collection[[#This Row],[Collection]]&amp;IF(Collection[[#This Row],[Price]]="",""," (+"&amp;TEXT(Collection[[#This Row],[Price]],"$0.00"&amp;")"))</f>
        <v>Performance-Line</v>
      </c>
      <c r="L3" s="280" t="str">
        <f>Collection[[#This Row],[Collection]]&amp;IF(Collection[[#This Row],[Price]]="",""," (+"&amp;TEXT(Collection[[#This Row],[Price]],"$0.00"&amp;")"))</f>
        <v>Performance-Line</v>
      </c>
      <c r="M3" s="280" t="str">
        <f>Collection[[#This Row],[Collection]]&amp;IF(Collection[[#This Row],[Price]]="",""," (+"&amp;TEXT(Collection[[#This Row],[Price]],"$0.00"&amp;")"))</f>
        <v>Performance-Line</v>
      </c>
      <c r="N3" s="280" t="str">
        <f>Collection[[#This Row],[Collection]]&amp;IF(Collection[[#This Row],[Price]]="",""," (+"&amp;TEXT(Collection[[#This Row],[Price]],"$0.00"&amp;")"))</f>
        <v>Performance-Line</v>
      </c>
      <c r="P3" s="2" t="s">
        <v>80</v>
      </c>
      <c r="Q3" s="2" t="str">
        <f>Collection[[#This Row],[Collection]]&amp;IF(Collection[[#This Row],[Price]]="",""," (+"&amp;TEXT(Collection[[#This Row],[Price]],"$0.00"&amp;")"))</f>
        <v>Performance-Line</v>
      </c>
      <c r="R3" s="2" t="s">
        <v>82</v>
      </c>
      <c r="T3" s="6" t="s">
        <v>312</v>
      </c>
      <c r="V3" s="2" t="s">
        <v>6</v>
      </c>
      <c r="W3" s="2">
        <v>1</v>
      </c>
      <c r="X3" s="2" t="str">
        <f>Sleeve[[#This Row],[Sleeve]]&amp;IF(Sleeve[[#This Row],[Price]]="",""," (+"&amp;TEXT(Sleeve[[#This Row],[Price]],"$0.00"&amp;")"))</f>
        <v>Short</v>
      </c>
      <c r="Y3" s="2" t="s">
        <v>26</v>
      </c>
      <c r="Z3" s="6"/>
      <c r="AA3" s="275" t="s">
        <v>312</v>
      </c>
      <c r="AC3" t="str" cm="1">
        <f t="array" ref="AC3:AC5">_xlfn._xlws.FILTER(Sleeve[Sleeve],Sleeve[Line]=AC2)</f>
        <v>Short</v>
      </c>
      <c r="AD3" t="str" cm="1">
        <f t="array" ref="AD3:AD4">_xlfn._xlws.FILTER(Sleeve[Sleeve],Sleeve[Line]=AD2)</f>
        <v>Short</v>
      </c>
      <c r="AF3" s="283" t="s">
        <v>124</v>
      </c>
      <c r="AG3" s="283"/>
      <c r="AH3" s="2" t="str">
        <f>Collar[[#This Row],[Collar]]&amp;IF(Collar[[#This Row],[Price]]="",""," (+"&amp;TEXT(Collar[[#This Row],[Price]],"$0.00"&amp;")"))</f>
        <v>1/4 Zip Sash (+$10.00)</v>
      </c>
      <c r="AI3" s="284" t="s">
        <v>286</v>
      </c>
      <c r="AJ3" s="281">
        <v>10</v>
      </c>
      <c r="AK3" s="280" t="s">
        <v>6</v>
      </c>
      <c r="AL3" s="285" t="s">
        <v>312</v>
      </c>
      <c r="AM3" s="280" t="str">
        <f>Collar[[#This Row],[Collection]]&amp;Collar[[#This Row],[Sleeve]]</f>
        <v>PerformanceShort</v>
      </c>
      <c r="AO3" t="str" cm="1">
        <f t="array" ref="AO3:AO12">_xlfn._xlws.FILTER(Collar[Display],Collar[C&amp;S]=AO$2)</f>
        <v>1/4 Zip Sash (+$10.00)</v>
      </c>
      <c r="AP3" t="str" cm="1">
        <f t="array" ref="AP3:AP7">_xlfn._xlws.FILTER(Collar[Display],Collar[C&amp;S]=AP$2)</f>
        <v>1/4 Zip Sash (+$10.00)</v>
      </c>
      <c r="AQ3" t="str" cm="1">
        <f t="array" ref="AQ3:AQ10">_xlfn._xlws.FILTER(Collar[Display],Collar[C&amp;S]=AQ$2)</f>
        <v>1/4 Zip Sash (+$5.00)</v>
      </c>
      <c r="AR3" t="str" cm="1">
        <f t="array" ref="AR3:AR10">_xlfn._xlws.FILTER(Collar[Display],Collar[C&amp;S]=AR$2)</f>
        <v>1/4 Zip Sash (+$10.00)</v>
      </c>
      <c r="AS3" t="str" cm="1">
        <f t="array" ref="AS3:AS7">_xlfn._xlws.FILTER(Collar[Display],Collar[C&amp;S]=AS$2)</f>
        <v>1/4 Zip Sash (+$10.00)</v>
      </c>
      <c r="AU3" s="3" t="s">
        <v>25</v>
      </c>
      <c r="AV3" s="20">
        <v>1</v>
      </c>
      <c r="AW3" s="20" t="str">
        <f>Size[[#This Row],[Size]]&amp;IF(Size[[#This Row],[Price]]="",""," (+"&amp;TEXT(Size[[#This Row],[Price]],"$0.00")&amp;")")</f>
        <v>X-Small</v>
      </c>
      <c r="AX3" s="9" t="s">
        <v>29</v>
      </c>
      <c r="AZ3" s="6" t="s">
        <v>19</v>
      </c>
      <c r="BB3" s="6" t="str" cm="1">
        <f t="array" ref="BB3:BB13">_xlfn._xlws.FILTER(Size[Display],Size[Cut]=BB$2)</f>
        <v>X-Small</v>
      </c>
      <c r="BC3" s="6" t="str" cm="1">
        <f t="array" ref="BC3:BC13">_xlfn._xlws.FILTER(Size[Display],Size[Cut]=BC$2)</f>
        <v>X-Small</v>
      </c>
      <c r="BD3" s="6" t="str" cm="1">
        <f t="array" ref="BD3:BD7">_xlfn._xlws.FILTER(Size[Display],Size[Cut]=BD$2)</f>
        <v>X-Small</v>
      </c>
      <c r="BE3" s="6" t="str" cm="1">
        <f t="array" ref="BE3:BE6">_xlfn._xlws.FILTER(Size[Display],Size[Cut]=BE$2)</f>
        <v>2T</v>
      </c>
      <c r="BG3" s="3" t="s">
        <v>31</v>
      </c>
      <c r="BH3" s="2" t="str">
        <f>Length[[#This Row],[Length]]&amp;IF(Length[[#This Row],[Price]]="",""," (+"&amp;TEXT(Length[[#This Row],[Price]],"$0.00"&amp;")"))</f>
        <v>+2 (+$3.00)</v>
      </c>
      <c r="BI3" s="9" t="s">
        <v>31</v>
      </c>
      <c r="BJ3" s="6">
        <v>3</v>
      </c>
      <c r="BL3" s="2" t="s">
        <v>83</v>
      </c>
      <c r="BM3" s="2">
        <v>1</v>
      </c>
      <c r="BN3" s="2" t="str">
        <f>Logos[[#This Row],[Logos]]&amp;" ($30 Per Order)"</f>
        <v>Custom ($30 Per Order)</v>
      </c>
      <c r="BO3" s="2" t="s">
        <v>83</v>
      </c>
      <c r="BP3" s="6"/>
      <c r="BQ3" s="5"/>
      <c r="BR3" s="5"/>
      <c r="BT3" s="2" t="s">
        <v>356</v>
      </c>
      <c r="BU3" s="2">
        <v>1</v>
      </c>
      <c r="BV3" s="2" t="str">
        <f>Chest[[#This Row],[Logos]]&amp;IF(BZ3="","",IF(Chest[[#This Row],[Use]]="Flat"," (+"&amp;TEXT(Chest[[#This Row],[Flat]],"$0.00")&amp;")"," (+"&amp;TEXT(Chest[[#This Row],[Pct]],"0%")&amp;" of base price)"))</f>
        <v>Creating The Difference</v>
      </c>
      <c r="BW3" s="290" t="s">
        <v>362</v>
      </c>
      <c r="BX3" s="6"/>
      <c r="BY3" s="5"/>
      <c r="BZ3" s="2"/>
      <c r="CB3" s="2" t="s">
        <v>356</v>
      </c>
      <c r="CC3" s="2">
        <v>1</v>
      </c>
      <c r="CD3" s="2" t="str">
        <f>LeftSleeve[[#This Row],[Logos]]&amp;IF(LeftSleeve[[#This Row],[Use]]="","",IF(LeftSleeve[[#This Row],[Use]]="Flat"," (+"&amp;TEXT(LeftSleeve[[#This Row],[Flat]],"$0.00")&amp;")"," (+"&amp;TEXT(LeftSleeve[[#This Row],[Pct]],"0%")&amp;" of base price)"))</f>
        <v>Creating The Difference</v>
      </c>
      <c r="CE3" s="290" t="s">
        <v>362</v>
      </c>
      <c r="CF3" s="6"/>
      <c r="CG3" s="5"/>
      <c r="CH3" s="2"/>
      <c r="CI3" s="2"/>
      <c r="CJ3" s="2" t="s">
        <v>126</v>
      </c>
      <c r="CK3" s="2">
        <v>1</v>
      </c>
      <c r="CL3" s="20" t="str">
        <f>RightSleeve[[#This Row],[Logos]]</f>
        <v>PBA</v>
      </c>
      <c r="CM3" s="2" t="s">
        <v>126</v>
      </c>
      <c r="CN3" s="5"/>
      <c r="CO3" s="5"/>
      <c r="CP3" s="2"/>
      <c r="CQ3" s="2"/>
      <c r="CR3" s="2" t="s">
        <v>0</v>
      </c>
      <c r="CS3" s="6">
        <v>8</v>
      </c>
      <c r="CU3" s="2" t="s">
        <v>222</v>
      </c>
      <c r="CW3" s="2" t="s">
        <v>7</v>
      </c>
      <c r="CY3" s="2" t="s">
        <v>62</v>
      </c>
      <c r="CZ3" s="2" t="s">
        <v>68</v>
      </c>
      <c r="DC3" s="2" t="s">
        <v>99</v>
      </c>
      <c r="DD3" s="2" t="str">
        <f>ProductionPriority[[#This Row],[Production]]&amp;IF(ProductionPriority[[#This Row],[Price]]="",""," +"&amp;TEXT(ProductionPriority[[#This Row],[Price]],"00%"))</f>
        <v>Standard (approx 3 weeks)</v>
      </c>
      <c r="DH3" s="14">
        <f>IF(_xlfn.XLOOKUP(CustGroup,CustomerGroup[Customer Groups],CustomerGroup[Free Express Production])="Yes",ProductionPriority[[#This Row],[Upgrade]],ProductionPriority[[#This Row],[Price]])</f>
        <v>0</v>
      </c>
      <c r="DI3" s="6">
        <f>ROUNDUP(IF(ProductionPriority[[#This Row],[Actual]]&gt;0,MAX(ProductionPriority[[#This Row],[Minimum]],BOD_Subtotal*ProductionPriority[[#This Row],[Actual]]),0),2)</f>
        <v>0</v>
      </c>
      <c r="DJ3" s="11"/>
      <c r="DK3" s="60" t="s">
        <v>125</v>
      </c>
      <c r="DL3" s="21">
        <f>MAX(Summary!$D$23*SUMIF(ProductionPriority[Display],PriorityProduction[[#This Row],[Priority Production]],ProductionPriority[Price]),25)</f>
        <v>25</v>
      </c>
      <c r="DM3">
        <v>0</v>
      </c>
      <c r="DN3">
        <v>9</v>
      </c>
      <c r="DP3" s="2" t="s">
        <v>93</v>
      </c>
      <c r="DR3" s="12">
        <v>1</v>
      </c>
      <c r="DS3" s="2" t="s">
        <v>199</v>
      </c>
      <c r="DU3" s="12">
        <v>1</v>
      </c>
      <c r="DV3" s="2" t="s">
        <v>202</v>
      </c>
      <c r="DX3" s="205">
        <v>0</v>
      </c>
      <c r="DY3" s="2"/>
      <c r="EB3" s="237">
        <f t="shared" ref="EB3:EB13" ca="1" si="0">INT(NOW()+1)</f>
        <v>45819</v>
      </c>
      <c r="EC3" s="263">
        <f ca="1">(7-WEEKDAY(IHD_Calc[[#This Row],[Order Date]],15))</f>
        <v>1</v>
      </c>
      <c r="ED3" s="237">
        <f ca="1">IHD_Calc[[#This Row],[Order Date]]+(7-WEEKDAY(IHD_Calc[[#This Row],[Order Date]],15))+IF(IHD_Calc[[#This Row],[Days]]&lt;3,7,0)</f>
        <v>45827</v>
      </c>
      <c r="EE3" s="237">
        <f ca="1">IHD_Calc[[#This Row],[Approval Date]]-5</f>
        <v>45822</v>
      </c>
      <c r="EF3" s="238"/>
      <c r="EG3" s="237" t="str">
        <f ca="1">IFERROR(IHD_Calc[[#This Row],[Approval Date]]+VLOOKUP(IHD_Calc[[#This Row],[Production Priority]],PriorityProduction[],4),"")</f>
        <v/>
      </c>
      <c r="EH3" s="237" t="str">
        <f ca="1">IFERROR(IHD_Calc[[#This Row],[In Transit]]+3,"")</f>
        <v/>
      </c>
      <c r="EI3" s="239">
        <f ca="1">IFERROR(IHD_Calc[[#This Row],[Est Ship Date]]+_xlfn.XLOOKUP(IHD_Calc[[#This Row],[Shipping]],ShipDays[Shipping Service],ShipDays[Ship Days]),0)</f>
        <v>0</v>
      </c>
      <c r="EJ3" s="236"/>
      <c r="EK3" s="236"/>
      <c r="EL3" s="241" t="s">
        <v>251</v>
      </c>
      <c r="EM3" s="234"/>
      <c r="EN3" s="2" t="s">
        <v>264</v>
      </c>
      <c r="EO3" s="11"/>
      <c r="EP3" s="12">
        <v>0.2</v>
      </c>
      <c r="EQ3" s="12" t="s">
        <v>95</v>
      </c>
      <c r="ER3" s="12" t="s">
        <v>95</v>
      </c>
      <c r="ES3" s="12" t="s">
        <v>95</v>
      </c>
      <c r="ET3" s="12" t="s">
        <v>95</v>
      </c>
      <c r="EU3" s="12" t="s">
        <v>95</v>
      </c>
      <c r="EV3" s="11"/>
      <c r="EW3" s="11"/>
      <c r="EX3" s="11">
        <v>49</v>
      </c>
      <c r="EZ3" s="234"/>
      <c r="FA3" s="235"/>
    </row>
    <row r="4" spans="1:157" ht="16" thickBot="1" x14ac:dyDescent="0.25">
      <c r="A4">
        <v>2</v>
      </c>
      <c r="B4" s="14">
        <v>0.05</v>
      </c>
      <c r="C4" s="6">
        <f>$C$3*(1-B4)</f>
        <v>46.55</v>
      </c>
      <c r="E4" s="2" t="s">
        <v>20</v>
      </c>
      <c r="F4" s="11" t="s">
        <v>22</v>
      </c>
      <c r="G4" s="5"/>
      <c r="H4" s="5" t="s">
        <v>326</v>
      </c>
      <c r="I4" s="5" t="s">
        <v>344</v>
      </c>
      <c r="J4" s="5"/>
      <c r="K4" s="287" t="str">
        <f>Collection[[#This Row],[Collection]]&amp;IF(Collection[[#This Row],[Price]]="",""," (+"&amp;TEXT(Collection[[#This Row],[Price]],"$0.00"&amp;")"))</f>
        <v>Tour-Line (+$15.00)</v>
      </c>
      <c r="L4" s="287" t="str">
        <f>Collection[[#This Row],[Collection]]&amp;IF(Collection[[#This Row],[Price]]="",""," (+"&amp;TEXT(Collection[[#This Row],[Price]],"$0.00"&amp;")"))</f>
        <v>Tour-Line (+$15.00)</v>
      </c>
      <c r="M4" s="287"/>
      <c r="N4" s="287"/>
      <c r="P4" s="2" t="s">
        <v>79</v>
      </c>
      <c r="Q4" s="2" t="str">
        <f>Collection[[#This Row],[Collection]]&amp;IF(Collection[[#This Row],[Price]]="",""," (+"&amp;TEXT(Collection[[#This Row],[Price]],"$0.00"&amp;")"))</f>
        <v>Tour-Line (+$15.00)</v>
      </c>
      <c r="R4" s="2" t="s">
        <v>81</v>
      </c>
      <c r="S4" s="6">
        <v>15</v>
      </c>
      <c r="T4" s="6" t="s">
        <v>313</v>
      </c>
      <c r="V4" s="2" t="s">
        <v>102</v>
      </c>
      <c r="W4" s="2">
        <v>2</v>
      </c>
      <c r="X4" s="2" t="str">
        <f>Sleeve[[#This Row],[Sleeve]]&amp;IF(Sleeve[[#This Row],[Price]]="",""," (+"&amp;TEXT(Sleeve[[#This Row],[Price]],"$0.00"&amp;")"))</f>
        <v>Sleeveless</v>
      </c>
      <c r="Y4" s="2" t="s">
        <v>74</v>
      </c>
      <c r="Z4" s="6"/>
      <c r="AA4" s="275" t="s">
        <v>312</v>
      </c>
      <c r="AC4" t="str">
        <v>Sleeveless</v>
      </c>
      <c r="AD4" t="str">
        <v>Long</v>
      </c>
      <c r="AF4" s="278" t="s">
        <v>15</v>
      </c>
      <c r="AG4" s="278"/>
      <c r="AH4" s="2" t="str">
        <f>Collar[[#This Row],[Collar]]&amp;IF(Collar[[#This Row],[Price]]="",""," (+"&amp;TEXT(Collar[[#This Row],[Price]],"$0.00"&amp;")"))</f>
        <v>Polo (+$10.00)</v>
      </c>
      <c r="AI4" s="279" t="s">
        <v>287</v>
      </c>
      <c r="AJ4" s="282">
        <v>10</v>
      </c>
      <c r="AK4" s="277" t="s">
        <v>6</v>
      </c>
      <c r="AL4" s="285" t="s">
        <v>312</v>
      </c>
      <c r="AM4" s="277" t="str">
        <f>Collar[[#This Row],[Collection]]&amp;Collar[[#This Row],[Sleeve]]</f>
        <v>PerformanceShort</v>
      </c>
      <c r="AO4" t="str">
        <v>Polo (+$10.00)</v>
      </c>
      <c r="AP4" t="str">
        <v>Polo (+$10.00)</v>
      </c>
      <c r="AQ4" t="str">
        <v>Polo (+$5.00)</v>
      </c>
      <c r="AR4" t="str">
        <v>Polo (+$10.00)</v>
      </c>
      <c r="AS4" t="str">
        <v>Polo (+$10.00)</v>
      </c>
      <c r="AU4" s="3" t="s">
        <v>10</v>
      </c>
      <c r="AV4" s="20">
        <v>2</v>
      </c>
      <c r="AW4" s="20" t="str">
        <f>Size[[#This Row],[Size]]&amp;IF(Size[[#This Row],[Price]]="",""," (+"&amp;TEXT(Size[[#This Row],[Price]],"$0.00")&amp;")")</f>
        <v>Small</v>
      </c>
      <c r="AX4" s="9" t="s">
        <v>26</v>
      </c>
      <c r="AZ4" s="6" t="s">
        <v>19</v>
      </c>
      <c r="BB4" s="6" t="str">
        <v>Small</v>
      </c>
      <c r="BC4" s="6" t="str">
        <v>Small</v>
      </c>
      <c r="BD4" s="6" t="str">
        <v>Small</v>
      </c>
      <c r="BE4" s="6" t="str">
        <v>3T</v>
      </c>
      <c r="BG4" s="3" t="s">
        <v>32</v>
      </c>
      <c r="BH4" s="20" t="str">
        <f>Length[[#This Row],[Length]]&amp;IF(Length[[#This Row],[Price]]="",""," (+"&amp;TEXT(Length[[#This Row],[Price]],"$0.00"&amp;")"))</f>
        <v>+4 (+$6.00)</v>
      </c>
      <c r="BI4" s="9" t="s">
        <v>32</v>
      </c>
      <c r="BJ4" s="6">
        <v>6</v>
      </c>
      <c r="BL4" s="2" t="s">
        <v>107</v>
      </c>
      <c r="BM4" s="2">
        <v>2</v>
      </c>
      <c r="BN4" s="2" t="str">
        <f>Logos[[#This Row],[Logos]]&amp;" (FREE)"</f>
        <v>Custom On File (FREE)</v>
      </c>
      <c r="BO4" s="2" t="s">
        <v>107</v>
      </c>
      <c r="BP4" s="6"/>
      <c r="BQ4" s="5"/>
      <c r="BR4" s="5"/>
      <c r="BT4" s="2" t="s">
        <v>357</v>
      </c>
      <c r="BU4" s="2">
        <v>2</v>
      </c>
      <c r="BV4" s="2" t="str">
        <f>Chest[[#This Row],[Logos]]&amp;IF(BZ4="","",IF(Chest[[#This Row],[Use]]="Flat"," (+"&amp;TEXT(Chest[[#This Row],[Flat]],"$0.00")&amp;")"," (+"&amp;TEXT(Chest[[#This Row],[Pct]],"0%")&amp;" of base price)"))</f>
        <v>Genesis (+$15.00)</v>
      </c>
      <c r="BW4" s="290" t="s">
        <v>357</v>
      </c>
      <c r="BX4" s="6"/>
      <c r="BY4" s="5">
        <v>15</v>
      </c>
      <c r="BZ4" s="2" t="s">
        <v>348</v>
      </c>
      <c r="CB4" s="2" t="s">
        <v>357</v>
      </c>
      <c r="CC4" s="2">
        <v>2</v>
      </c>
      <c r="CD4" s="2" t="str">
        <f>LeftSleeve[[#This Row],[Logos]]&amp;IF(LeftSleeve[[#This Row],[Use]]="","",IF(LeftSleeve[[#This Row],[Use]]="Flat"," (+"&amp;TEXT(LeftSleeve[[#This Row],[Flat]],"$0.00")&amp;")"," (+"&amp;TEXT(LeftSleeve[[#This Row],[Pct]],"0%")&amp;" of base price)"))</f>
        <v>Genesis (+$15.00)</v>
      </c>
      <c r="CE4" s="290" t="s">
        <v>357</v>
      </c>
      <c r="CF4" s="6"/>
      <c r="CG4" s="5">
        <v>15</v>
      </c>
      <c r="CH4" s="2" t="s">
        <v>348</v>
      </c>
      <c r="CI4" s="2"/>
      <c r="CJ4" s="2" t="s">
        <v>127</v>
      </c>
      <c r="CK4" s="2">
        <v>2</v>
      </c>
      <c r="CL4" s="20" t="str">
        <f>RightSleeve[[#This Row],[Logos]]</f>
        <v>PBA50</v>
      </c>
      <c r="CM4" s="2" t="s">
        <v>127</v>
      </c>
      <c r="CN4" s="5"/>
      <c r="CO4" s="5"/>
      <c r="CP4" s="2"/>
      <c r="CQ4" s="2"/>
      <c r="CU4" s="2" t="s">
        <v>223</v>
      </c>
      <c r="CW4" s="2" t="s">
        <v>76</v>
      </c>
      <c r="CY4" s="2" t="s">
        <v>60</v>
      </c>
      <c r="CZ4" s="2" t="s">
        <v>66</v>
      </c>
      <c r="DC4" s="2" t="s">
        <v>100</v>
      </c>
      <c r="DD4" s="2" t="str">
        <f>ProductionPriority[[#This Row],[Production]]&amp;IF(ProductionPriority[[#This Row],[Price]]="",""," +"&amp;TEXT(ProductionPriority[[#This Row],[Price]],"00%"))</f>
        <v>Express (approx 2 weeks) +25%</v>
      </c>
      <c r="DE4" s="39">
        <v>0.25</v>
      </c>
      <c r="DF4" s="39">
        <v>0</v>
      </c>
      <c r="DG4" s="6">
        <v>25</v>
      </c>
      <c r="DH4" s="14">
        <f>IF(_xlfn.XLOOKUP(CustGroup,CustomerGroup[Customer Groups],CustomerGroup[Free Express Production])="Yes",ProductionPriority[[#This Row],[Upgrade]],ProductionPriority[[#This Row],[Price]])</f>
        <v>0.25</v>
      </c>
      <c r="DI4" s="6">
        <f>ROUNDUP(IF(ProductionPriority[[#This Row],[Actual]]&gt;0,MAX(ProductionPriority[[#This Row],[Minimum]],BOD_Subtotal*ProductionPriority[[#This Row],[Actual]]),0),2)</f>
        <v>25</v>
      </c>
      <c r="DJ4" s="11"/>
      <c r="DK4" s="60" t="s">
        <v>156</v>
      </c>
      <c r="DL4" s="21">
        <f>MAX(Summary!$D$23*SUMIF(ProductionPriority[Display],PriorityProduction[[#This Row],[Priority Production]],ProductionPriority[Price]),35)</f>
        <v>35</v>
      </c>
      <c r="DM4" s="6">
        <f>DL4-DL3</f>
        <v>10</v>
      </c>
      <c r="DN4">
        <v>2</v>
      </c>
      <c r="DP4" s="2" t="s">
        <v>95</v>
      </c>
      <c r="DR4" s="12">
        <v>2</v>
      </c>
      <c r="DS4" s="2" t="s">
        <v>200</v>
      </c>
      <c r="DU4" s="12">
        <v>2</v>
      </c>
      <c r="DV4" s="2" t="s">
        <v>203</v>
      </c>
      <c r="DX4" s="204">
        <v>45624</v>
      </c>
      <c r="DY4" s="2" t="s">
        <v>210</v>
      </c>
      <c r="EB4" s="237">
        <f t="shared" ca="1" si="0"/>
        <v>45819</v>
      </c>
      <c r="EC4" s="263">
        <f ca="1">(7-WEEKDAY(IHD_Calc[[#This Row],[Order Date]],15))</f>
        <v>1</v>
      </c>
      <c r="ED4" s="237">
        <f ca="1">IHD_Calc[[#This Row],[Order Date]]+(7-WEEKDAY(IHD_Calc[[#This Row],[Order Date]],15))+IF(IHD_Calc[[#This Row],[Days]]&lt;3,7,0)</f>
        <v>45827</v>
      </c>
      <c r="EE4" s="237">
        <f ca="1">IHD_Calc[[#This Row],[Approval Date]]-5</f>
        <v>45822</v>
      </c>
      <c r="EF4" s="238" t="s">
        <v>156</v>
      </c>
      <c r="EG4" s="237">
        <f ca="1">IFERROR(IHD_Calc[[#This Row],[Approval Date]]+VLOOKUP(IHD_Calc[[#This Row],[Production Priority]],PriorityProduction[],4),"")</f>
        <v>45829</v>
      </c>
      <c r="EH4" s="237">
        <f ca="1">IFERROR(IHD_Calc[[#This Row],[In Transit]]+3,"")</f>
        <v>45832</v>
      </c>
      <c r="EI4" s="239">
        <f ca="1">IFERROR(IHD_Calc[[#This Row],[Est Ship Date]]+_xlfn.XLOOKUP(IHD_Calc[[#This Row],[Shipping]],ShipDays[Shipping Service],ShipDays[Ship Days]),0)</f>
        <v>45833</v>
      </c>
      <c r="EJ4" s="236" t="s">
        <v>202</v>
      </c>
      <c r="EK4" s="236" t="s">
        <v>248</v>
      </c>
      <c r="EL4" s="241" t="str">
        <f>"To meet your in hand date it may require "&amp;IHD_Calc[[#This Row],[Production]]&amp;" production and UPS "&amp;UPPER(IHD_Calc[[#This Row],[Shipping]])&amp;" delivery service."</f>
        <v>To meet your in hand date it may require PRIORITY production and UPS OVERNIGHT delivery service.</v>
      </c>
      <c r="EM4" s="236"/>
      <c r="EN4" s="2" t="s">
        <v>265</v>
      </c>
      <c r="EO4" s="11">
        <v>0.35</v>
      </c>
      <c r="EQ4" s="12" t="s">
        <v>95</v>
      </c>
      <c r="ER4" s="12" t="s">
        <v>95</v>
      </c>
      <c r="ES4" s="12" t="s">
        <v>95</v>
      </c>
      <c r="ET4" s="12" t="s">
        <v>95</v>
      </c>
      <c r="EU4" s="12" t="s">
        <v>93</v>
      </c>
      <c r="EV4" s="11"/>
      <c r="EW4" s="11">
        <v>250</v>
      </c>
      <c r="EX4" s="11">
        <v>49</v>
      </c>
      <c r="EZ4" s="236"/>
      <c r="FA4" s="235"/>
    </row>
    <row r="5" spans="1:157" x14ac:dyDescent="0.2">
      <c r="A5">
        <v>4</v>
      </c>
      <c r="B5" s="14">
        <v>0.1</v>
      </c>
      <c r="C5" s="6">
        <f>$C$3*(1-B5)</f>
        <v>44.1</v>
      </c>
      <c r="E5" s="2" t="s">
        <v>8</v>
      </c>
      <c r="F5" s="11" t="s">
        <v>23</v>
      </c>
      <c r="G5" s="5"/>
      <c r="H5" s="5" t="s">
        <v>8</v>
      </c>
      <c r="I5" s="5" t="s">
        <v>345</v>
      </c>
      <c r="J5" s="5"/>
      <c r="K5" s="5"/>
      <c r="L5" s="5"/>
      <c r="M5" s="5"/>
      <c r="N5" s="5"/>
      <c r="V5" s="2" t="s">
        <v>73</v>
      </c>
      <c r="W5" s="2">
        <v>3</v>
      </c>
      <c r="X5" s="2" t="str">
        <f>Sleeve[[#This Row],[Sleeve]]&amp;IF(Sleeve[[#This Row],[Price]]="",""," (+"&amp;TEXT(Sleeve[[#This Row],[Price]],"$0.00"&amp;")"))</f>
        <v>Long (+$10.00)</v>
      </c>
      <c r="Y5" s="2" t="s">
        <v>27</v>
      </c>
      <c r="Z5" s="6">
        <v>10</v>
      </c>
      <c r="AA5" s="275" t="s">
        <v>312</v>
      </c>
      <c r="AC5" t="str">
        <v>Long</v>
      </c>
      <c r="AF5" s="283" t="s">
        <v>14</v>
      </c>
      <c r="AG5" s="283"/>
      <c r="AH5" s="2" t="str">
        <f>Collar[[#This Row],[Collar]]&amp;IF(Collar[[#This Row],[Price]]="",""," (+"&amp;TEXT(Collar[[#This Row],[Price]],"$0.00"&amp;")"))</f>
        <v>V-Neck</v>
      </c>
      <c r="AI5" s="284" t="s">
        <v>288</v>
      </c>
      <c r="AJ5" s="281"/>
      <c r="AK5" s="280" t="s">
        <v>6</v>
      </c>
      <c r="AL5" s="285" t="s">
        <v>312</v>
      </c>
      <c r="AM5" s="280" t="str">
        <f>Collar[[#This Row],[Collection]]&amp;Collar[[#This Row],[Sleeve]]</f>
        <v>PerformanceShort</v>
      </c>
      <c r="AO5" t="str">
        <v>V-Neck</v>
      </c>
      <c r="AP5" t="str">
        <v>V-Neck</v>
      </c>
      <c r="AQ5" t="str">
        <v>V-Neck</v>
      </c>
      <c r="AR5" t="str">
        <v>V-Neck</v>
      </c>
      <c r="AS5" t="str">
        <v>V-Neck</v>
      </c>
      <c r="AU5" s="3" t="s">
        <v>9</v>
      </c>
      <c r="AV5" s="20">
        <v>3</v>
      </c>
      <c r="AW5" s="20" t="str">
        <f>Size[[#This Row],[Size]]&amp;IF(Size[[#This Row],[Price]]="",""," (+"&amp;TEXT(Size[[#This Row],[Price]],"$0.00")&amp;")")</f>
        <v>Medium</v>
      </c>
      <c r="AX5" s="9" t="s">
        <v>21</v>
      </c>
      <c r="AZ5" s="6" t="s">
        <v>19</v>
      </c>
      <c r="BB5" s="6" t="str">
        <v>Medium</v>
      </c>
      <c r="BC5" s="6" t="str">
        <v>Medium</v>
      </c>
      <c r="BD5" s="6" t="str">
        <v>Medium</v>
      </c>
      <c r="BE5" s="6" t="str">
        <v>4T</v>
      </c>
      <c r="BG5" s="3" t="s">
        <v>33</v>
      </c>
      <c r="BH5" s="20" t="str">
        <f>Length[[#This Row],[Length]]&amp;IF(Length[[#This Row],[Price]]="",""," (+"&amp;TEXT(Length[[#This Row],[Price]],"$0.00"&amp;")"))</f>
        <v>+6 (+$9.00)</v>
      </c>
      <c r="BI5" s="9" t="s">
        <v>33</v>
      </c>
      <c r="BJ5" s="6">
        <v>9</v>
      </c>
      <c r="BL5" s="2" t="s">
        <v>39</v>
      </c>
      <c r="BM5" s="2">
        <v>3</v>
      </c>
      <c r="BN5" s="2" t="str">
        <f>Logos[[#This Row],[Logos]]&amp;IF(Logos[[#This Row],[Use]]="Flat"," (+"&amp;TEXT(Logos[[#This Row],[Flat]],"$0.00")&amp;")"," (+"&amp;TEXT(Logos[[#This Row],[Pct]],"0%")&amp;" of base price)")</f>
        <v>900 Global (+$5.00)</v>
      </c>
      <c r="BO5" s="2" t="s">
        <v>55</v>
      </c>
      <c r="BP5" s="14">
        <v>0.1</v>
      </c>
      <c r="BQ5" s="289">
        <v>5</v>
      </c>
      <c r="BR5" s="13" t="s">
        <v>348</v>
      </c>
      <c r="BT5" s="2" t="s">
        <v>49</v>
      </c>
      <c r="BU5" s="2">
        <v>3</v>
      </c>
      <c r="BV5" s="2" t="str">
        <f>Chest[[#This Row],[Logos]]&amp;IF(BZ5="","",IF(Chest[[#This Row],[Use]]="Flat"," (+"&amp;TEXT(Chest[[#This Row],[Flat]],"$0.00")&amp;")"," (+"&amp;TEXT(Chest[[#This Row],[Pct]],"0%")&amp;" of base price)"))</f>
        <v>Master (+$5.00)</v>
      </c>
      <c r="BW5" s="290" t="s">
        <v>49</v>
      </c>
      <c r="BX5" s="6"/>
      <c r="BY5" s="5">
        <v>5</v>
      </c>
      <c r="BZ5" s="2" t="s">
        <v>348</v>
      </c>
      <c r="CB5" s="2" t="s">
        <v>49</v>
      </c>
      <c r="CC5" s="2">
        <v>3</v>
      </c>
      <c r="CD5" s="2" t="str">
        <f>LeftSleeve[[#This Row],[Logos]]&amp;IF(LeftSleeve[[#This Row],[Use]]="","",IF(LeftSleeve[[#This Row],[Use]]="Flat"," (+"&amp;TEXT(LeftSleeve[[#This Row],[Flat]],"$0.00")&amp;")"," (+"&amp;TEXT(LeftSleeve[[#This Row],[Pct]],"0%")&amp;" of base price)"))</f>
        <v>Master (+$5.00)</v>
      </c>
      <c r="CE5" s="290" t="s">
        <v>49</v>
      </c>
      <c r="CF5" s="6"/>
      <c r="CG5" s="5">
        <v>5</v>
      </c>
      <c r="CH5" s="2" t="s">
        <v>348</v>
      </c>
      <c r="CI5" s="2"/>
      <c r="CJ5" s="2" t="s">
        <v>351</v>
      </c>
      <c r="CK5" s="2"/>
      <c r="CL5" s="20" t="str">
        <f>RightSleeve[[#This Row],[Logos]]</f>
        <v>PBA Jr</v>
      </c>
      <c r="CM5" s="2" t="s">
        <v>353</v>
      </c>
      <c r="CN5" s="5"/>
      <c r="CO5" s="5"/>
      <c r="CP5" s="2"/>
      <c r="CQ5" s="2"/>
      <c r="CY5" s="2" t="s">
        <v>65</v>
      </c>
      <c r="CZ5" s="2" t="s">
        <v>70</v>
      </c>
      <c r="DC5" s="2" t="s">
        <v>101</v>
      </c>
      <c r="DD5" s="2" t="str">
        <f>ProductionPriority[[#This Row],[Production]]&amp;IF(ProductionPriority[[#This Row],[Price]]="",""," +"&amp;TEXT(ProductionPriority[[#This Row],[Price]],"00%"))</f>
        <v>Priority (approx 1 week) +35%</v>
      </c>
      <c r="DE5" s="7">
        <v>0.35</v>
      </c>
      <c r="DF5" s="7">
        <v>0.1</v>
      </c>
      <c r="DG5" s="6">
        <v>35</v>
      </c>
      <c r="DH5" s="14">
        <f>IF(_xlfn.XLOOKUP(CustGroup,CustomerGroup[Customer Groups],CustomerGroup[Free Express Production])="Yes",ProductionPriority[[#This Row],[Upgrade]],ProductionPriority[[#This Row],[Price]])</f>
        <v>0.35</v>
      </c>
      <c r="DI5" s="6">
        <f>ROUNDUP(IF(ProductionPriority[[#This Row],[Actual]]&gt;0,MAX(ProductionPriority[[#This Row],[Minimum]],BOD_Subtotal*ProductionPriority[[#This Row],[Actual]]),0),2)</f>
        <v>35</v>
      </c>
      <c r="DJ5" s="11"/>
      <c r="DK5" s="60" t="s">
        <v>99</v>
      </c>
      <c r="DL5" s="21">
        <v>0</v>
      </c>
      <c r="DM5" s="6">
        <v>0</v>
      </c>
      <c r="DN5">
        <v>16</v>
      </c>
      <c r="DR5" s="12">
        <v>3</v>
      </c>
      <c r="DS5" s="2" t="s">
        <v>194</v>
      </c>
      <c r="DU5" s="12">
        <v>3</v>
      </c>
      <c r="DV5" s="2" t="s">
        <v>204</v>
      </c>
      <c r="DX5" s="204">
        <v>45651</v>
      </c>
      <c r="DY5" s="2" t="s">
        <v>211</v>
      </c>
      <c r="EB5" s="237">
        <f t="shared" ca="1" si="0"/>
        <v>45819</v>
      </c>
      <c r="EC5" s="263">
        <f ca="1">(7-WEEKDAY(IHD_Calc[[#This Row],[Order Date]],15))</f>
        <v>1</v>
      </c>
      <c r="ED5" s="237">
        <f ca="1">IHD_Calc[[#This Row],[Order Date]]+(7-WEEKDAY(IHD_Calc[[#This Row],[Order Date]],15))+IF(IHD_Calc[[#This Row],[Days]]&lt;3,7,0)</f>
        <v>45827</v>
      </c>
      <c r="EE5" s="237">
        <f ca="1">IHD_Calc[[#This Row],[Approval Date]]-5</f>
        <v>45822</v>
      </c>
      <c r="EF5" s="238" t="s">
        <v>156</v>
      </c>
      <c r="EG5" s="237">
        <f ca="1">IFERROR(IHD_Calc[[#This Row],[Approval Date]]+VLOOKUP(IHD_Calc[[#This Row],[Production Priority]],PriorityProduction[],4),"")</f>
        <v>45829</v>
      </c>
      <c r="EH5" s="237">
        <f ca="1">IFERROR(IHD_Calc[[#This Row],[In Transit]]+3,"")</f>
        <v>45832</v>
      </c>
      <c r="EI5" s="239">
        <f ca="1">IFERROR(IHD_Calc[[#This Row],[Est Ship Date]]+_xlfn.XLOOKUP(IHD_Calc[[#This Row],[Shipping]],ShipDays[Shipping Service],ShipDays[Ship Days]),0)</f>
        <v>45834</v>
      </c>
      <c r="EJ5" s="236" t="s">
        <v>203</v>
      </c>
      <c r="EK5" s="236" t="s">
        <v>248</v>
      </c>
      <c r="EL5" s="241" t="str">
        <f>"To meet your in hand date it may require "&amp;IHD_Calc[[#This Row],[Production]]&amp;" production and UPS "&amp;UPPER(IHD_Calc[[#This Row],[Shipping]])&amp;" delivery service."</f>
        <v>To meet your in hand date it may require PRIORITY production and UPS TWO DAY delivery service.</v>
      </c>
      <c r="EM5" s="237"/>
      <c r="EN5" s="2" t="s">
        <v>266</v>
      </c>
      <c r="EP5" s="11">
        <v>0.3</v>
      </c>
      <c r="EQ5" s="12" t="s">
        <v>95</v>
      </c>
      <c r="ER5" s="12" t="s">
        <v>95</v>
      </c>
      <c r="ES5" s="12" t="s">
        <v>95</v>
      </c>
      <c r="ET5" s="12" t="s">
        <v>95</v>
      </c>
      <c r="EU5" s="12" t="s">
        <v>95</v>
      </c>
      <c r="EV5" s="11"/>
      <c r="EW5" s="11"/>
      <c r="EX5" s="11">
        <v>49</v>
      </c>
      <c r="EZ5" s="237"/>
      <c r="FA5" s="235"/>
    </row>
    <row r="6" spans="1:157" x14ac:dyDescent="0.2">
      <c r="A6">
        <v>25</v>
      </c>
      <c r="B6" s="14">
        <v>0.15</v>
      </c>
      <c r="C6" s="6">
        <f>$C$3*(1-B6)</f>
        <v>41.65</v>
      </c>
      <c r="E6" s="2" t="s">
        <v>319</v>
      </c>
      <c r="F6" s="11" t="s">
        <v>320</v>
      </c>
      <c r="G6" s="5"/>
      <c r="H6" s="5" t="s">
        <v>319</v>
      </c>
      <c r="I6" s="5" t="s">
        <v>346</v>
      </c>
      <c r="J6" s="5"/>
      <c r="K6" s="5"/>
      <c r="L6" s="5"/>
      <c r="M6" s="5"/>
      <c r="N6" s="5"/>
      <c r="V6" s="2" t="s">
        <v>6</v>
      </c>
      <c r="W6" s="2"/>
      <c r="X6" s="20" t="str">
        <f>Sleeve[[#This Row],[Sleeve]]&amp;IF(Sleeve[[#This Row],[Price]]="",""," (+"&amp;TEXT(Sleeve[[#This Row],[Price]],"$0.00"&amp;")"))</f>
        <v>Short</v>
      </c>
      <c r="Y6" s="2" t="s">
        <v>26</v>
      </c>
      <c r="Z6" s="6"/>
      <c r="AA6" s="276" t="s">
        <v>313</v>
      </c>
      <c r="AF6" s="278" t="s">
        <v>13</v>
      </c>
      <c r="AG6" s="278"/>
      <c r="AH6" s="2" t="str">
        <f>Collar[[#This Row],[Collar]]&amp;IF(Collar[[#This Row],[Price]]="",""," (+"&amp;TEXT(Collar[[#This Row],[Price]],"$0.00"&amp;")"))</f>
        <v>Crew</v>
      </c>
      <c r="AI6" s="279" t="s">
        <v>289</v>
      </c>
      <c r="AJ6" s="282"/>
      <c r="AK6" s="277" t="s">
        <v>6</v>
      </c>
      <c r="AL6" s="285" t="s">
        <v>312</v>
      </c>
      <c r="AM6" s="277" t="str">
        <f>Collar[[#This Row],[Collection]]&amp;Collar[[#This Row],[Sleeve]]</f>
        <v>PerformanceShort</v>
      </c>
      <c r="AO6" t="str">
        <v>Crew</v>
      </c>
      <c r="AP6" t="str">
        <v>Crew</v>
      </c>
      <c r="AQ6" t="str">
        <v>Crew</v>
      </c>
      <c r="AR6" t="str">
        <v>Crew</v>
      </c>
      <c r="AS6" t="str">
        <v>Crew</v>
      </c>
      <c r="AU6" s="3" t="s">
        <v>5</v>
      </c>
      <c r="AV6" s="20">
        <v>4</v>
      </c>
      <c r="AW6" s="20" t="str">
        <f>Size[[#This Row],[Size]]&amp;IF(Size[[#This Row],[Price]]="",""," (+"&amp;TEXT(Size[[#This Row],[Price]],"$0.00")&amp;")")</f>
        <v>Large</v>
      </c>
      <c r="AX6" s="9" t="s">
        <v>27</v>
      </c>
      <c r="AZ6" s="6" t="s">
        <v>19</v>
      </c>
      <c r="BB6" s="6" t="str">
        <v>Large</v>
      </c>
      <c r="BC6" s="6" t="str">
        <v>Large</v>
      </c>
      <c r="BD6" s="6" t="str">
        <v>Large</v>
      </c>
      <c r="BE6" s="6" t="str">
        <v>5T</v>
      </c>
      <c r="BL6" s="2" t="s">
        <v>38</v>
      </c>
      <c r="BM6" s="2">
        <v>4</v>
      </c>
      <c r="BN6" s="2" t="str">
        <f>Logos[[#This Row],[Logos]]&amp;IF(Logos[[#This Row],[Use]]="Flat"," (+"&amp;TEXT(Logos[[#This Row],[Flat]],"$0.00")&amp;")"," (+"&amp;TEXT(Logos[[#This Row],[Pct]],"0%")&amp;" of base price)")</f>
        <v>Brunswick (+$5.00)</v>
      </c>
      <c r="BO6" s="2" t="s">
        <v>38</v>
      </c>
      <c r="BP6" s="14">
        <v>0.1</v>
      </c>
      <c r="BQ6" s="289">
        <v>5</v>
      </c>
      <c r="BR6" s="13" t="s">
        <v>348</v>
      </c>
      <c r="BT6" s="2" t="s">
        <v>358</v>
      </c>
      <c r="BU6" s="2">
        <v>4</v>
      </c>
      <c r="BV6" s="2" t="str">
        <f>Chest[[#This Row],[Logos]]&amp;IF(BZ6="","",IF(Chest[[#This Row],[Use]]="Flat"," (+"&amp;TEXT(Chest[[#This Row],[Flat]],"$0.00")&amp;")"," (+"&amp;TEXT(Chest[[#This Row],[Pct]],"0%")&amp;" of base price)"))</f>
        <v>Mongoose</v>
      </c>
      <c r="BW6" s="290" t="s">
        <v>358</v>
      </c>
      <c r="BX6" s="6"/>
      <c r="BY6" s="5"/>
      <c r="BZ6" s="2"/>
      <c r="CB6" s="2" t="s">
        <v>358</v>
      </c>
      <c r="CC6" s="2">
        <v>4</v>
      </c>
      <c r="CD6" s="2" t="str">
        <f>LeftSleeve[[#This Row],[Logos]]&amp;IF(LeftSleeve[[#This Row],[Use]]="","",IF(LeftSleeve[[#This Row],[Use]]="Flat"," (+"&amp;TEXT(LeftSleeve[[#This Row],[Flat]],"$0.00")&amp;")"," (+"&amp;TEXT(LeftSleeve[[#This Row],[Pct]],"0%")&amp;" of base price)"))</f>
        <v>Mongoose</v>
      </c>
      <c r="CE6" s="290" t="s">
        <v>358</v>
      </c>
      <c r="CF6" s="6"/>
      <c r="CG6" s="5"/>
      <c r="CH6" s="2"/>
      <c r="CI6" s="2"/>
      <c r="CJ6" s="2" t="s">
        <v>128</v>
      </c>
      <c r="CK6" s="2">
        <v>3</v>
      </c>
      <c r="CL6" s="20" t="str">
        <f>RightSleeve[[#This Row],[Logos]]</f>
        <v>PWBA</v>
      </c>
      <c r="CM6" s="2" t="s">
        <v>128</v>
      </c>
      <c r="CN6" s="5"/>
      <c r="CO6" s="5"/>
      <c r="CP6" s="2"/>
      <c r="CQ6" s="2"/>
      <c r="CY6" s="2" t="s">
        <v>63</v>
      </c>
      <c r="CZ6" s="2" t="s">
        <v>71</v>
      </c>
      <c r="DR6" s="12">
        <v>4</v>
      </c>
      <c r="DS6" s="2" t="s">
        <v>195</v>
      </c>
      <c r="DU6" s="12">
        <v>10</v>
      </c>
      <c r="DV6" s="2" t="s">
        <v>220</v>
      </c>
      <c r="DX6" s="204">
        <v>45658</v>
      </c>
      <c r="DY6" s="2" t="s">
        <v>212</v>
      </c>
      <c r="EB6" s="237">
        <f t="shared" ca="1" si="0"/>
        <v>45819</v>
      </c>
      <c r="EC6" s="263">
        <f ca="1">(7-WEEKDAY(IHD_Calc[[#This Row],[Order Date]],15))</f>
        <v>1</v>
      </c>
      <c r="ED6" s="237">
        <f ca="1">IHD_Calc[[#This Row],[Order Date]]+(7-WEEKDAY(IHD_Calc[[#This Row],[Order Date]],15))+IF(IHD_Calc[[#This Row],[Days]]&lt;3,7,0)</f>
        <v>45827</v>
      </c>
      <c r="EE6" s="237">
        <f ca="1">IHD_Calc[[#This Row],[Approval Date]]-5</f>
        <v>45822</v>
      </c>
      <c r="EF6" s="238" t="s">
        <v>156</v>
      </c>
      <c r="EG6" s="237">
        <f ca="1">IFERROR(IHD_Calc[[#This Row],[Approval Date]]+VLOOKUP(IHD_Calc[[#This Row],[Production Priority]],PriorityProduction[],4),"")</f>
        <v>45829</v>
      </c>
      <c r="EH6" s="237">
        <f ca="1">IFERROR(IHD_Calc[[#This Row],[In Transit]]+3,"")</f>
        <v>45832</v>
      </c>
      <c r="EI6" s="239">
        <f ca="1">IFERROR(IHD_Calc[[#This Row],[Est Ship Date]]+_xlfn.XLOOKUP(IHD_Calc[[#This Row],[Shipping]],ShipDays[Shipping Service],ShipDays[Ship Days]),0)</f>
        <v>45835</v>
      </c>
      <c r="EJ6" s="236" t="s">
        <v>204</v>
      </c>
      <c r="EK6" s="236" t="s">
        <v>248</v>
      </c>
      <c r="EL6" s="241" t="str">
        <f>"To meet your in hand date it may require "&amp;IHD_Calc[[#This Row],[Production]]&amp;" production and UPS "&amp;UPPER(IHD_Calc[[#This Row],[Shipping]])&amp;" delivery service."</f>
        <v>To meet your in hand date it may require PRIORITY production and UPS 3-DAY SELECT delivery service.</v>
      </c>
      <c r="EM6" s="237"/>
      <c r="EN6" s="2" t="s">
        <v>267</v>
      </c>
      <c r="EO6" s="12">
        <v>0.4</v>
      </c>
      <c r="EQ6" s="12" t="s">
        <v>95</v>
      </c>
      <c r="ER6" s="12" t="s">
        <v>95</v>
      </c>
      <c r="ES6" s="12" t="s">
        <v>95</v>
      </c>
      <c r="ET6" s="12" t="s">
        <v>95</v>
      </c>
      <c r="EU6" s="12" t="s">
        <v>93</v>
      </c>
      <c r="EV6" s="11"/>
      <c r="EW6" s="11">
        <v>250</v>
      </c>
      <c r="EX6" s="11">
        <v>49</v>
      </c>
      <c r="EZ6" s="237"/>
      <c r="FA6" s="235"/>
    </row>
    <row r="7" spans="1:157" x14ac:dyDescent="0.2">
      <c r="A7">
        <v>100</v>
      </c>
      <c r="B7" s="14">
        <v>0.2</v>
      </c>
      <c r="C7" s="6">
        <f>$C$3*(1-B7)</f>
        <v>39.200000000000003</v>
      </c>
      <c r="V7" s="2" t="s">
        <v>73</v>
      </c>
      <c r="W7" s="2"/>
      <c r="X7" s="20" t="str">
        <f>Sleeve[[#This Row],[Sleeve]]&amp;IF(Sleeve[[#This Row],[Price]]="",""," (+"&amp;TEXT(Sleeve[[#This Row],[Price]],"$0.00"&amp;")"))</f>
        <v>Long (+$10.00)</v>
      </c>
      <c r="Y7" s="2" t="s">
        <v>27</v>
      </c>
      <c r="Z7" s="6">
        <v>10</v>
      </c>
      <c r="AA7" s="276" t="s">
        <v>313</v>
      </c>
      <c r="AF7" s="283" t="s">
        <v>281</v>
      </c>
      <c r="AG7" s="283"/>
      <c r="AH7" s="2" t="str">
        <f>Collar[[#This Row],[Collar]]&amp;IF(Collar[[#This Row],[Price]]="",""," (+"&amp;TEXT(Collar[[#This Row],[Price]],"$0.00"&amp;")"))</f>
        <v>1/4 Zip Blade (+$10.00)</v>
      </c>
      <c r="AI7" s="284" t="s">
        <v>290</v>
      </c>
      <c r="AJ7" s="281">
        <v>10</v>
      </c>
      <c r="AK7" s="280" t="s">
        <v>6</v>
      </c>
      <c r="AL7" s="285" t="s">
        <v>312</v>
      </c>
      <c r="AM7" s="280" t="str">
        <f>Collar[[#This Row],[Collection]]&amp;Collar[[#This Row],[Sleeve]]</f>
        <v>PerformanceShort</v>
      </c>
      <c r="AO7" t="str">
        <v>1/4 Zip Blade (+$10.00)</v>
      </c>
      <c r="AP7" t="str">
        <v>Lightweight Hoodie (+$15.00)</v>
      </c>
      <c r="AQ7" t="str">
        <v>1/4 Zip Polo (+$5.00)</v>
      </c>
      <c r="AR7" t="str">
        <v>1/4 Zip Blade (+$10.00)</v>
      </c>
      <c r="AS7" t="str">
        <v>1/4 Zip Polo (+$10.00)</v>
      </c>
      <c r="AU7" s="3" t="s">
        <v>11</v>
      </c>
      <c r="AV7" s="20">
        <v>5</v>
      </c>
      <c r="AW7" s="20" t="str">
        <f>Size[[#This Row],[Size]]&amp;IF(Size[[#This Row],[Price]]="",""," (+"&amp;TEXT(Size[[#This Row],[Price]],"$0.00")&amp;")")</f>
        <v>X-Large</v>
      </c>
      <c r="AX7" s="9" t="s">
        <v>28</v>
      </c>
      <c r="AZ7" s="6" t="s">
        <v>19</v>
      </c>
      <c r="BB7" s="6" t="str">
        <v>X-Large</v>
      </c>
      <c r="BC7" s="6" t="str">
        <v>X-Large</v>
      </c>
      <c r="BD7" s="6" t="str">
        <v>X-Large</v>
      </c>
      <c r="BL7" s="2" t="s">
        <v>40</v>
      </c>
      <c r="BM7" s="2">
        <v>5</v>
      </c>
      <c r="BN7" s="2" t="str">
        <f>Logos[[#This Row],[Logos]]&amp;IF(Logos[[#This Row],[Use]]="Flat"," (+"&amp;TEXT(Logos[[#This Row],[Flat]],"$0.00")&amp;")"," (+"&amp;TEXT(Logos[[#This Row],[Pct]],"0%")&amp;" of base price)")</f>
        <v>Columbia (+$5.00)</v>
      </c>
      <c r="BO7" s="2" t="s">
        <v>40</v>
      </c>
      <c r="BP7" s="14">
        <v>0.1</v>
      </c>
      <c r="BQ7" s="289">
        <v>5</v>
      </c>
      <c r="BR7" s="13" t="s">
        <v>348</v>
      </c>
      <c r="BT7" s="2" t="s">
        <v>53</v>
      </c>
      <c r="BU7" s="2">
        <v>5</v>
      </c>
      <c r="BV7" s="2" t="str">
        <f>Chest[[#This Row],[Logos]]&amp;IF(BZ7="","",IF(Chest[[#This Row],[Use]]="Flat"," (+"&amp;TEXT(Chest[[#This Row],[Flat]],"$0.00")&amp;")"," (+"&amp;TEXT(Chest[[#This Row],[Pct]],"0%")&amp;" of base price)"))</f>
        <v>Powerhouse (+$5.00)</v>
      </c>
      <c r="BW7" s="290" t="s">
        <v>53</v>
      </c>
      <c r="BX7" s="6"/>
      <c r="BY7" s="5">
        <v>5</v>
      </c>
      <c r="BZ7" s="2" t="s">
        <v>348</v>
      </c>
      <c r="CB7" s="2" t="s">
        <v>53</v>
      </c>
      <c r="CC7" s="2">
        <v>5</v>
      </c>
      <c r="CD7" s="2" t="str">
        <f>LeftSleeve[[#This Row],[Logos]]&amp;IF(LeftSleeve[[#This Row],[Use]]="","",IF(LeftSleeve[[#This Row],[Use]]="Flat"," (+"&amp;TEXT(LeftSleeve[[#This Row],[Flat]],"$0.00")&amp;")"," (+"&amp;TEXT(LeftSleeve[[#This Row],[Pct]],"0%")&amp;" of base price)"))</f>
        <v>Powerhouse (+$5.00)</v>
      </c>
      <c r="CE7" s="290" t="s">
        <v>53</v>
      </c>
      <c r="CF7" s="6"/>
      <c r="CG7" s="5">
        <v>5</v>
      </c>
      <c r="CH7" s="2" t="s">
        <v>348</v>
      </c>
      <c r="CI7" s="2"/>
      <c r="CJ7" s="2" t="s">
        <v>350</v>
      </c>
      <c r="CK7" s="2"/>
      <c r="CL7" s="20" t="str">
        <f>RightSleeve[[#This Row],[Logos]]</f>
        <v>9-Tap</v>
      </c>
      <c r="CM7" s="2" t="s">
        <v>354</v>
      </c>
      <c r="CN7" s="2"/>
      <c r="CO7" s="2"/>
      <c r="CP7" s="2"/>
      <c r="CQ7" s="2"/>
      <c r="CY7" s="2" t="s">
        <v>64</v>
      </c>
      <c r="CZ7" s="2" t="s">
        <v>69</v>
      </c>
      <c r="DR7" s="12">
        <v>5</v>
      </c>
      <c r="DS7" s="2" t="s">
        <v>196</v>
      </c>
      <c r="DX7" s="204">
        <v>45803</v>
      </c>
      <c r="DY7" s="2" t="s">
        <v>213</v>
      </c>
      <c r="DZ7" t="s">
        <v>217</v>
      </c>
      <c r="EB7" s="237">
        <f t="shared" ca="1" si="0"/>
        <v>45819</v>
      </c>
      <c r="EC7" s="263">
        <f ca="1">(7-WEEKDAY(IHD_Calc[[#This Row],[Order Date]],15))</f>
        <v>1</v>
      </c>
      <c r="ED7" s="237">
        <f ca="1">IHD_Calc[[#This Row],[Order Date]]+(7-WEEKDAY(IHD_Calc[[#This Row],[Order Date]],15))+IF(IHD_Calc[[#This Row],[Days]]&lt;3,7,0)</f>
        <v>45827</v>
      </c>
      <c r="EE7" s="237">
        <f ca="1">IHD_Calc[[#This Row],[Approval Date]]-5</f>
        <v>45822</v>
      </c>
      <c r="EF7" s="238" t="s">
        <v>125</v>
      </c>
      <c r="EG7" s="237">
        <f ca="1">IFERROR(IHD_Calc[[#This Row],[Approval Date]]+VLOOKUP(IHD_Calc[[#This Row],[Production Priority]],PriorityProduction[],4),"")</f>
        <v>45836</v>
      </c>
      <c r="EH7" s="237">
        <f ca="1">IFERROR(IHD_Calc[[#This Row],[In Transit]]+3,"")</f>
        <v>45839</v>
      </c>
      <c r="EI7" s="239">
        <f ca="1">IFERROR(IHD_Calc[[#This Row],[Est Ship Date]]+_xlfn.XLOOKUP(IHD_Calc[[#This Row],[Shipping]],ShipDays[Shipping Service],ShipDays[Ship Days]),0)</f>
        <v>45840</v>
      </c>
      <c r="EJ7" s="236" t="s">
        <v>202</v>
      </c>
      <c r="EK7" s="236" t="s">
        <v>249</v>
      </c>
      <c r="EL7" s="241" t="str">
        <f>"To meet your in hand date it may require "&amp;IHD_Calc[[#This Row],[Production]]&amp;" production and UPS "&amp;UPPER(IHD_Calc[[#This Row],[Shipping]])&amp;" delivery service."</f>
        <v>To meet your in hand date it may require EXPRESS production and UPS OVERNIGHT delivery service.</v>
      </c>
      <c r="EM7" s="237"/>
      <c r="EN7" s="2" t="s">
        <v>268</v>
      </c>
      <c r="EQ7" s="12" t="s">
        <v>93</v>
      </c>
      <c r="ER7" s="12" t="s">
        <v>93</v>
      </c>
      <c r="ES7" s="12" t="s">
        <v>93</v>
      </c>
      <c r="ET7" s="12" t="s">
        <v>95</v>
      </c>
      <c r="EU7" s="12" t="s">
        <v>95</v>
      </c>
      <c r="EV7" s="11"/>
      <c r="EW7" s="11"/>
      <c r="EX7" s="11">
        <v>39</v>
      </c>
      <c r="EZ7" s="237"/>
      <c r="FA7" s="235"/>
    </row>
    <row r="8" spans="1:157" x14ac:dyDescent="0.2">
      <c r="AF8" s="278" t="s">
        <v>282</v>
      </c>
      <c r="AG8" s="278"/>
      <c r="AH8" s="2" t="str">
        <f>Collar[[#This Row],[Collar]]&amp;IF(Collar[[#This Row],[Price]]="",""," (+"&amp;TEXT(Collar[[#This Row],[Price]],"$0.00"&amp;")"))</f>
        <v>3 Button Blade (+$10.00)</v>
      </c>
      <c r="AI8" s="279" t="s">
        <v>291</v>
      </c>
      <c r="AJ8" s="282">
        <v>10</v>
      </c>
      <c r="AK8" s="277" t="s">
        <v>6</v>
      </c>
      <c r="AL8" s="285" t="s">
        <v>312</v>
      </c>
      <c r="AM8" s="277" t="str">
        <f>Collar[[#This Row],[Collection]]&amp;Collar[[#This Row],[Sleeve]]</f>
        <v>PerformanceShort</v>
      </c>
      <c r="AO8" t="str">
        <v>3 Button Blade (+$10.00)</v>
      </c>
      <c r="AQ8" t="str">
        <v>1/4 Zip Pullover (+$5.00)</v>
      </c>
      <c r="AR8" t="str">
        <v>3 Button Blade (+$10.00)</v>
      </c>
      <c r="AU8" s="3" t="s">
        <v>24</v>
      </c>
      <c r="AV8" s="1">
        <v>6</v>
      </c>
      <c r="AW8" s="1" t="str">
        <f>Size[[#This Row],[Size]]&amp;IF(Size[[#This Row],[Price]]="",""," (+"&amp;TEXT(Size[[#This Row],[Price]],"$0.00")&amp;")")</f>
        <v>2X-Large (+$2.00)</v>
      </c>
      <c r="AX8" s="10">
        <v>2</v>
      </c>
      <c r="AY8" s="6">
        <v>2</v>
      </c>
      <c r="AZ8" s="6" t="s">
        <v>19</v>
      </c>
      <c r="BB8" s="6" t="str">
        <v>2X-Large (+$2.00)</v>
      </c>
      <c r="BC8" s="6" t="str">
        <v>2X-Large (+$2.00)</v>
      </c>
      <c r="BL8" s="2" t="s">
        <v>41</v>
      </c>
      <c r="BM8" s="2">
        <v>6</v>
      </c>
      <c r="BN8" s="2" t="str">
        <f>Logos[[#This Row],[Logos]]&amp;IF(Logos[[#This Row],[Use]]="Flat"," (+"&amp;TEXT(Logos[[#This Row],[Flat]],"$0.00")&amp;")"," (+"&amp;TEXT(Logos[[#This Row],[Pct]],"0%")&amp;" of base price)")</f>
        <v>DV8 (+$5.00)</v>
      </c>
      <c r="BO8" s="2" t="s">
        <v>41</v>
      </c>
      <c r="BP8" s="14">
        <v>0.1</v>
      </c>
      <c r="BQ8" s="289">
        <v>5</v>
      </c>
      <c r="BR8" s="13" t="s">
        <v>348</v>
      </c>
      <c r="BT8" s="2" t="s">
        <v>359</v>
      </c>
      <c r="BU8" s="2">
        <v>6</v>
      </c>
      <c r="BV8" s="2" t="str">
        <f>Chest[[#This Row],[Logos]]&amp;IF(BZ8="","",IF(Chest[[#This Row],[Use]]="Flat"," (+"&amp;TEXT(Chest[[#This Row],[Flat]],"$0.00")&amp;")"," (+"&amp;TEXT(Chest[[#This Row],[Pct]],"0%")&amp;" of base price)"))</f>
        <v>Real Bowlers Tape</v>
      </c>
      <c r="BW8" s="290" t="s">
        <v>359</v>
      </c>
      <c r="BX8" s="6"/>
      <c r="BY8" s="5"/>
      <c r="BZ8" s="2"/>
      <c r="CB8" s="2" t="s">
        <v>359</v>
      </c>
      <c r="CC8" s="2">
        <v>6</v>
      </c>
      <c r="CD8" s="2" t="str">
        <f>LeftSleeve[[#This Row],[Logos]]&amp;IF(LeftSleeve[[#This Row],[Use]]="","",IF(LeftSleeve[[#This Row],[Use]]="Flat"," (+"&amp;TEXT(LeftSleeve[[#This Row],[Flat]],"$0.00")&amp;")"," (+"&amp;TEXT(LeftSleeve[[#This Row],[Pct]],"0%")&amp;" of base price)"))</f>
        <v>Real Bowlers Tape</v>
      </c>
      <c r="CE8" s="290" t="s">
        <v>359</v>
      </c>
      <c r="CF8" s="6"/>
      <c r="CG8" s="5"/>
      <c r="CH8" s="2"/>
      <c r="CI8" s="2"/>
      <c r="CJ8" s="2" t="s">
        <v>352</v>
      </c>
      <c r="CK8" s="2">
        <v>4</v>
      </c>
      <c r="CL8" s="20" t="str">
        <f>RightSleeve[[#This Row],[Logos]]</f>
        <v>Bowl4Life</v>
      </c>
      <c r="CM8" s="2" t="s">
        <v>129</v>
      </c>
      <c r="CN8" s="2"/>
      <c r="CO8" s="2"/>
      <c r="CP8" s="2"/>
      <c r="CQ8" s="2"/>
      <c r="CY8" s="2" t="s">
        <v>61</v>
      </c>
      <c r="CZ8" s="2" t="s">
        <v>67</v>
      </c>
      <c r="DR8" s="12">
        <v>6</v>
      </c>
      <c r="DS8" s="2" t="s">
        <v>197</v>
      </c>
      <c r="DX8" s="204">
        <v>45842</v>
      </c>
      <c r="DY8" s="2" t="s">
        <v>214</v>
      </c>
      <c r="EB8" s="237">
        <f t="shared" ca="1" si="0"/>
        <v>45819</v>
      </c>
      <c r="EC8" s="263">
        <f ca="1">(7-WEEKDAY(IHD_Calc[[#This Row],[Order Date]],15))</f>
        <v>1</v>
      </c>
      <c r="ED8" s="237">
        <f ca="1">IHD_Calc[[#This Row],[Order Date]]+(7-WEEKDAY(IHD_Calc[[#This Row],[Order Date]],15))+IF(IHD_Calc[[#This Row],[Days]]&lt;3,7,0)</f>
        <v>45827</v>
      </c>
      <c r="EE8" s="237">
        <f ca="1">IHD_Calc[[#This Row],[Approval Date]]-5</f>
        <v>45822</v>
      </c>
      <c r="EF8" s="238" t="s">
        <v>125</v>
      </c>
      <c r="EG8" s="237">
        <f ca="1">IFERROR(IHD_Calc[[#This Row],[Approval Date]]+VLOOKUP(IHD_Calc[[#This Row],[Production Priority]],PriorityProduction[],4),"")</f>
        <v>45836</v>
      </c>
      <c r="EH8" s="237">
        <f ca="1">IFERROR(IHD_Calc[[#This Row],[In Transit]]+3,"")</f>
        <v>45839</v>
      </c>
      <c r="EI8" s="239">
        <f ca="1">IFERROR(IHD_Calc[[#This Row],[Est Ship Date]]+_xlfn.XLOOKUP(IHD_Calc[[#This Row],[Shipping]],ShipDays[Shipping Service],ShipDays[Ship Days]),0)</f>
        <v>45841</v>
      </c>
      <c r="EJ8" s="236" t="s">
        <v>203</v>
      </c>
      <c r="EK8" s="236" t="s">
        <v>249</v>
      </c>
      <c r="EL8" s="241" t="str">
        <f>"To meet your in hand date it may require "&amp;IHD_Calc[[#This Row],[Production]]&amp;" production and UPS "&amp;UPPER(IHD_Calc[[#This Row],[Shipping]])&amp;" delivery service."</f>
        <v>To meet your in hand date it may require EXPRESS production and UPS TWO DAY delivery service.</v>
      </c>
      <c r="EM8" s="237"/>
      <c r="EN8" s="2" t="s">
        <v>269</v>
      </c>
      <c r="EP8" s="12">
        <v>0.3</v>
      </c>
      <c r="EQ8" s="12" t="s">
        <v>95</v>
      </c>
      <c r="ER8" s="12" t="s">
        <v>95</v>
      </c>
      <c r="ES8" s="12" t="s">
        <v>95</v>
      </c>
      <c r="ET8" s="12" t="s">
        <v>95</v>
      </c>
      <c r="EU8" s="12" t="s">
        <v>95</v>
      </c>
      <c r="EV8" s="11"/>
      <c r="EW8" s="11"/>
      <c r="EX8" s="11">
        <v>49</v>
      </c>
      <c r="EZ8" s="236"/>
      <c r="FA8" s="235"/>
    </row>
    <row r="9" spans="1:157" x14ac:dyDescent="0.2">
      <c r="AF9" s="283" t="s">
        <v>283</v>
      </c>
      <c r="AG9" s="283"/>
      <c r="AH9" s="2" t="str">
        <f>Collar[[#This Row],[Collar]]&amp;IF(Collar[[#This Row],[Price]]="",""," (+"&amp;TEXT(Collar[[#This Row],[Price]],"$0.00"&amp;")"))</f>
        <v>1/4 Zip Polo (+$10.00)</v>
      </c>
      <c r="AI9" s="284" t="s">
        <v>292</v>
      </c>
      <c r="AJ9" s="281">
        <v>10</v>
      </c>
      <c r="AK9" s="280" t="s">
        <v>6</v>
      </c>
      <c r="AL9" s="285" t="s">
        <v>312</v>
      </c>
      <c r="AM9" s="280" t="str">
        <f>Collar[[#This Row],[Collection]]&amp;Collar[[#This Row],[Sleeve]]</f>
        <v>PerformanceShort</v>
      </c>
      <c r="AO9" t="str">
        <v>1/4 Zip Polo (+$10.00)</v>
      </c>
      <c r="AQ9" t="str">
        <v>Lightweight Hoodie (+$5.00)</v>
      </c>
      <c r="AR9" t="str">
        <v>1/4 Zip Polo (+$10.00)</v>
      </c>
      <c r="AU9" s="3" t="s">
        <v>84</v>
      </c>
      <c r="AV9" s="20">
        <v>7</v>
      </c>
      <c r="AW9" s="20" t="str">
        <f>Size[[#This Row],[Size]]&amp;IF(Size[[#This Row],[Price]]="",""," (+"&amp;TEXT(Size[[#This Row],[Price]],"$0.00")&amp;")")</f>
        <v>3X-Large (+$4.00)</v>
      </c>
      <c r="AX9" s="10">
        <v>3</v>
      </c>
      <c r="AY9" s="6">
        <v>4</v>
      </c>
      <c r="AZ9" s="6" t="s">
        <v>19</v>
      </c>
      <c r="BB9" s="6" t="str">
        <v>3X-Large (+$4.00)</v>
      </c>
      <c r="BC9" s="6" t="str">
        <v>3X-Large (+$4.00)</v>
      </c>
      <c r="BL9" s="2" t="s">
        <v>42</v>
      </c>
      <c r="BM9" s="2">
        <v>7</v>
      </c>
      <c r="BN9" s="2" t="str">
        <f>Logos[[#This Row],[Logos]]&amp;IF(Logos[[#This Row],[Use]]="Flat"," (+"&amp;TEXT(Logos[[#This Row],[Flat]],"$0.00")&amp;")"," (+"&amp;TEXT(Logos[[#This Row],[Pct]],"0%")&amp;" of base price)")</f>
        <v>Ebonite (+$5.00)</v>
      </c>
      <c r="BO9" s="2" t="s">
        <v>42</v>
      </c>
      <c r="BP9" s="14">
        <v>0.1</v>
      </c>
      <c r="BQ9" s="289">
        <v>5</v>
      </c>
      <c r="BR9" s="13" t="s">
        <v>348</v>
      </c>
      <c r="BT9" s="2" t="s">
        <v>360</v>
      </c>
      <c r="BU9" s="2">
        <v>7</v>
      </c>
      <c r="BV9" s="2" t="str">
        <f>Chest[[#This Row],[Logos]]&amp;IF(BZ9="","",IF(Chest[[#This Row],[Use]]="Flat"," (+"&amp;TEXT(Chest[[#This Row],[Flat]],"$0.00")&amp;")"," (+"&amp;TEXT(Chest[[#This Row],[Pct]],"0%")&amp;" of base price)"))</f>
        <v>Robbie's (+$5.00)</v>
      </c>
      <c r="BW9" s="290" t="s">
        <v>363</v>
      </c>
      <c r="BX9" s="6"/>
      <c r="BY9" s="5">
        <v>5</v>
      </c>
      <c r="BZ9" s="2" t="s">
        <v>348</v>
      </c>
      <c r="CB9" s="2" t="s">
        <v>360</v>
      </c>
      <c r="CC9" s="2">
        <v>7</v>
      </c>
      <c r="CD9" s="2" t="str">
        <f>LeftSleeve[[#This Row],[Logos]]&amp;IF(LeftSleeve[[#This Row],[Use]]="","",IF(LeftSleeve[[#This Row],[Use]]="Flat"," (+"&amp;TEXT(LeftSleeve[[#This Row],[Flat]],"$0.00")&amp;")"," (+"&amp;TEXT(LeftSleeve[[#This Row],[Pct]],"0%")&amp;" of base price)"))</f>
        <v>Robbie's (+$5.00)</v>
      </c>
      <c r="CE9" s="290" t="s">
        <v>363</v>
      </c>
      <c r="CF9" s="6"/>
      <c r="CG9" s="5">
        <v>5</v>
      </c>
      <c r="CH9" s="2" t="s">
        <v>348</v>
      </c>
      <c r="CI9" s="2"/>
      <c r="CQ9" s="2"/>
      <c r="DR9" s="12">
        <v>7</v>
      </c>
      <c r="DS9" s="2" t="s">
        <v>198</v>
      </c>
      <c r="DX9" s="204">
        <v>45901</v>
      </c>
      <c r="DY9" s="2" t="s">
        <v>215</v>
      </c>
      <c r="DZ9" t="s">
        <v>216</v>
      </c>
      <c r="EB9" s="237">
        <f t="shared" ca="1" si="0"/>
        <v>45819</v>
      </c>
      <c r="EC9" s="263">
        <f ca="1">(7-WEEKDAY(IHD_Calc[[#This Row],[Order Date]],15))</f>
        <v>1</v>
      </c>
      <c r="ED9" s="237">
        <f ca="1">IHD_Calc[[#This Row],[Order Date]]+(7-WEEKDAY(IHD_Calc[[#This Row],[Order Date]],15))+IF(IHD_Calc[[#This Row],[Days]]&lt;3,7,0)</f>
        <v>45827</v>
      </c>
      <c r="EE9" s="237">
        <f ca="1">IHD_Calc[[#This Row],[Approval Date]]-5</f>
        <v>45822</v>
      </c>
      <c r="EF9" s="238" t="s">
        <v>125</v>
      </c>
      <c r="EG9" s="237">
        <f ca="1">IFERROR(IHD_Calc[[#This Row],[Approval Date]]+VLOOKUP(IHD_Calc[[#This Row],[Production Priority]],PriorityProduction[],4),"")</f>
        <v>45836</v>
      </c>
      <c r="EH9" s="237">
        <f ca="1">IFERROR(IHD_Calc[[#This Row],[In Transit]]+3,"")</f>
        <v>45839</v>
      </c>
      <c r="EI9" s="239">
        <f ca="1">IFERROR(IHD_Calc[[#This Row],[Est Ship Date]]+_xlfn.XLOOKUP(IHD_Calc[[#This Row],[Shipping]],ShipDays[Shipping Service],ShipDays[Ship Days]),0)</f>
        <v>45842</v>
      </c>
      <c r="EJ9" s="236" t="s">
        <v>204</v>
      </c>
      <c r="EK9" s="236" t="s">
        <v>249</v>
      </c>
      <c r="EL9" s="241" t="str">
        <f>"To meet your in hand date it may require "&amp;IHD_Calc[[#This Row],[Production]]&amp;" production and UPS "&amp;UPPER(IHD_Calc[[#This Row],[Shipping]])&amp;" delivery service."</f>
        <v>To meet your in hand date it may require EXPRESS production and UPS 3-DAY SELECT delivery service.</v>
      </c>
      <c r="EM9" s="235"/>
      <c r="EN9" s="2" t="s">
        <v>270</v>
      </c>
      <c r="EO9" s="12">
        <v>0.2</v>
      </c>
      <c r="EQ9" s="12" t="s">
        <v>93</v>
      </c>
      <c r="ER9" s="12" t="s">
        <v>95</v>
      </c>
      <c r="ES9" s="12" t="s">
        <v>95</v>
      </c>
      <c r="ET9" s="12">
        <v>10</v>
      </c>
      <c r="EU9" s="12" t="s">
        <v>93</v>
      </c>
      <c r="EV9" s="11"/>
      <c r="EW9" s="11"/>
      <c r="EX9" s="11">
        <v>49</v>
      </c>
      <c r="EZ9" s="235"/>
      <c r="FA9" s="235"/>
    </row>
    <row r="10" spans="1:157" x14ac:dyDescent="0.2">
      <c r="AF10" s="278" t="s">
        <v>284</v>
      </c>
      <c r="AG10" s="278"/>
      <c r="AH10" s="2" t="str">
        <f>Collar[[#This Row],[Collar]]&amp;IF(Collar[[#This Row],[Price]]="",""," (+"&amp;TEXT(Collar[[#This Row],[Price]],"$0.00"&amp;")"))</f>
        <v>Mock Turtleneck (+$5.00)</v>
      </c>
      <c r="AI10" s="279" t="s">
        <v>293</v>
      </c>
      <c r="AJ10" s="282">
        <v>5</v>
      </c>
      <c r="AK10" s="277" t="s">
        <v>6</v>
      </c>
      <c r="AL10" s="285" t="s">
        <v>312</v>
      </c>
      <c r="AM10" s="277" t="str">
        <f>Collar[[#This Row],[Collection]]&amp;Collar[[#This Row],[Sleeve]]</f>
        <v>PerformanceShort</v>
      </c>
      <c r="AO10" t="str">
        <v>Mock Turtleneck (+$5.00)</v>
      </c>
      <c r="AQ10" t="str">
        <v>Lightweight 1/4 Zip Hoodie (+$10.00)</v>
      </c>
      <c r="AR10" t="str">
        <v>Mock Turtleneck (+$5.00)</v>
      </c>
      <c r="AU10" s="3" t="s">
        <v>85</v>
      </c>
      <c r="AV10" s="20">
        <v>8</v>
      </c>
      <c r="AW10" s="20" t="str">
        <f>Size[[#This Row],[Size]]&amp;IF(Size[[#This Row],[Price]]="",""," (+"&amp;TEXT(Size[[#This Row],[Price]],"$0.00")&amp;")")</f>
        <v>4X-Large (+$6.00)</v>
      </c>
      <c r="AX10" s="10">
        <v>4</v>
      </c>
      <c r="AY10" s="6">
        <v>6</v>
      </c>
      <c r="AZ10" s="6" t="s">
        <v>19</v>
      </c>
      <c r="BB10" s="6" t="str">
        <v>4X-Large (+$6.00)</v>
      </c>
      <c r="BC10" s="6" t="str">
        <v>4X-Large (+$6.00)</v>
      </c>
      <c r="BL10" s="2" t="s">
        <v>44</v>
      </c>
      <c r="BM10" s="2">
        <v>8</v>
      </c>
      <c r="BN10" s="2" t="str">
        <f>Logos[[#This Row],[Logos]]&amp;IF(Logos[[#This Row],[Use]]="Flat"," (+"&amp;TEXT(Logos[[#This Row],[Flat]],"$0.00")&amp;")"," (+"&amp;TEXT(Logos[[#This Row],[Pct]],"0%")&amp;" of base price)")</f>
        <v>Hammer (+$5.00)</v>
      </c>
      <c r="BO10" s="2" t="s">
        <v>44</v>
      </c>
      <c r="BP10" s="14">
        <v>0.1</v>
      </c>
      <c r="BQ10" s="289">
        <v>5</v>
      </c>
      <c r="BR10" s="13" t="s">
        <v>348</v>
      </c>
      <c r="BT10" s="2" t="s">
        <v>130</v>
      </c>
      <c r="BU10" s="2">
        <v>8</v>
      </c>
      <c r="BV10" s="2" t="str">
        <f>Chest[[#This Row],[Logos]]&amp;IF(BZ10="","",IF(Chest[[#This Row],[Use]]="Flat"," (+"&amp;TEXT(Chest[[#This Row],[Flat]],"$0.00")&amp;")"," (+"&amp;TEXT(Chest[[#This Row],[Pct]],"0%")&amp;" of base price)"))</f>
        <v>Turbo</v>
      </c>
      <c r="BW10" s="290" t="s">
        <v>130</v>
      </c>
      <c r="BX10" s="6"/>
      <c r="BY10" s="5"/>
      <c r="BZ10" s="2"/>
      <c r="CB10" s="2" t="s">
        <v>130</v>
      </c>
      <c r="CC10" s="2">
        <v>8</v>
      </c>
      <c r="CD10" s="2" t="str">
        <f>LeftSleeve[[#This Row],[Logos]]&amp;IF(LeftSleeve[[#This Row],[Use]]="","",IF(LeftSleeve[[#This Row],[Use]]="Flat"," (+"&amp;TEXT(LeftSleeve[[#This Row],[Flat]],"$0.00")&amp;")"," (+"&amp;TEXT(LeftSleeve[[#This Row],[Pct]],"0%")&amp;" of base price)"))</f>
        <v>Turbo</v>
      </c>
      <c r="CE10" s="290" t="s">
        <v>130</v>
      </c>
      <c r="CF10" s="6"/>
      <c r="CG10" s="5"/>
      <c r="CH10" s="2"/>
      <c r="CI10" s="2"/>
      <c r="CQ10" s="2"/>
      <c r="DX10" s="204">
        <v>45988</v>
      </c>
      <c r="DY10" s="2" t="s">
        <v>210</v>
      </c>
      <c r="DZ10" t="s">
        <v>218</v>
      </c>
      <c r="EB10" s="237">
        <f t="shared" ca="1" si="0"/>
        <v>45819</v>
      </c>
      <c r="EC10" s="263">
        <f ca="1">(7-WEEKDAY(IHD_Calc[[#This Row],[Order Date]],15))</f>
        <v>1</v>
      </c>
      <c r="ED10" s="237">
        <f ca="1">IHD_Calc[[#This Row],[Order Date]]+(7-WEEKDAY(IHD_Calc[[#This Row],[Order Date]],15))+IF(IHD_Calc[[#This Row],[Days]]&lt;3,7,0)</f>
        <v>45827</v>
      </c>
      <c r="EE10" s="237">
        <f ca="1">IHD_Calc[[#This Row],[Approval Date]]-5</f>
        <v>45822</v>
      </c>
      <c r="EF10" s="238" t="s">
        <v>99</v>
      </c>
      <c r="EG10" s="237">
        <f ca="1">IFERROR(IHD_Calc[[#This Row],[Approval Date]]+VLOOKUP(IHD_Calc[[#This Row],[Production Priority]],PriorityProduction[],4),"")</f>
        <v>45843</v>
      </c>
      <c r="EH10" s="237">
        <f ca="1">IFERROR(IHD_Calc[[#This Row],[In Transit]]+3,"")</f>
        <v>45846</v>
      </c>
      <c r="EI10" s="239">
        <f ca="1">IFERROR(IHD_Calc[[#This Row],[Est Ship Date]]+_xlfn.XLOOKUP(IHD_Calc[[#This Row],[Shipping]],ShipDays[Shipping Service],ShipDays[Ship Days]),0)</f>
        <v>45847</v>
      </c>
      <c r="EJ10" s="236" t="s">
        <v>202</v>
      </c>
      <c r="EK10" s="236" t="s">
        <v>250</v>
      </c>
      <c r="EL10" s="241" t="str">
        <f>"It appears we can meet your in hand date with "&amp;IHD_Calc[[#This Row],[Production]]&amp;" production, but may be required UPS "&amp;UPPER(IHD_Calc[[#This Row],[Shipping]])&amp;" delivery service."</f>
        <v>It appears we can meet your in hand date with STANDARD production, but may be required UPS OVERNIGHT delivery service.</v>
      </c>
      <c r="EM10" s="235"/>
      <c r="EN10" s="2" t="s">
        <v>271</v>
      </c>
      <c r="EQ10" s="12" t="s">
        <v>93</v>
      </c>
      <c r="ER10" s="12" t="s">
        <v>95</v>
      </c>
      <c r="ES10" s="12" t="s">
        <v>95</v>
      </c>
      <c r="ET10" s="12" t="s">
        <v>95</v>
      </c>
      <c r="EU10" s="12" t="s">
        <v>93</v>
      </c>
      <c r="EV10" s="11"/>
      <c r="EW10" s="11">
        <v>250</v>
      </c>
      <c r="EX10" s="11">
        <v>49</v>
      </c>
      <c r="EZ10" s="235"/>
      <c r="FA10" s="235"/>
    </row>
    <row r="11" spans="1:157" x14ac:dyDescent="0.2">
      <c r="AF11" s="283" t="s">
        <v>285</v>
      </c>
      <c r="AG11" s="283"/>
      <c r="AH11" s="2" t="str">
        <f>Collar[[#This Row],[Collar]]&amp;IF(Collar[[#This Row],[Price]]="",""," (+"&amp;TEXT(Collar[[#This Row],[Price]],"$0.00"&amp;")"))</f>
        <v>BowlRetro (+$20.00)</v>
      </c>
      <c r="AI11" s="284" t="s">
        <v>294</v>
      </c>
      <c r="AJ11" s="281">
        <v>20</v>
      </c>
      <c r="AK11" s="280" t="s">
        <v>6</v>
      </c>
      <c r="AL11" s="285" t="s">
        <v>312</v>
      </c>
      <c r="AM11" s="280" t="str">
        <f>Collar[[#This Row],[Collection]]&amp;Collar[[#This Row],[Sleeve]]</f>
        <v>PerformanceShort</v>
      </c>
      <c r="AO11" t="str">
        <v>BowlRetro (+$20.00)</v>
      </c>
      <c r="AU11" s="3" t="s">
        <v>86</v>
      </c>
      <c r="AV11" s="20">
        <v>9</v>
      </c>
      <c r="AW11" s="20" t="str">
        <f>Size[[#This Row],[Size]]&amp;IF(Size[[#This Row],[Price]]="",""," (+"&amp;TEXT(Size[[#This Row],[Price]],"$0.00")&amp;")")</f>
        <v>5X-Large (+$9.00)</v>
      </c>
      <c r="AX11" s="10">
        <v>5</v>
      </c>
      <c r="AY11" s="6">
        <v>9</v>
      </c>
      <c r="AZ11" s="6" t="s">
        <v>19</v>
      </c>
      <c r="BB11" s="6" t="str">
        <v>5X-Large (+$9.00)</v>
      </c>
      <c r="BC11" s="6" t="str">
        <v>5X-Large (+$9.00)</v>
      </c>
      <c r="BL11" s="2" t="s">
        <v>45</v>
      </c>
      <c r="BM11" s="2">
        <v>9</v>
      </c>
      <c r="BN11" s="2" t="str">
        <f>Logos[[#This Row],[Logos]]&amp;IF(Logos[[#This Row],[Use]]="Flat"," (+"&amp;TEXT(Logos[[#This Row],[Flat]],"$0.00")&amp;")"," (+"&amp;TEXT(Logos[[#This Row],[Pct]],"0%")&amp;" of base price)")</f>
        <v>Lane Masters (+$5.00)</v>
      </c>
      <c r="BO11" s="2" t="s">
        <v>56</v>
      </c>
      <c r="BP11" s="14">
        <v>0.1</v>
      </c>
      <c r="BQ11" s="289">
        <v>5</v>
      </c>
      <c r="BR11" s="13" t="s">
        <v>348</v>
      </c>
      <c r="BT11" s="2" t="s">
        <v>361</v>
      </c>
      <c r="BU11" s="2">
        <v>9</v>
      </c>
      <c r="BV11" s="2" t="str">
        <f>Chest[[#This Row],[Logos]]&amp;IF(BZ11="","",IF(Chest[[#This Row],[Use]]="Flat"," (+"&amp;TEXT(Chest[[#This Row],[Flat]],"$0.00")&amp;")"," (+"&amp;TEXT(Chest[[#This Row],[Pct]],"0%")&amp;" of base price)"))</f>
        <v>Ultimate (+$5.00)</v>
      </c>
      <c r="BW11" s="290" t="s">
        <v>361</v>
      </c>
      <c r="BX11" s="6"/>
      <c r="BY11" s="5">
        <v>5</v>
      </c>
      <c r="BZ11" s="2" t="s">
        <v>348</v>
      </c>
      <c r="CB11" s="2" t="s">
        <v>361</v>
      </c>
      <c r="CC11" s="2">
        <v>9</v>
      </c>
      <c r="CD11" s="2" t="str">
        <f>LeftSleeve[[#This Row],[Logos]]&amp;IF(LeftSleeve[[#This Row],[Use]]="","",IF(LeftSleeve[[#This Row],[Use]]="Flat"," (+"&amp;TEXT(LeftSleeve[[#This Row],[Flat]],"$0.00")&amp;")"," (+"&amp;TEXT(LeftSleeve[[#This Row],[Pct]],"0%")&amp;" of base price)"))</f>
        <v>Ultimate (+$5.00)</v>
      </c>
      <c r="CE11" s="290" t="s">
        <v>361</v>
      </c>
      <c r="CF11" s="6"/>
      <c r="CG11" s="5">
        <v>5</v>
      </c>
      <c r="CH11" s="2" t="s">
        <v>348</v>
      </c>
      <c r="CI11" s="2"/>
      <c r="CQ11" s="2"/>
      <c r="DX11" s="204">
        <v>46016</v>
      </c>
      <c r="DY11" s="2" t="s">
        <v>211</v>
      </c>
      <c r="EB11" s="237">
        <f t="shared" ca="1" si="0"/>
        <v>45819</v>
      </c>
      <c r="EC11" s="263">
        <f ca="1">(7-WEEKDAY(IHD_Calc[[#This Row],[Order Date]],15))</f>
        <v>1</v>
      </c>
      <c r="ED11" s="237">
        <f ca="1">IHD_Calc[[#This Row],[Order Date]]+(7-WEEKDAY(IHD_Calc[[#This Row],[Order Date]],15))+IF(IHD_Calc[[#This Row],[Days]]&lt;3,7,0)</f>
        <v>45827</v>
      </c>
      <c r="EE11" s="237">
        <f ca="1">IHD_Calc[[#This Row],[Approval Date]]-5</f>
        <v>45822</v>
      </c>
      <c r="EF11" s="238" t="s">
        <v>99</v>
      </c>
      <c r="EG11" s="237">
        <f ca="1">IFERROR(IHD_Calc[[#This Row],[Approval Date]]+VLOOKUP(IHD_Calc[[#This Row],[Production Priority]],PriorityProduction[],4),"")</f>
        <v>45843</v>
      </c>
      <c r="EH11" s="237">
        <f ca="1">IFERROR(IHD_Calc[[#This Row],[In Transit]]+3,"")</f>
        <v>45846</v>
      </c>
      <c r="EI11" s="239">
        <f ca="1">IFERROR(IHD_Calc[[#This Row],[Est Ship Date]]+_xlfn.XLOOKUP(IHD_Calc[[#This Row],[Shipping]],ShipDays[Shipping Service],ShipDays[Ship Days]),0)</f>
        <v>45848</v>
      </c>
      <c r="EJ11" s="236" t="s">
        <v>203</v>
      </c>
      <c r="EK11" s="236" t="s">
        <v>250</v>
      </c>
      <c r="EL11" s="241" t="str">
        <f>"It appears we can meet your in hand date with "&amp;IHD_Calc[[#This Row],[Production]]&amp;" production, but may be required UPS "&amp;UPPER(IHD_Calc[[#This Row],[Shipping]])&amp;" delivery service."</f>
        <v>It appears we can meet your in hand date with STANDARD production, but may be required UPS TWO DAY delivery service.</v>
      </c>
      <c r="EM11" s="235"/>
      <c r="EN11" s="2" t="s">
        <v>272</v>
      </c>
      <c r="EP11" s="12">
        <v>0.4</v>
      </c>
      <c r="EQ11" s="12" t="s">
        <v>95</v>
      </c>
      <c r="ER11" s="12" t="s">
        <v>95</v>
      </c>
      <c r="ES11" s="12" t="s">
        <v>95</v>
      </c>
      <c r="ET11" s="12" t="s">
        <v>95</v>
      </c>
      <c r="EU11" s="12" t="s">
        <v>95</v>
      </c>
      <c r="EV11" s="11"/>
      <c r="EW11" s="11"/>
      <c r="EX11" s="11">
        <v>49</v>
      </c>
      <c r="EZ11" s="235"/>
      <c r="FA11" s="235"/>
    </row>
    <row r="12" spans="1:157" x14ac:dyDescent="0.2">
      <c r="AF12" s="278" t="s">
        <v>327</v>
      </c>
      <c r="AG12" s="278"/>
      <c r="AH12" s="2" t="str">
        <f>Collar[[#This Row],[Collar]]&amp;IF(Collar[[#This Row],[Price]]="",""," (+"&amp;TEXT(Collar[[#This Row],[Price]],"$0.00"&amp;")"))</f>
        <v>Lightweight Hoodie (+$15.00)</v>
      </c>
      <c r="AI12" s="279" t="s">
        <v>295</v>
      </c>
      <c r="AJ12" s="282">
        <v>15</v>
      </c>
      <c r="AK12" s="277" t="s">
        <v>6</v>
      </c>
      <c r="AL12" s="285" t="s">
        <v>312</v>
      </c>
      <c r="AM12" s="277" t="str">
        <f>Collar[[#This Row],[Collection]]&amp;Collar[[#This Row],[Sleeve]]</f>
        <v>PerformanceShort</v>
      </c>
      <c r="AO12" t="str">
        <v>Lightweight Hoodie (+$15.00)</v>
      </c>
      <c r="AU12" s="3" t="s">
        <v>87</v>
      </c>
      <c r="AV12" s="20">
        <v>10</v>
      </c>
      <c r="AW12" s="20" t="str">
        <f>Size[[#This Row],[Size]]&amp;IF(Size[[#This Row],[Price]]="",""," (+"&amp;TEXT(Size[[#This Row],[Price]],"$0.00")&amp;")")</f>
        <v>6X-Large (+$12.00)</v>
      </c>
      <c r="AX12" s="10">
        <v>6</v>
      </c>
      <c r="AY12" s="6">
        <v>12</v>
      </c>
      <c r="AZ12" s="6" t="s">
        <v>19</v>
      </c>
      <c r="BB12" s="6" t="str">
        <v>6X-Large (+$12.00)</v>
      </c>
      <c r="BC12" s="6" t="str">
        <v>6X-Large (+$12.00)</v>
      </c>
      <c r="BL12" s="2" t="s">
        <v>47</v>
      </c>
      <c r="BM12" s="2">
        <v>10</v>
      </c>
      <c r="BN12" s="2" t="str">
        <f>Logos[[#This Row],[Logos]]&amp;IF(Logos[[#This Row],[Use]]="Flat"," (+"&amp;TEXT(Logos[[#This Row],[Flat]],"$0.00")&amp;")"," (+"&amp;TEXT(Logos[[#This Row],[Pct]],"0%")&amp;" of base price)")</f>
        <v>Legends (+$5.00)</v>
      </c>
      <c r="BO12" s="2" t="s">
        <v>47</v>
      </c>
      <c r="BP12" s="14">
        <v>0.1</v>
      </c>
      <c r="BQ12" s="289">
        <v>5</v>
      </c>
      <c r="BR12" s="13" t="s">
        <v>348</v>
      </c>
      <c r="BT12" s="2" t="s">
        <v>131</v>
      </c>
      <c r="BU12" s="2">
        <v>10</v>
      </c>
      <c r="BV12" s="2" t="str">
        <f>Chest[[#This Row],[Logos]]&amp;IF(BZ12="","",IF(Chest[[#This Row],[Use]]="Flat"," (+"&amp;TEXT(Chest[[#This Row],[Flat]],"$0.00")&amp;")"," (+"&amp;TEXT(Chest[[#This Row],[Pct]],"0%")&amp;" of base price)"))</f>
        <v>VISE</v>
      </c>
      <c r="BW12" s="2" t="s">
        <v>131</v>
      </c>
      <c r="BX12" s="6"/>
      <c r="BY12" s="5"/>
      <c r="BZ12" s="2"/>
      <c r="CB12" s="2" t="s">
        <v>131</v>
      </c>
      <c r="CC12" s="2">
        <v>10</v>
      </c>
      <c r="CD12" s="2" t="str">
        <f>LeftSleeve[[#This Row],[Logos]]&amp;IF(LeftSleeve[[#This Row],[Use]]="","",IF(LeftSleeve[[#This Row],[Use]]="Flat"," (+"&amp;TEXT(LeftSleeve[[#This Row],[Flat]],"$0.00")&amp;")"," (+"&amp;TEXT(LeftSleeve[[#This Row],[Pct]],"0%")&amp;" of base price)"))</f>
        <v>VISE</v>
      </c>
      <c r="CE12" s="2" t="s">
        <v>131</v>
      </c>
      <c r="CF12" s="6"/>
      <c r="CG12" s="5"/>
      <c r="CH12" s="2"/>
      <c r="CI12" s="2"/>
      <c r="CQ12" s="2"/>
      <c r="EB12" s="237">
        <f t="shared" ca="1" si="0"/>
        <v>45819</v>
      </c>
      <c r="EC12" s="263">
        <f ca="1">(7-WEEKDAY(IHD_Calc[[#This Row],[Order Date]],15))</f>
        <v>1</v>
      </c>
      <c r="ED12" s="237">
        <f ca="1">IHD_Calc[[#This Row],[Order Date]]+(7-WEEKDAY(IHD_Calc[[#This Row],[Order Date]],15))+IF(IHD_Calc[[#This Row],[Days]]&lt;3,7,0)</f>
        <v>45827</v>
      </c>
      <c r="EE12" s="237">
        <f ca="1">IHD_Calc[[#This Row],[Approval Date]]-5</f>
        <v>45822</v>
      </c>
      <c r="EF12" s="238" t="s">
        <v>99</v>
      </c>
      <c r="EG12" s="237">
        <f ca="1">IFERROR(IHD_Calc[[#This Row],[Approval Date]]+VLOOKUP(IHD_Calc[[#This Row],[Production Priority]],PriorityProduction[],4),"")</f>
        <v>45843</v>
      </c>
      <c r="EH12" s="237">
        <f ca="1">IFERROR(IHD_Calc[[#This Row],[In Transit]]+3,"")</f>
        <v>45846</v>
      </c>
      <c r="EI12" s="239">
        <f ca="1">IFERROR(IHD_Calc[[#This Row],[Est Ship Date]]+_xlfn.XLOOKUP(IHD_Calc[[#This Row],[Shipping]],ShipDays[Shipping Service],ShipDays[Ship Days]),0)</f>
        <v>45849</v>
      </c>
      <c r="EJ12" s="236" t="s">
        <v>204</v>
      </c>
      <c r="EK12" s="236" t="s">
        <v>250</v>
      </c>
      <c r="EL12" s="241" t="str">
        <f>"It appears we can meet your in hand date with "&amp;IHD_Calc[[#This Row],[Production]]&amp;" production, but may be required UPS "&amp;UPPER(IHD_Calc[[#This Row],[Shipping]])&amp;" delivery service."</f>
        <v>It appears we can meet your in hand date with STANDARD production, but may be required UPS 3-DAY SELECT delivery service.</v>
      </c>
      <c r="EM12" s="235"/>
      <c r="EN12" s="2" t="s">
        <v>273</v>
      </c>
      <c r="EO12" s="12">
        <v>0.5</v>
      </c>
      <c r="EQ12" s="12" t="s">
        <v>95</v>
      </c>
      <c r="ER12" s="12" t="s">
        <v>95</v>
      </c>
      <c r="ES12" s="12" t="s">
        <v>95</v>
      </c>
      <c r="ET12" s="12" t="s">
        <v>95</v>
      </c>
      <c r="EU12" s="12" t="s">
        <v>93</v>
      </c>
      <c r="EV12" s="11"/>
      <c r="EW12" s="11">
        <v>250</v>
      </c>
      <c r="EX12" s="11">
        <v>49</v>
      </c>
      <c r="EZ12" s="235"/>
      <c r="FA12" s="235"/>
    </row>
    <row r="13" spans="1:157" x14ac:dyDescent="0.2">
      <c r="AF13" s="283" t="s">
        <v>124</v>
      </c>
      <c r="AG13" s="283"/>
      <c r="AH13" s="2" t="str">
        <f>Collar[[#This Row],[Collar]]&amp;IF(Collar[[#This Row],[Price]]="",""," (+"&amp;TEXT(Collar[[#This Row],[Price]],"$0.00"&amp;")"))</f>
        <v>1/4 Zip Sash (+$5.00)</v>
      </c>
      <c r="AI13" s="284" t="s">
        <v>296</v>
      </c>
      <c r="AJ13" s="281">
        <v>5</v>
      </c>
      <c r="AK13" s="280" t="s">
        <v>73</v>
      </c>
      <c r="AL13" s="285" t="s">
        <v>312</v>
      </c>
      <c r="AM13" s="280" t="str">
        <f>Collar[[#This Row],[Collection]]&amp;Collar[[#This Row],[Sleeve]]</f>
        <v>PerformanceLong</v>
      </c>
      <c r="AU13" s="3" t="s">
        <v>88</v>
      </c>
      <c r="AV13" s="20">
        <v>11</v>
      </c>
      <c r="AW13" s="20" t="str">
        <f>Size[[#This Row],[Size]]&amp;IF(Size[[#This Row],[Price]]="",""," (+"&amp;TEXT(Size[[#This Row],[Price]],"$0.00")&amp;")")</f>
        <v>7X-Large (+$12.00)</v>
      </c>
      <c r="AX13" s="10">
        <v>7</v>
      </c>
      <c r="AY13" s="6">
        <v>12</v>
      </c>
      <c r="AZ13" s="6" t="s">
        <v>19</v>
      </c>
      <c r="BB13" s="6" t="str">
        <v>7X-Large (+$12.00)</v>
      </c>
      <c r="BC13" s="6" t="str">
        <v>7X-Large (+$12.00)</v>
      </c>
      <c r="BL13" s="2" t="s">
        <v>48</v>
      </c>
      <c r="BM13" s="2">
        <v>11</v>
      </c>
      <c r="BN13" s="2" t="str">
        <f>Logos[[#This Row],[Logos]]&amp;IF(Logos[[#This Row],[Use]]="Flat"," (+"&amp;TEXT(Logos[[#This Row],[Flat]],"$0.00")&amp;")"," (+"&amp;TEXT(Logos[[#This Row],[Pct]],"0%")&amp;" of base price)")</f>
        <v>Lord Field (+$5.00)</v>
      </c>
      <c r="BO13" s="2" t="s">
        <v>57</v>
      </c>
      <c r="BP13" s="14">
        <v>0.1</v>
      </c>
      <c r="BQ13" s="289">
        <v>5</v>
      </c>
      <c r="BR13" s="13" t="s">
        <v>348</v>
      </c>
      <c r="CB13" s="2" t="s">
        <v>376</v>
      </c>
      <c r="CC13" s="2">
        <v>11</v>
      </c>
      <c r="CD13" s="20" t="str">
        <f>LeftSleeve[[#This Row],[Logos]]&amp;IF(LeftSleeve[[#This Row],[Use]]="","",IF(LeftSleeve[[#This Row],[Use]]="Flat"," (+"&amp;TEXT(LeftSleeve[[#This Row],[Flat]],"$0.00")&amp;")"," (+"&amp;TEXT(LeftSleeve[[#This Row],[Pct]],"0%")&amp;" of base price)"))</f>
        <v>US Flag (+$5.00)</v>
      </c>
      <c r="CE13" s="2" t="s">
        <v>379</v>
      </c>
      <c r="CF13" s="6"/>
      <c r="CG13" s="5">
        <v>5</v>
      </c>
      <c r="CH13" s="2" t="s">
        <v>348</v>
      </c>
      <c r="CI13" s="2"/>
      <c r="CQ13" s="2"/>
      <c r="EB13" s="237">
        <f t="shared" ca="1" si="0"/>
        <v>45819</v>
      </c>
      <c r="EC13" s="263">
        <f ca="1">(7-WEEKDAY(IHD_Calc[[#This Row],[Order Date]],15))</f>
        <v>1</v>
      </c>
      <c r="ED13" s="237">
        <f ca="1">IHD_Calc[[#This Row],[Order Date]]+(7-WEEKDAY(IHD_Calc[[#This Row],[Order Date]],15))+IF(IHD_Calc[[#This Row],[Days]]&lt;3,7,0)</f>
        <v>45827</v>
      </c>
      <c r="EE13" s="237">
        <f ca="1">IHD_Calc[[#This Row],[Approval Date]]-5</f>
        <v>45822</v>
      </c>
      <c r="EF13" s="238" t="s">
        <v>99</v>
      </c>
      <c r="EG13" s="237">
        <f ca="1">IFERROR(IHD_Calc[[#This Row],[Approval Date]]+VLOOKUP(IHD_Calc[[#This Row],[Production Priority]],PriorityProduction[],4),"")</f>
        <v>45843</v>
      </c>
      <c r="EH13" s="237">
        <f ca="1">IFERROR(IHD_Calc[[#This Row],[In Transit]]+3,"")</f>
        <v>45846</v>
      </c>
      <c r="EI13" s="239">
        <f ca="1">IFERROR(IHD_Calc[[#This Row],[Est Ship Date]]+_xlfn.XLOOKUP(IHD_Calc[[#This Row],[Shipping]],ShipDays[Shipping Service],ShipDays[Ship Days]),0)</f>
        <v>45856</v>
      </c>
      <c r="EJ13" s="236" t="s">
        <v>220</v>
      </c>
      <c r="EK13" s="236" t="s">
        <v>250</v>
      </c>
      <c r="EL13" s="241" t="str">
        <f>"It appears we can meet your in hand date with "&amp;IHD_Calc[[#This Row],[Production]]&amp;" production and UPS "&amp;UPPER(IHD_Calc[[#This Row],[Shipping]])&amp;" delivery service."</f>
        <v>It appears we can meet your in hand date with STANDARD production and UPS GROUND delivery service.</v>
      </c>
      <c r="EN13" s="2" t="s">
        <v>274</v>
      </c>
      <c r="EP13" s="12">
        <v>0.2</v>
      </c>
      <c r="EQ13" s="12" t="s">
        <v>95</v>
      </c>
      <c r="ER13" s="12" t="s">
        <v>95</v>
      </c>
      <c r="ES13" s="12" t="s">
        <v>95</v>
      </c>
      <c r="ET13" s="12" t="s">
        <v>95</v>
      </c>
      <c r="EU13" s="12" t="s">
        <v>95</v>
      </c>
      <c r="EV13" s="11"/>
      <c r="EW13" s="11"/>
      <c r="EX13" s="11">
        <v>49</v>
      </c>
    </row>
    <row r="14" spans="1:157" x14ac:dyDescent="0.2">
      <c r="AF14" s="278" t="s">
        <v>15</v>
      </c>
      <c r="AG14" s="278"/>
      <c r="AH14" s="2" t="str">
        <f>Collar[[#This Row],[Collar]]&amp;IF(Collar[[#This Row],[Price]]="",""," (+"&amp;TEXT(Collar[[#This Row],[Price]],"$0.00"&amp;")"))</f>
        <v>Polo (+$5.00)</v>
      </c>
      <c r="AI14" s="279" t="s">
        <v>297</v>
      </c>
      <c r="AJ14" s="282">
        <v>5</v>
      </c>
      <c r="AK14" s="277" t="s">
        <v>73</v>
      </c>
      <c r="AL14" s="285" t="s">
        <v>312</v>
      </c>
      <c r="AM14" s="277" t="str">
        <f>Collar[[#This Row],[Collection]]&amp;Collar[[#This Row],[Sleeve]]</f>
        <v>PerformanceLong</v>
      </c>
      <c r="AU14" s="3" t="s">
        <v>25</v>
      </c>
      <c r="AV14" s="20">
        <v>12</v>
      </c>
      <c r="AW14" s="20" t="str">
        <f>Size[[#This Row],[Size]]&amp;IF(Size[[#This Row],[Price]]="",""," (+"&amp;TEXT(Size[[#This Row],[Price]],"$0.00")&amp;")")</f>
        <v>X-Small</v>
      </c>
      <c r="AX14" s="9" t="s">
        <v>29</v>
      </c>
      <c r="AZ14" s="6" t="s">
        <v>20</v>
      </c>
      <c r="BL14" s="2" t="s">
        <v>49</v>
      </c>
      <c r="BM14" s="2">
        <v>12</v>
      </c>
      <c r="BN14" s="2" t="str">
        <f>Logos[[#This Row],[Logos]]&amp;IF(Logos[[#This Row],[Use]]="Flat"," (+"&amp;TEXT(Logos[[#This Row],[Flat]],"$0.00")&amp;")"," (+"&amp;TEXT(Logos[[#This Row],[Pct]],"0%")&amp;" of base price)")</f>
        <v>Master (+$5.00)</v>
      </c>
      <c r="BO14" s="2" t="s">
        <v>49</v>
      </c>
      <c r="BP14" s="14">
        <v>0.1</v>
      </c>
      <c r="BQ14" s="289">
        <v>5</v>
      </c>
      <c r="BR14" s="13" t="s">
        <v>348</v>
      </c>
      <c r="CB14" s="2" t="s">
        <v>377</v>
      </c>
      <c r="CC14" s="2">
        <v>12</v>
      </c>
      <c r="CD14" s="20" t="str">
        <f>LeftSleeve[[#This Row],[Logos]]&amp;IF(LeftSleeve[[#This Row],[Use]]="","",IF(LeftSleeve[[#This Row],[Use]]="Flat"," (+"&amp;TEXT(LeftSleeve[[#This Row],[Flat]],"$0.00")&amp;")"," (+"&amp;TEXT(LeftSleeve[[#This Row],[Pct]],"0%")&amp;" of base price)"))</f>
        <v>Canada Flag (+$5.00)</v>
      </c>
      <c r="CE14" s="2" t="s">
        <v>380</v>
      </c>
      <c r="CF14" s="6"/>
      <c r="CG14" s="5">
        <v>5</v>
      </c>
      <c r="CH14" s="2" t="s">
        <v>348</v>
      </c>
      <c r="CI14" s="2"/>
      <c r="CQ14" s="2"/>
      <c r="EB14" s="235"/>
      <c r="EC14" s="262"/>
      <c r="ED14" s="235"/>
      <c r="EE14" s="235"/>
      <c r="EF14" s="235"/>
      <c r="EG14" s="239"/>
      <c r="EH14" s="235"/>
      <c r="EI14" s="239"/>
      <c r="EJ14" s="235"/>
      <c r="EK14" s="235"/>
      <c r="EL14" s="241"/>
      <c r="EN14" s="2" t="s">
        <v>275</v>
      </c>
      <c r="EO14" s="12">
        <v>0.3</v>
      </c>
      <c r="EQ14" s="12" t="s">
        <v>93</v>
      </c>
      <c r="ER14" s="12" t="s">
        <v>95</v>
      </c>
      <c r="ES14" s="12" t="s">
        <v>95</v>
      </c>
      <c r="ET14" s="12" t="s">
        <v>95</v>
      </c>
      <c r="EU14" s="12" t="s">
        <v>95</v>
      </c>
      <c r="EV14" s="11"/>
      <c r="EW14" s="11"/>
      <c r="EX14" s="11">
        <v>49</v>
      </c>
    </row>
    <row r="15" spans="1:157" x14ac:dyDescent="0.2">
      <c r="AF15" s="283" t="s">
        <v>14</v>
      </c>
      <c r="AG15" s="283"/>
      <c r="AH15" s="2" t="str">
        <f>Collar[[#This Row],[Collar]]&amp;IF(Collar[[#This Row],[Price]]="",""," (+"&amp;TEXT(Collar[[#This Row],[Price]],"$0.00"&amp;")"))</f>
        <v>V-Neck</v>
      </c>
      <c r="AI15" s="284" t="s">
        <v>298</v>
      </c>
      <c r="AJ15" s="281"/>
      <c r="AK15" s="280" t="s">
        <v>73</v>
      </c>
      <c r="AL15" s="285" t="s">
        <v>312</v>
      </c>
      <c r="AM15" s="280" t="str">
        <f>Collar[[#This Row],[Collection]]&amp;Collar[[#This Row],[Sleeve]]</f>
        <v>PerformanceLong</v>
      </c>
      <c r="AU15" s="3" t="s">
        <v>10</v>
      </c>
      <c r="AV15" s="20">
        <v>13</v>
      </c>
      <c r="AW15" s="20" t="str">
        <f>Size[[#This Row],[Size]]&amp;IF(Size[[#This Row],[Price]]="",""," (+"&amp;TEXT(Size[[#This Row],[Price]],"$0.00")&amp;")")</f>
        <v>Small</v>
      </c>
      <c r="AX15" s="9" t="s">
        <v>26</v>
      </c>
      <c r="AZ15" s="6" t="s">
        <v>20</v>
      </c>
      <c r="BL15" s="2" t="s">
        <v>43</v>
      </c>
      <c r="BM15" s="2">
        <v>13</v>
      </c>
      <c r="BN15" s="2" t="str">
        <f>Logos[[#This Row],[Logos]]&amp;IF(Logos[[#This Row],[Use]]="Flat"," (+"&amp;TEXT(Logos[[#This Row],[Flat]],"$0.00")&amp;")"," (+"&amp;TEXT(Logos[[#This Row],[Pct]],"0%")&amp;" of base price)")</f>
        <v>Motiv (+$5.00)</v>
      </c>
      <c r="BO15" s="2" t="s">
        <v>43</v>
      </c>
      <c r="BP15" s="14">
        <v>0.1</v>
      </c>
      <c r="BQ15" s="289">
        <v>5</v>
      </c>
      <c r="BR15" s="13" t="s">
        <v>348</v>
      </c>
      <c r="CB15" s="2" t="s">
        <v>378</v>
      </c>
      <c r="CC15" s="2">
        <v>13</v>
      </c>
      <c r="CD15" s="20" t="str">
        <f>LeftSleeve[[#This Row],[Logos]]&amp;IF(LeftSleeve[[#This Row],[Use]]="","",IF(LeftSleeve[[#This Row],[Use]]="Flat"," (+"&amp;TEXT(LeftSleeve[[#This Row],[Flat]],"$0.00")&amp;")"," (+"&amp;TEXT(LeftSleeve[[#This Row],[Pct]],"0%")&amp;" of base price)"))</f>
        <v>Mexico Flag (+$5.00)</v>
      </c>
      <c r="CE15" s="2" t="s">
        <v>381</v>
      </c>
      <c r="CF15" s="6"/>
      <c r="CG15" s="5">
        <v>5</v>
      </c>
      <c r="CH15" s="2" t="s">
        <v>348</v>
      </c>
      <c r="CI15" s="2"/>
      <c r="CQ15" s="2"/>
      <c r="EL15" s="240"/>
      <c r="EN15" s="2" t="s">
        <v>276</v>
      </c>
      <c r="EO15" s="12">
        <v>0.3</v>
      </c>
      <c r="EQ15" s="12" t="s">
        <v>93</v>
      </c>
      <c r="ER15" s="12" t="s">
        <v>95</v>
      </c>
      <c r="ES15" s="12" t="s">
        <v>95</v>
      </c>
      <c r="ET15" s="12">
        <v>10</v>
      </c>
      <c r="EU15" s="12" t="s">
        <v>93</v>
      </c>
      <c r="EV15" s="11"/>
      <c r="EW15" s="11"/>
      <c r="EX15" s="11">
        <v>49</v>
      </c>
    </row>
    <row r="16" spans="1:157" x14ac:dyDescent="0.2">
      <c r="AF16" s="278" t="s">
        <v>13</v>
      </c>
      <c r="AG16" s="278"/>
      <c r="AH16" s="2" t="str">
        <f>Collar[[#This Row],[Collar]]&amp;IF(Collar[[#This Row],[Price]]="",""," (+"&amp;TEXT(Collar[[#This Row],[Price]],"$0.00"&amp;")"))</f>
        <v>Crew</v>
      </c>
      <c r="AI16" s="279" t="s">
        <v>299</v>
      </c>
      <c r="AJ16" s="282"/>
      <c r="AK16" s="277" t="s">
        <v>73</v>
      </c>
      <c r="AL16" s="285" t="s">
        <v>312</v>
      </c>
      <c r="AM16" s="277" t="str">
        <f>Collar[[#This Row],[Collection]]&amp;Collar[[#This Row],[Sleeve]]</f>
        <v>PerformanceLong</v>
      </c>
      <c r="AO16" s="2"/>
      <c r="AP16" s="2"/>
      <c r="AQ16" s="2"/>
      <c r="AR16" s="2"/>
      <c r="AS16" s="2"/>
      <c r="AU16" s="3" t="s">
        <v>9</v>
      </c>
      <c r="AV16" s="20">
        <v>14</v>
      </c>
      <c r="AW16" s="20" t="str">
        <f>Size[[#This Row],[Size]]&amp;IF(Size[[#This Row],[Price]]="",""," (+"&amp;TEXT(Size[[#This Row],[Price]],"$0.00")&amp;")")</f>
        <v>Medium</v>
      </c>
      <c r="AX16" s="9" t="s">
        <v>21</v>
      </c>
      <c r="AZ16" s="6" t="s">
        <v>20</v>
      </c>
      <c r="BL16" s="2" t="s">
        <v>53</v>
      </c>
      <c r="BM16" s="2">
        <v>14</v>
      </c>
      <c r="BN16" s="2" t="str">
        <f>Logos[[#This Row],[Logos]]&amp;IF(Logos[[#This Row],[Use]]="Flat"," (+"&amp;TEXT(Logos[[#This Row],[Flat]],"$0.00")&amp;")"," (+"&amp;TEXT(Logos[[#This Row],[Pct]],"0%")&amp;" of base price)")</f>
        <v>Powerhouse (+$5.00)</v>
      </c>
      <c r="BO16" s="2" t="s">
        <v>53</v>
      </c>
      <c r="BP16" s="14">
        <v>0.1</v>
      </c>
      <c r="BQ16" s="289">
        <v>5</v>
      </c>
      <c r="BR16" s="13" t="s">
        <v>348</v>
      </c>
      <c r="CI16" s="2"/>
      <c r="CQ16" s="2"/>
      <c r="EL16" s="242"/>
      <c r="EN16" s="2" t="s">
        <v>277</v>
      </c>
      <c r="EO16" s="12">
        <v>0.2</v>
      </c>
      <c r="EQ16" s="12" t="s">
        <v>95</v>
      </c>
      <c r="ER16" s="12" t="s">
        <v>95</v>
      </c>
      <c r="ES16" s="12" t="s">
        <v>95</v>
      </c>
      <c r="ET16" s="12" t="s">
        <v>95</v>
      </c>
      <c r="EU16" s="12" t="s">
        <v>95</v>
      </c>
      <c r="EV16" s="11"/>
      <c r="EW16" s="11"/>
      <c r="EX16" s="11">
        <v>49</v>
      </c>
    </row>
    <row r="17" spans="29:154" x14ac:dyDescent="0.2">
      <c r="AF17" s="283" t="s">
        <v>283</v>
      </c>
      <c r="AG17" s="283"/>
      <c r="AH17" s="2" t="str">
        <f>Collar[[#This Row],[Collar]]&amp;IF(Collar[[#This Row],[Price]]="",""," (+"&amp;TEXT(Collar[[#This Row],[Price]],"$0.00"&amp;")"))</f>
        <v>1/4 Zip Polo (+$5.00)</v>
      </c>
      <c r="AI17" s="284" t="s">
        <v>300</v>
      </c>
      <c r="AJ17" s="281">
        <v>5</v>
      </c>
      <c r="AK17" s="280" t="s">
        <v>73</v>
      </c>
      <c r="AL17" s="285" t="s">
        <v>312</v>
      </c>
      <c r="AM17" s="280" t="str">
        <f>Collar[[#This Row],[Collection]]&amp;Collar[[#This Row],[Sleeve]]</f>
        <v>PerformanceLong</v>
      </c>
      <c r="AO17" s="2"/>
      <c r="AP17" s="2"/>
      <c r="AQ17" s="2"/>
      <c r="AR17" s="2"/>
      <c r="AS17" s="2"/>
      <c r="AU17" s="3" t="s">
        <v>5</v>
      </c>
      <c r="AV17" s="20">
        <v>15</v>
      </c>
      <c r="AW17" s="20" t="str">
        <f>Size[[#This Row],[Size]]&amp;IF(Size[[#This Row],[Price]]="",""," (+"&amp;TEXT(Size[[#This Row],[Price]],"$0.00")&amp;")")</f>
        <v>Large</v>
      </c>
      <c r="AX17" s="9" t="s">
        <v>27</v>
      </c>
      <c r="AZ17" s="6" t="s">
        <v>20</v>
      </c>
      <c r="BL17" s="2" t="s">
        <v>50</v>
      </c>
      <c r="BM17" s="2">
        <v>15</v>
      </c>
      <c r="BN17" s="2" t="str">
        <f>Logos[[#This Row],[Logos]]&amp;IF(Logos[[#This Row],[Use]]="Flat"," (+"&amp;TEXT(Logos[[#This Row],[Flat]],"$0.00")&amp;")"," (+"&amp;TEXT(Logos[[#This Row],[Pct]],"0%")&amp;" of base price)")</f>
        <v>Radical (+$5.00)</v>
      </c>
      <c r="BO17" s="2" t="s">
        <v>50</v>
      </c>
      <c r="BP17" s="14">
        <v>0.1</v>
      </c>
      <c r="BQ17" s="289">
        <v>5</v>
      </c>
      <c r="BR17" s="13" t="s">
        <v>348</v>
      </c>
      <c r="CI17" s="2"/>
      <c r="CQ17" s="2"/>
      <c r="EL17" s="240"/>
      <c r="EN17" s="2" t="s">
        <v>278</v>
      </c>
      <c r="EO17" s="12">
        <v>0.3</v>
      </c>
      <c r="EQ17" s="12" t="s">
        <v>95</v>
      </c>
      <c r="ER17" s="12" t="s">
        <v>95</v>
      </c>
      <c r="ES17" s="12" t="s">
        <v>95</v>
      </c>
      <c r="ET17" s="12" t="s">
        <v>95</v>
      </c>
      <c r="EU17" s="12" t="s">
        <v>95</v>
      </c>
      <c r="EV17" s="11"/>
      <c r="EW17" s="11"/>
      <c r="EX17" s="11">
        <v>49</v>
      </c>
    </row>
    <row r="18" spans="29:154" x14ac:dyDescent="0.2">
      <c r="AC18" s="2"/>
      <c r="AF18" s="278" t="s">
        <v>308</v>
      </c>
      <c r="AG18" s="278"/>
      <c r="AH18" s="2" t="str">
        <f>Collar[[#This Row],[Collar]]&amp;IF(Collar[[#This Row],[Price]]="",""," (+"&amp;TEXT(Collar[[#This Row],[Price]],"$0.00"&amp;")"))</f>
        <v>1/4 Zip Pullover (+$5.00)</v>
      </c>
      <c r="AI18" s="279" t="s">
        <v>301</v>
      </c>
      <c r="AJ18" s="282">
        <v>5</v>
      </c>
      <c r="AK18" s="277" t="s">
        <v>73</v>
      </c>
      <c r="AL18" s="285" t="s">
        <v>312</v>
      </c>
      <c r="AM18" s="277" t="str">
        <f>Collar[[#This Row],[Collection]]&amp;Collar[[#This Row],[Sleeve]]</f>
        <v>PerformanceLong</v>
      </c>
      <c r="AN18" s="2"/>
      <c r="AP18" s="2"/>
      <c r="AQ18" s="2"/>
      <c r="AR18" s="2"/>
      <c r="AS18" s="2"/>
      <c r="AU18" s="3" t="s">
        <v>11</v>
      </c>
      <c r="AV18" s="20">
        <v>16</v>
      </c>
      <c r="AW18" s="20" t="str">
        <f>Size[[#This Row],[Size]]&amp;IF(Size[[#This Row],[Price]]="",""," (+"&amp;TEXT(Size[[#This Row],[Price]],"$0.00")&amp;")")</f>
        <v>X-Large</v>
      </c>
      <c r="AX18" s="9" t="s">
        <v>28</v>
      </c>
      <c r="AZ18" s="6" t="s">
        <v>20</v>
      </c>
      <c r="BL18" s="2" t="s">
        <v>51</v>
      </c>
      <c r="BM18" s="2">
        <v>16</v>
      </c>
      <c r="BN18" s="2" t="str">
        <f>Logos[[#This Row],[Logos]]&amp;IF(Logos[[#This Row],[Use]]="Flat"," (+"&amp;TEXT(Logos[[#This Row],[Flat]],"$0.00")&amp;")"," (+"&amp;TEXT(Logos[[#This Row],[Pct]],"0%")&amp;" of base price)")</f>
        <v>Robby's  (+$5.00)</v>
      </c>
      <c r="BO18" s="2" t="s">
        <v>58</v>
      </c>
      <c r="BP18" s="14">
        <v>0.1</v>
      </c>
      <c r="BQ18" s="289">
        <v>5</v>
      </c>
      <c r="BR18" s="13" t="s">
        <v>348</v>
      </c>
      <c r="CI18" s="2"/>
      <c r="CQ18" s="2"/>
      <c r="EL18" s="240"/>
      <c r="EN18" s="2" t="s">
        <v>279</v>
      </c>
      <c r="EO18" s="12">
        <v>0.4</v>
      </c>
      <c r="EQ18" s="12" t="s">
        <v>95</v>
      </c>
      <c r="ER18" s="12" t="s">
        <v>95</v>
      </c>
      <c r="ES18" s="12" t="s">
        <v>95</v>
      </c>
      <c r="ET18" s="12" t="s">
        <v>95</v>
      </c>
      <c r="EU18" s="12" t="s">
        <v>95</v>
      </c>
      <c r="EV18" s="11"/>
      <c r="EW18" s="11"/>
      <c r="EX18" s="11">
        <v>49</v>
      </c>
    </row>
    <row r="19" spans="29:154" x14ac:dyDescent="0.2">
      <c r="AF19" s="283" t="s">
        <v>327</v>
      </c>
      <c r="AG19" s="283"/>
      <c r="AH19" s="2" t="str">
        <f>Collar[[#This Row],[Collar]]&amp;IF(Collar[[#This Row],[Price]]="",""," (+"&amp;TEXT(Collar[[#This Row],[Price]],"$0.00"&amp;")"))</f>
        <v>Lightweight Hoodie (+$5.00)</v>
      </c>
      <c r="AI19" s="284" t="s">
        <v>302</v>
      </c>
      <c r="AJ19" s="281">
        <v>5</v>
      </c>
      <c r="AK19" s="280" t="s">
        <v>73</v>
      </c>
      <c r="AL19" s="285" t="s">
        <v>312</v>
      </c>
      <c r="AM19" s="280" t="str">
        <f>Collar[[#This Row],[Collection]]&amp;Collar[[#This Row],[Sleeve]]</f>
        <v>PerformanceLong</v>
      </c>
      <c r="AN19" s="2"/>
      <c r="AO19" s="2"/>
      <c r="AP19" s="2"/>
      <c r="AQ19" s="2"/>
      <c r="AR19" s="2"/>
      <c r="AS19" s="2"/>
      <c r="AU19" s="3" t="s">
        <v>24</v>
      </c>
      <c r="AV19" s="20">
        <v>17</v>
      </c>
      <c r="AW19" s="20" t="str">
        <f>Size[[#This Row],[Size]]&amp;IF(Size[[#This Row],[Price]]="",""," (+"&amp;TEXT(Size[[#This Row],[Price]],"$0.00")&amp;")")</f>
        <v>2X-Large (+$2.00)</v>
      </c>
      <c r="AX19" s="10">
        <v>2</v>
      </c>
      <c r="AY19" s="6">
        <v>2</v>
      </c>
      <c r="AZ19" s="6" t="s">
        <v>20</v>
      </c>
      <c r="BL19" s="2" t="s">
        <v>52</v>
      </c>
      <c r="BM19" s="2">
        <v>17</v>
      </c>
      <c r="BN19" s="2" t="str">
        <f>Logos[[#This Row],[Logos]]&amp;IF(Logos[[#This Row],[Use]]="Flat"," (+"&amp;TEXT(Logos[[#This Row],[Flat]],"$0.00")&amp;")"," (+"&amp;TEXT(Logos[[#This Row],[Pct]],"0%")&amp;" of base price)")</f>
        <v>Roto-Grip (+$5.00)</v>
      </c>
      <c r="BO19" s="2" t="s">
        <v>59</v>
      </c>
      <c r="BP19" s="14">
        <v>0.1</v>
      </c>
      <c r="BQ19" s="289">
        <v>5</v>
      </c>
      <c r="BR19" s="13" t="s">
        <v>348</v>
      </c>
      <c r="CI19" s="2"/>
      <c r="CQ19" s="2"/>
      <c r="EL19" s="242"/>
      <c r="EN19" s="2" t="s">
        <v>280</v>
      </c>
      <c r="EO19" s="12">
        <v>0.5</v>
      </c>
      <c r="EQ19" s="12" t="s">
        <v>95</v>
      </c>
      <c r="ER19" s="12" t="s">
        <v>95</v>
      </c>
      <c r="ES19" s="12" t="s">
        <v>95</v>
      </c>
      <c r="ET19" s="12" t="s">
        <v>95</v>
      </c>
      <c r="EU19" s="12" t="s">
        <v>95</v>
      </c>
      <c r="EV19" s="11"/>
      <c r="EW19" s="11"/>
      <c r="EX19" s="11">
        <v>49</v>
      </c>
    </row>
    <row r="20" spans="29:154" x14ac:dyDescent="0.2">
      <c r="AF20" s="278" t="s">
        <v>328</v>
      </c>
      <c r="AG20" s="278"/>
      <c r="AH20" s="2" t="str">
        <f>Collar[[#This Row],[Collar]]&amp;IF(Collar[[#This Row],[Price]]="",""," (+"&amp;TEXT(Collar[[#This Row],[Price]],"$0.00"&amp;")"))</f>
        <v>Lightweight 1/4 Zip Hoodie (+$10.00)</v>
      </c>
      <c r="AI20" s="279" t="s">
        <v>303</v>
      </c>
      <c r="AJ20" s="282">
        <v>10</v>
      </c>
      <c r="AK20" s="277" t="s">
        <v>73</v>
      </c>
      <c r="AL20" s="285" t="s">
        <v>312</v>
      </c>
      <c r="AM20" s="277" t="str">
        <f>Collar[[#This Row],[Collection]]&amp;Collar[[#This Row],[Sleeve]]</f>
        <v>PerformanceLong</v>
      </c>
      <c r="AN20" s="2"/>
      <c r="AO20" s="2"/>
      <c r="AP20" s="2"/>
      <c r="AQ20" s="2"/>
      <c r="AR20" s="2"/>
      <c r="AS20" s="2"/>
      <c r="AU20" s="3" t="s">
        <v>84</v>
      </c>
      <c r="AV20" s="20">
        <v>18</v>
      </c>
      <c r="AW20" s="20" t="str">
        <f>Size[[#This Row],[Size]]&amp;IF(Size[[#This Row],[Price]]="",""," (+"&amp;TEXT(Size[[#This Row],[Price]],"$0.00")&amp;")")</f>
        <v>3X-Large (+$4.00)</v>
      </c>
      <c r="AX20" s="10">
        <v>3</v>
      </c>
      <c r="AY20" s="6">
        <v>4</v>
      </c>
      <c r="AZ20" s="6" t="s">
        <v>20</v>
      </c>
      <c r="BL20" s="2" t="s">
        <v>37</v>
      </c>
      <c r="BM20" s="2">
        <v>18</v>
      </c>
      <c r="BN20" s="2" t="str">
        <f>Logos[[#This Row],[Logos]]&amp;IF(Logos[[#This Row],[Use]]="Flat"," (+"&amp;TEXT(Logos[[#This Row],[Flat]],"$0.00")&amp;")"," (+"&amp;TEXT(Logos[[#This Row],[Pct]],"0%")&amp;" of base price)")</f>
        <v>Storm (+$5.00)</v>
      </c>
      <c r="BO20" s="2" t="s">
        <v>37</v>
      </c>
      <c r="BP20" s="14">
        <v>0.1</v>
      </c>
      <c r="BQ20" s="289">
        <v>5</v>
      </c>
      <c r="BR20" s="13" t="s">
        <v>348</v>
      </c>
      <c r="CI20" s="2"/>
      <c r="CQ20" s="2"/>
      <c r="EL20" s="240"/>
      <c r="EN20" s="2" t="s">
        <v>224</v>
      </c>
      <c r="EQ20" s="12" t="s">
        <v>95</v>
      </c>
      <c r="ER20" s="12" t="s">
        <v>95</v>
      </c>
      <c r="ES20" s="12" t="s">
        <v>95</v>
      </c>
      <c r="ET20" s="12" t="s">
        <v>95</v>
      </c>
      <c r="EU20" s="12" t="s">
        <v>95</v>
      </c>
      <c r="EV20" s="11"/>
      <c r="EW20" s="11"/>
      <c r="EX20" s="11">
        <v>49</v>
      </c>
    </row>
    <row r="21" spans="29:154" x14ac:dyDescent="0.2">
      <c r="AF21" s="283" t="s">
        <v>124</v>
      </c>
      <c r="AG21" s="283"/>
      <c r="AH21" s="2" t="str">
        <f>Collar[[#This Row],[Collar]]&amp;IF(Collar[[#This Row],[Price]]="",""," (+"&amp;TEXT(Collar[[#This Row],[Price]],"$0.00"&amp;")"))</f>
        <v>1/4 Zip Sash (+$10.00)</v>
      </c>
      <c r="AI21" s="284" t="s">
        <v>304</v>
      </c>
      <c r="AJ21" s="281">
        <v>10</v>
      </c>
      <c r="AK21" s="280" t="s">
        <v>102</v>
      </c>
      <c r="AL21" s="285" t="s">
        <v>312</v>
      </c>
      <c r="AM21" s="280" t="str">
        <f>Collar[[#This Row],[Collection]]&amp;Collar[[#This Row],[Sleeve]]</f>
        <v>PerformanceSleeveless</v>
      </c>
      <c r="AN21" s="2"/>
      <c r="AO21" s="2"/>
      <c r="AP21" s="2"/>
      <c r="AQ21" s="2"/>
      <c r="AR21" s="2"/>
      <c r="AS21" s="2"/>
      <c r="AU21" s="3" t="s">
        <v>85</v>
      </c>
      <c r="AV21" s="20">
        <v>19</v>
      </c>
      <c r="AW21" s="20" t="str">
        <f>Size[[#This Row],[Size]]&amp;IF(Size[[#This Row],[Price]]="",""," (+"&amp;TEXT(Size[[#This Row],[Price]],"$0.00")&amp;")")</f>
        <v>4X-Large (+$6.00)</v>
      </c>
      <c r="AX21" s="10">
        <v>4</v>
      </c>
      <c r="AY21" s="6">
        <v>6</v>
      </c>
      <c r="AZ21" s="6" t="s">
        <v>20</v>
      </c>
      <c r="BL21" s="2" t="s">
        <v>46</v>
      </c>
      <c r="BM21" s="2">
        <v>19</v>
      </c>
      <c r="BN21" s="2" t="str">
        <f>Logos[[#This Row],[Logos]]&amp;IF(Logos[[#This Row],[Use]]="Flat"," (+"&amp;TEXT(Logos[[#This Row],[Flat]],"$0.00")&amp;")"," (+"&amp;TEXT(Logos[[#This Row],[Pct]],"0%")&amp;" of base price)")</f>
        <v>SWAG (+$5.00)</v>
      </c>
      <c r="BO21" s="2" t="s">
        <v>46</v>
      </c>
      <c r="BP21" s="14">
        <v>0.1</v>
      </c>
      <c r="BQ21" s="289">
        <v>5</v>
      </c>
      <c r="BR21" s="13" t="s">
        <v>348</v>
      </c>
      <c r="CI21" s="2"/>
      <c r="CQ21" s="2"/>
      <c r="EL21" s="240"/>
    </row>
    <row r="22" spans="29:154" x14ac:dyDescent="0.2">
      <c r="AF22" s="278" t="s">
        <v>15</v>
      </c>
      <c r="AG22" s="278"/>
      <c r="AH22" s="2" t="str">
        <f>Collar[[#This Row],[Collar]]&amp;IF(Collar[[#This Row],[Price]]="",""," (+"&amp;TEXT(Collar[[#This Row],[Price]],"$0.00"&amp;")"))</f>
        <v>Polo (+$10.00)</v>
      </c>
      <c r="AI22" s="279" t="s">
        <v>305</v>
      </c>
      <c r="AJ22" s="282">
        <v>10</v>
      </c>
      <c r="AK22" s="277" t="s">
        <v>102</v>
      </c>
      <c r="AL22" s="285" t="s">
        <v>312</v>
      </c>
      <c r="AM22" s="277" t="str">
        <f>Collar[[#This Row],[Collection]]&amp;Collar[[#This Row],[Sleeve]]</f>
        <v>PerformanceSleeveless</v>
      </c>
      <c r="AN22" s="2"/>
      <c r="AO22" s="2"/>
      <c r="AP22" s="2"/>
      <c r="AQ22" s="2"/>
      <c r="AR22" s="2"/>
      <c r="AS22" s="2"/>
      <c r="AU22" s="3" t="s">
        <v>86</v>
      </c>
      <c r="AV22" s="20">
        <v>20</v>
      </c>
      <c r="AW22" s="20" t="str">
        <f>Size[[#This Row],[Size]]&amp;IF(Size[[#This Row],[Price]]="",""," (+"&amp;TEXT(Size[[#This Row],[Price]],"$0.00")&amp;")")</f>
        <v>5X-Large (+$9.00)</v>
      </c>
      <c r="AX22" s="10">
        <v>5</v>
      </c>
      <c r="AY22" s="6">
        <v>9</v>
      </c>
      <c r="AZ22" s="6" t="s">
        <v>20</v>
      </c>
      <c r="BL22" s="2" t="s">
        <v>54</v>
      </c>
      <c r="BM22" s="2">
        <v>20</v>
      </c>
      <c r="BN22" s="2" t="str">
        <f>Logos[[#This Row],[Logos]]&amp;IF(Logos[[#This Row],[Use]]="Flat"," (+"&amp;TEXT(Logos[[#This Row],[Flat]],"$0.00")&amp;")"," (+"&amp;TEXT(Logos[[#This Row],[Pct]],"0%")&amp;" of base price)")</f>
        <v>Track (+$5.00)</v>
      </c>
      <c r="BO22" s="2" t="s">
        <v>54</v>
      </c>
      <c r="BP22" s="14">
        <v>0.1</v>
      </c>
      <c r="BQ22" s="289">
        <v>5</v>
      </c>
      <c r="BR22" s="13" t="s">
        <v>348</v>
      </c>
      <c r="CI22" s="2"/>
      <c r="CQ22" s="2"/>
      <c r="EL22" s="242"/>
    </row>
    <row r="23" spans="29:154" x14ac:dyDescent="0.2">
      <c r="AF23" s="283" t="s">
        <v>14</v>
      </c>
      <c r="AG23" s="283"/>
      <c r="AH23" s="2" t="str">
        <f>Collar[[#This Row],[Collar]]&amp;IF(Collar[[#This Row],[Price]]="",""," (+"&amp;TEXT(Collar[[#This Row],[Price]],"$0.00"&amp;")"))</f>
        <v>V-Neck</v>
      </c>
      <c r="AI23" s="284" t="s">
        <v>309</v>
      </c>
      <c r="AJ23" s="281"/>
      <c r="AK23" s="280" t="s">
        <v>102</v>
      </c>
      <c r="AL23" s="285" t="s">
        <v>312</v>
      </c>
      <c r="AM23" s="280" t="str">
        <f>Collar[[#This Row],[Collection]]&amp;Collar[[#This Row],[Sleeve]]</f>
        <v>PerformanceSleeveless</v>
      </c>
      <c r="AN23" s="2"/>
      <c r="AO23" s="2"/>
      <c r="AP23" s="2"/>
      <c r="AQ23" s="2"/>
      <c r="AR23" s="2"/>
      <c r="AS23" s="2"/>
      <c r="AU23" s="3" t="s">
        <v>87</v>
      </c>
      <c r="AV23" s="20">
        <v>21</v>
      </c>
      <c r="AW23" s="20" t="str">
        <f>Size[[#This Row],[Size]]&amp;IF(Size[[#This Row],[Price]]="",""," (+"&amp;TEXT(Size[[#This Row],[Price]],"$0.00")&amp;")")</f>
        <v>6X-Large (+$12.00)</v>
      </c>
      <c r="AX23" s="10">
        <v>6</v>
      </c>
      <c r="AY23" s="6">
        <v>12</v>
      </c>
      <c r="AZ23" s="6" t="s">
        <v>20</v>
      </c>
      <c r="BL23" s="2" t="s">
        <v>352</v>
      </c>
      <c r="BM23" s="2">
        <v>21</v>
      </c>
      <c r="BN23" s="20" t="e">
        <f>RightSleeve[[#This Row],[Logos]]</f>
        <v>#VALUE!</v>
      </c>
      <c r="BO23" s="2" t="s">
        <v>129</v>
      </c>
      <c r="BP23" s="6"/>
      <c r="BQ23" s="5"/>
      <c r="BR23" s="2"/>
      <c r="CI23" s="2"/>
      <c r="CQ23" s="2"/>
      <c r="EL23" s="240"/>
    </row>
    <row r="24" spans="29:154" x14ac:dyDescent="0.2">
      <c r="AF24" s="278" t="s">
        <v>13</v>
      </c>
      <c r="AG24" s="278"/>
      <c r="AH24" s="2" t="str">
        <f>Collar[[#This Row],[Collar]]&amp;IF(Collar[[#This Row],[Price]]="",""," (+"&amp;TEXT(Collar[[#This Row],[Price]],"$0.00"&amp;")"))</f>
        <v>Crew</v>
      </c>
      <c r="AI24" s="279" t="s">
        <v>306</v>
      </c>
      <c r="AJ24" s="282"/>
      <c r="AK24" s="277" t="s">
        <v>102</v>
      </c>
      <c r="AL24" s="285" t="s">
        <v>312</v>
      </c>
      <c r="AM24" s="277" t="str">
        <f>Collar[[#This Row],[Collection]]&amp;Collar[[#This Row],[Sleeve]]</f>
        <v>PerformanceSleeveless</v>
      </c>
      <c r="AN24" s="2"/>
      <c r="AO24" s="2"/>
      <c r="AP24" s="2"/>
      <c r="AQ24" s="2"/>
      <c r="AR24" s="2"/>
      <c r="AS24" s="2"/>
      <c r="AU24" s="3" t="s">
        <v>88</v>
      </c>
      <c r="AV24" s="20">
        <v>22</v>
      </c>
      <c r="AW24" s="20" t="str">
        <f>Size[[#This Row],[Size]]&amp;IF(Size[[#This Row],[Price]]="",""," (+"&amp;TEXT(Size[[#This Row],[Price]],"$0.00")&amp;")")</f>
        <v>7X-Large (+$12.00)</v>
      </c>
      <c r="AX24" s="10">
        <v>7</v>
      </c>
      <c r="AY24" s="6">
        <v>12</v>
      </c>
      <c r="AZ24" s="6" t="s">
        <v>20</v>
      </c>
      <c r="CQ24" s="2"/>
      <c r="EL24" s="240"/>
    </row>
    <row r="25" spans="29:154" x14ac:dyDescent="0.2">
      <c r="AF25" s="283" t="s">
        <v>327</v>
      </c>
      <c r="AG25" s="283"/>
      <c r="AH25" s="2" t="str">
        <f>Collar[[#This Row],[Collar]]&amp;IF(Collar[[#This Row],[Price]]="",""," (+"&amp;TEXT(Collar[[#This Row],[Price]],"$0.00"&amp;")"))</f>
        <v>Lightweight Hoodie (+$15.00)</v>
      </c>
      <c r="AI25" s="284" t="s">
        <v>307</v>
      </c>
      <c r="AJ25" s="281">
        <v>15</v>
      </c>
      <c r="AK25" s="280" t="s">
        <v>102</v>
      </c>
      <c r="AL25" s="285" t="s">
        <v>312</v>
      </c>
      <c r="AM25" s="280" t="str">
        <f>Collar[[#This Row],[Collection]]&amp;Collar[[#This Row],[Sleeve]]</f>
        <v>PerformanceSleeveless</v>
      </c>
      <c r="AN25" s="2"/>
      <c r="AO25" s="2"/>
      <c r="AP25" s="2"/>
      <c r="AQ25" s="2"/>
      <c r="AR25" s="2"/>
      <c r="AS25" s="2"/>
      <c r="AU25" s="3" t="s">
        <v>25</v>
      </c>
      <c r="AV25" s="20">
        <v>23</v>
      </c>
      <c r="AW25" s="20" t="str">
        <f>Size[[#This Row],[Size]]&amp;IF(Size[[#This Row],[Price]]="",""," (+"&amp;TEXT(Size[[#This Row],[Price]],"$0.00")&amp;")")</f>
        <v>X-Small</v>
      </c>
      <c r="AX25" s="9" t="s">
        <v>29</v>
      </c>
      <c r="AZ25" s="6" t="s">
        <v>8</v>
      </c>
      <c r="CQ25" s="2"/>
    </row>
    <row r="26" spans="29:154" x14ac:dyDescent="0.2">
      <c r="AF26" s="278" t="s">
        <v>124</v>
      </c>
      <c r="AG26" s="278"/>
      <c r="AH26" s="2" t="str">
        <f>Collar[[#This Row],[Collar]]&amp;IF(Collar[[#This Row],[Price]]="",""," (+"&amp;TEXT(Collar[[#This Row],[Price]],"$0.00"&amp;")"))</f>
        <v>1/4 Zip Sash (+$10.00)</v>
      </c>
      <c r="AI26" s="279" t="s">
        <v>329</v>
      </c>
      <c r="AJ26" s="282">
        <v>10</v>
      </c>
      <c r="AK26" s="277" t="s">
        <v>6</v>
      </c>
      <c r="AL26" s="277" t="s">
        <v>313</v>
      </c>
      <c r="AM26" s="277" t="str">
        <f>Collar[[#This Row],[Collection]]&amp;Collar[[#This Row],[Sleeve]]</f>
        <v>TourShort</v>
      </c>
      <c r="AN26" s="2"/>
      <c r="AO26" s="2"/>
      <c r="AP26" s="2"/>
      <c r="AQ26" s="2"/>
      <c r="AR26" s="2"/>
      <c r="AS26" s="2"/>
      <c r="AU26" s="3" t="s">
        <v>10</v>
      </c>
      <c r="AV26" s="20">
        <v>24</v>
      </c>
      <c r="AW26" s="20" t="str">
        <f>Size[[#This Row],[Size]]&amp;IF(Size[[#This Row],[Price]]="",""," (+"&amp;TEXT(Size[[#This Row],[Price]],"$0.00")&amp;")")</f>
        <v>Small</v>
      </c>
      <c r="AX26" s="9" t="s">
        <v>26</v>
      </c>
      <c r="AZ26" s="6" t="s">
        <v>8</v>
      </c>
      <c r="CQ26" s="2"/>
    </row>
    <row r="27" spans="29:154" x14ac:dyDescent="0.2">
      <c r="AF27" s="283" t="s">
        <v>15</v>
      </c>
      <c r="AG27" s="283"/>
      <c r="AH27" s="2" t="str">
        <f>Collar[[#This Row],[Collar]]&amp;IF(Collar[[#This Row],[Price]]="",""," (+"&amp;TEXT(Collar[[#This Row],[Price]],"$0.00"&amp;")"))</f>
        <v>Polo (+$10.00)</v>
      </c>
      <c r="AI27" s="284" t="s">
        <v>330</v>
      </c>
      <c r="AJ27" s="281">
        <v>10</v>
      </c>
      <c r="AK27" s="280" t="s">
        <v>6</v>
      </c>
      <c r="AL27" s="277" t="s">
        <v>313</v>
      </c>
      <c r="AM27" s="280" t="str">
        <f>Collar[[#This Row],[Collection]]&amp;Collar[[#This Row],[Sleeve]]</f>
        <v>TourShort</v>
      </c>
      <c r="AN27" s="2"/>
      <c r="AO27" s="2"/>
      <c r="AP27" s="2"/>
      <c r="AQ27" s="2"/>
      <c r="AR27" s="2"/>
      <c r="AS27" s="2"/>
      <c r="AU27" s="3" t="s">
        <v>9</v>
      </c>
      <c r="AV27" s="20">
        <v>25</v>
      </c>
      <c r="AW27" s="20" t="str">
        <f>Size[[#This Row],[Size]]&amp;IF(Size[[#This Row],[Price]]="",""," (+"&amp;TEXT(Size[[#This Row],[Price]],"$0.00")&amp;")")</f>
        <v>Medium</v>
      </c>
      <c r="AX27" s="9" t="s">
        <v>21</v>
      </c>
      <c r="AZ27" s="6" t="s">
        <v>8</v>
      </c>
      <c r="CQ27" s="2"/>
    </row>
    <row r="28" spans="29:154" x14ac:dyDescent="0.2">
      <c r="AF28" s="278" t="s">
        <v>14</v>
      </c>
      <c r="AG28" s="278"/>
      <c r="AH28" s="2" t="str">
        <f>Collar[[#This Row],[Collar]]&amp;IF(Collar[[#This Row],[Price]]="",""," (+"&amp;TEXT(Collar[[#This Row],[Price]],"$0.00"&amp;")"))</f>
        <v>V-Neck</v>
      </c>
      <c r="AI28" s="279" t="s">
        <v>331</v>
      </c>
      <c r="AJ28" s="282"/>
      <c r="AK28" s="277" t="s">
        <v>6</v>
      </c>
      <c r="AL28" s="277" t="s">
        <v>313</v>
      </c>
      <c r="AM28" s="277" t="str">
        <f>Collar[[#This Row],[Collection]]&amp;Collar[[#This Row],[Sleeve]]</f>
        <v>TourShort</v>
      </c>
      <c r="AN28" s="2"/>
      <c r="AO28" s="2"/>
      <c r="AP28" s="2"/>
      <c r="AQ28" s="2"/>
      <c r="AR28" s="2"/>
      <c r="AS28" s="2"/>
      <c r="AU28" s="3" t="s">
        <v>5</v>
      </c>
      <c r="AV28" s="20">
        <v>26</v>
      </c>
      <c r="AW28" s="20" t="str">
        <f>Size[[#This Row],[Size]]&amp;IF(Size[[#This Row],[Price]]="",""," (+"&amp;TEXT(Size[[#This Row],[Price]],"$0.00")&amp;")")</f>
        <v>Large</v>
      </c>
      <c r="AX28" s="9" t="s">
        <v>27</v>
      </c>
      <c r="AZ28" s="6" t="s">
        <v>8</v>
      </c>
      <c r="CQ28" s="2"/>
    </row>
    <row r="29" spans="29:154" x14ac:dyDescent="0.2">
      <c r="AF29" s="283" t="s">
        <v>13</v>
      </c>
      <c r="AG29" s="283"/>
      <c r="AH29" s="2" t="str">
        <f>Collar[[#This Row],[Collar]]&amp;IF(Collar[[#This Row],[Price]]="",""," (+"&amp;TEXT(Collar[[#This Row],[Price]],"$0.00"&amp;")"))</f>
        <v>Crew</v>
      </c>
      <c r="AI29" s="284" t="s">
        <v>332</v>
      </c>
      <c r="AJ29" s="281"/>
      <c r="AK29" s="280" t="s">
        <v>6</v>
      </c>
      <c r="AL29" s="277" t="s">
        <v>313</v>
      </c>
      <c r="AM29" s="280" t="str">
        <f>Collar[[#This Row],[Collection]]&amp;Collar[[#This Row],[Sleeve]]</f>
        <v>TourShort</v>
      </c>
      <c r="AN29" s="2"/>
      <c r="AO29" s="2"/>
      <c r="AP29" s="2"/>
      <c r="AQ29" s="2"/>
      <c r="AR29" s="2"/>
      <c r="AS29" s="2"/>
      <c r="AU29" s="3" t="s">
        <v>11</v>
      </c>
      <c r="AV29" s="20">
        <v>27</v>
      </c>
      <c r="AW29" s="20" t="str">
        <f>Size[[#This Row],[Size]]&amp;IF(Size[[#This Row],[Price]]="",""," (+"&amp;TEXT(Size[[#This Row],[Price]],"$0.00")&amp;")")</f>
        <v>X-Large</v>
      </c>
      <c r="AX29" s="9" t="s">
        <v>28</v>
      </c>
      <c r="AZ29" s="5" t="s">
        <v>8</v>
      </c>
    </row>
    <row r="30" spans="29:154" x14ac:dyDescent="0.2">
      <c r="AF30" s="278" t="s">
        <v>281</v>
      </c>
      <c r="AG30" s="278"/>
      <c r="AH30" s="2" t="str">
        <f>Collar[[#This Row],[Collar]]&amp;IF(Collar[[#This Row],[Price]]="",""," (+"&amp;TEXT(Collar[[#This Row],[Price]],"$0.00"&amp;")"))</f>
        <v>1/4 Zip Blade (+$10.00)</v>
      </c>
      <c r="AI30" s="279" t="s">
        <v>333</v>
      </c>
      <c r="AJ30" s="282">
        <v>10</v>
      </c>
      <c r="AK30" s="277" t="s">
        <v>6</v>
      </c>
      <c r="AL30" s="277" t="s">
        <v>313</v>
      </c>
      <c r="AM30" s="277" t="str">
        <f>Collar[[#This Row],[Collection]]&amp;Collar[[#This Row],[Sleeve]]</f>
        <v>TourShort</v>
      </c>
      <c r="AN30" s="2"/>
      <c r="AO30" s="2"/>
      <c r="AP30" s="2"/>
      <c r="AQ30" s="2"/>
      <c r="AR30" s="2"/>
      <c r="AS30" s="2"/>
      <c r="AU30" s="3" t="s">
        <v>321</v>
      </c>
      <c r="AV30" s="20">
        <v>28</v>
      </c>
      <c r="AW30" s="20" t="str">
        <f>Size[[#This Row],[Size]]&amp;IF(Size[[#This Row],[Price]]="",""," (+"&amp;TEXT(Size[[#This Row],[Price]],"$0.00")&amp;")")</f>
        <v>2T</v>
      </c>
      <c r="AX30" s="286" t="str">
        <f>Size[[#This Row],[Size]]&amp;IF(Size[[#This Row],[Price]]="",""," (+"&amp;TEXT(Size[[#This Row],[Price]],"$0.00")&amp;")")</f>
        <v>2T</v>
      </c>
      <c r="AZ30" s="6" t="s">
        <v>319</v>
      </c>
    </row>
    <row r="31" spans="29:154" x14ac:dyDescent="0.2">
      <c r="AF31" s="283" t="s">
        <v>282</v>
      </c>
      <c r="AG31" s="283"/>
      <c r="AH31" s="2" t="str">
        <f>Collar[[#This Row],[Collar]]&amp;IF(Collar[[#This Row],[Price]]="",""," (+"&amp;TEXT(Collar[[#This Row],[Price]],"$0.00"&amp;")"))</f>
        <v>3 Button Blade (+$10.00)</v>
      </c>
      <c r="AI31" s="284" t="s">
        <v>334</v>
      </c>
      <c r="AJ31" s="281">
        <v>10</v>
      </c>
      <c r="AK31" s="280" t="s">
        <v>6</v>
      </c>
      <c r="AL31" s="277" t="s">
        <v>313</v>
      </c>
      <c r="AM31" s="280" t="str">
        <f>Collar[[#This Row],[Collection]]&amp;Collar[[#This Row],[Sleeve]]</f>
        <v>TourShort</v>
      </c>
      <c r="AN31" s="2"/>
      <c r="AO31" s="2"/>
      <c r="AP31" s="2"/>
      <c r="AQ31" s="2"/>
      <c r="AR31" s="2"/>
      <c r="AS31" s="2"/>
      <c r="AU31" s="3" t="s">
        <v>322</v>
      </c>
      <c r="AV31" s="20">
        <v>29</v>
      </c>
      <c r="AW31" s="20" t="str">
        <f>Size[[#This Row],[Size]]&amp;IF(Size[[#This Row],[Price]]="",""," (+"&amp;TEXT(Size[[#This Row],[Price]],"$0.00")&amp;")")</f>
        <v>3T</v>
      </c>
      <c r="AX31" s="286" t="str">
        <f>Size[[#This Row],[Size]]&amp;IF(Size[[#This Row],[Price]]="",""," (+"&amp;TEXT(Size[[#This Row],[Price]],"$0.00")&amp;")")</f>
        <v>3T</v>
      </c>
      <c r="AZ31" s="6" t="s">
        <v>319</v>
      </c>
    </row>
    <row r="32" spans="29:154" x14ac:dyDescent="0.2">
      <c r="AF32" s="278" t="s">
        <v>283</v>
      </c>
      <c r="AG32" s="278"/>
      <c r="AH32" s="2" t="str">
        <f>Collar[[#This Row],[Collar]]&amp;IF(Collar[[#This Row],[Price]]="",""," (+"&amp;TEXT(Collar[[#This Row],[Price]],"$0.00"&amp;")"))</f>
        <v>1/4 Zip Polo (+$10.00)</v>
      </c>
      <c r="AI32" s="279" t="s">
        <v>335</v>
      </c>
      <c r="AJ32" s="282">
        <v>10</v>
      </c>
      <c r="AK32" s="277" t="s">
        <v>6</v>
      </c>
      <c r="AL32" s="277" t="s">
        <v>313</v>
      </c>
      <c r="AM32" s="277" t="str">
        <f>Collar[[#This Row],[Collection]]&amp;Collar[[#This Row],[Sleeve]]</f>
        <v>TourShort</v>
      </c>
      <c r="AN32" s="2"/>
      <c r="AO32" s="2"/>
      <c r="AP32" s="2"/>
      <c r="AQ32" s="2"/>
      <c r="AR32" s="2"/>
      <c r="AS32" s="2"/>
      <c r="AU32" s="3" t="s">
        <v>323</v>
      </c>
      <c r="AV32" s="20">
        <v>30</v>
      </c>
      <c r="AW32" s="20" t="str">
        <f>Size[[#This Row],[Size]]&amp;IF(Size[[#This Row],[Price]]="",""," (+"&amp;TEXT(Size[[#This Row],[Price]],"$0.00")&amp;")")</f>
        <v>4T</v>
      </c>
      <c r="AX32" s="286" t="str">
        <f>Size[[#This Row],[Size]]&amp;IF(Size[[#This Row],[Price]]="",""," (+"&amp;TEXT(Size[[#This Row],[Price]],"$0.00")&amp;")")</f>
        <v>4T</v>
      </c>
      <c r="AZ32" s="6" t="s">
        <v>319</v>
      </c>
    </row>
    <row r="33" spans="32:52" x14ac:dyDescent="0.2">
      <c r="AF33" s="283" t="s">
        <v>284</v>
      </c>
      <c r="AG33" s="283"/>
      <c r="AH33" s="2" t="str">
        <f>Collar[[#This Row],[Collar]]&amp;IF(Collar[[#This Row],[Price]]="",""," (+"&amp;TEXT(Collar[[#This Row],[Price]],"$0.00"&amp;")"))</f>
        <v>Mock Turtleneck (+$5.00)</v>
      </c>
      <c r="AI33" s="284" t="s">
        <v>336</v>
      </c>
      <c r="AJ33" s="281">
        <v>5</v>
      </c>
      <c r="AK33" s="280" t="s">
        <v>6</v>
      </c>
      <c r="AL33" s="277" t="s">
        <v>313</v>
      </c>
      <c r="AM33" s="280" t="str">
        <f>Collar[[#This Row],[Collection]]&amp;Collar[[#This Row],[Sleeve]]</f>
        <v>TourShort</v>
      </c>
      <c r="AN33" s="2"/>
      <c r="AO33" s="2"/>
      <c r="AP33" s="2"/>
      <c r="AQ33" s="2"/>
      <c r="AR33" s="2"/>
      <c r="AS33" s="2"/>
      <c r="AU33" s="3" t="s">
        <v>324</v>
      </c>
      <c r="AV33" s="20">
        <v>31</v>
      </c>
      <c r="AW33" s="20" t="str">
        <f>Size[[#This Row],[Size]]&amp;IF(Size[[#This Row],[Price]]="",""," (+"&amp;TEXT(Size[[#This Row],[Price]],"$0.00")&amp;")")</f>
        <v>5T</v>
      </c>
      <c r="AX33" s="286" t="str">
        <f>Size[[#This Row],[Size]]&amp;IF(Size[[#This Row],[Price]]="",""," (+"&amp;TEXT(Size[[#This Row],[Price]],"$0.00")&amp;")")</f>
        <v>5T</v>
      </c>
      <c r="AZ33" s="6" t="s">
        <v>319</v>
      </c>
    </row>
    <row r="34" spans="32:52" x14ac:dyDescent="0.2">
      <c r="AF34" s="278" t="s">
        <v>124</v>
      </c>
      <c r="AG34" s="278"/>
      <c r="AH34" s="2" t="str">
        <f>Collar[[#This Row],[Collar]]&amp;IF(Collar[[#This Row],[Price]]="",""," (+"&amp;TEXT(Collar[[#This Row],[Price]],"$0.00"&amp;")"))</f>
        <v>1/4 Zip Sash (+$10.00)</v>
      </c>
      <c r="AI34" s="279" t="s">
        <v>337</v>
      </c>
      <c r="AJ34" s="282">
        <v>10</v>
      </c>
      <c r="AK34" s="277" t="s">
        <v>73</v>
      </c>
      <c r="AL34" s="277" t="s">
        <v>313</v>
      </c>
      <c r="AM34" s="277" t="str">
        <f>Collar[[#This Row],[Collection]]&amp;Collar[[#This Row],[Sleeve]]</f>
        <v>TourLong</v>
      </c>
      <c r="AN34" s="2"/>
      <c r="AO34" s="2"/>
      <c r="AP34" s="2"/>
      <c r="AQ34" s="2"/>
      <c r="AR34" s="2"/>
      <c r="AS34" s="2"/>
    </row>
    <row r="35" spans="32:52" x14ac:dyDescent="0.2">
      <c r="AF35" s="283" t="s">
        <v>15</v>
      </c>
      <c r="AG35" s="283"/>
      <c r="AH35" s="2" t="str">
        <f>Collar[[#This Row],[Collar]]&amp;IF(Collar[[#This Row],[Price]]="",""," (+"&amp;TEXT(Collar[[#This Row],[Price]],"$0.00"&amp;")"))</f>
        <v>Polo (+$10.00)</v>
      </c>
      <c r="AI35" s="284" t="s">
        <v>338</v>
      </c>
      <c r="AJ35" s="281">
        <v>10</v>
      </c>
      <c r="AK35" s="280" t="s">
        <v>73</v>
      </c>
      <c r="AL35" s="277" t="s">
        <v>313</v>
      </c>
      <c r="AM35" s="280" t="str">
        <f>Collar[[#This Row],[Collection]]&amp;Collar[[#This Row],[Sleeve]]</f>
        <v>TourLong</v>
      </c>
      <c r="AN35" s="2"/>
      <c r="AO35" s="2"/>
      <c r="AP35" s="2"/>
      <c r="AQ35" s="2"/>
      <c r="AR35" s="2"/>
      <c r="AS35" s="2"/>
    </row>
    <row r="36" spans="32:52" x14ac:dyDescent="0.2">
      <c r="AF36" s="278" t="s">
        <v>14</v>
      </c>
      <c r="AG36" s="278"/>
      <c r="AH36" s="2" t="str">
        <f>Collar[[#This Row],[Collar]]&amp;IF(Collar[[#This Row],[Price]]="",""," (+"&amp;TEXT(Collar[[#This Row],[Price]],"$0.00"&amp;")"))</f>
        <v>V-Neck</v>
      </c>
      <c r="AI36" s="279" t="s">
        <v>339</v>
      </c>
      <c r="AJ36" s="282"/>
      <c r="AK36" s="277" t="s">
        <v>73</v>
      </c>
      <c r="AL36" s="277" t="s">
        <v>313</v>
      </c>
      <c r="AM36" s="277" t="str">
        <f>Collar[[#This Row],[Collection]]&amp;Collar[[#This Row],[Sleeve]]</f>
        <v>TourLong</v>
      </c>
      <c r="AN36" s="2"/>
      <c r="AO36" s="2"/>
      <c r="AP36" s="2"/>
      <c r="AQ36" s="2"/>
      <c r="AR36" s="2"/>
      <c r="AS36" s="2"/>
    </row>
    <row r="37" spans="32:52" x14ac:dyDescent="0.2">
      <c r="AF37" s="283" t="s">
        <v>13</v>
      </c>
      <c r="AG37" s="283"/>
      <c r="AH37" s="2" t="str">
        <f>Collar[[#This Row],[Collar]]&amp;IF(Collar[[#This Row],[Price]]="",""," (+"&amp;TEXT(Collar[[#This Row],[Price]],"$0.00"&amp;")"))</f>
        <v>Crew</v>
      </c>
      <c r="AI37" s="284" t="s">
        <v>340</v>
      </c>
      <c r="AJ37" s="281"/>
      <c r="AK37" s="280" t="s">
        <v>73</v>
      </c>
      <c r="AL37" s="277" t="s">
        <v>313</v>
      </c>
      <c r="AM37" s="280" t="str">
        <f>Collar[[#This Row],[Collection]]&amp;Collar[[#This Row],[Sleeve]]</f>
        <v>TourLong</v>
      </c>
      <c r="AN37" s="2"/>
      <c r="AO37" s="2"/>
      <c r="AP37" s="2"/>
      <c r="AQ37" s="2"/>
      <c r="AR37" s="2"/>
      <c r="AS37" s="2"/>
    </row>
    <row r="38" spans="32:52" x14ac:dyDescent="0.2">
      <c r="AF38" s="278" t="s">
        <v>283</v>
      </c>
      <c r="AG38" s="278"/>
      <c r="AH38" s="2" t="str">
        <f>Collar[[#This Row],[Collar]]&amp;IF(Collar[[#This Row],[Price]]="",""," (+"&amp;TEXT(Collar[[#This Row],[Price]],"$0.00"&amp;")"))</f>
        <v>1/4 Zip Polo (+$10.00)</v>
      </c>
      <c r="AI38" s="279" t="s">
        <v>341</v>
      </c>
      <c r="AJ38" s="282">
        <v>10</v>
      </c>
      <c r="AK38" s="277" t="s">
        <v>73</v>
      </c>
      <c r="AL38" s="277" t="s">
        <v>313</v>
      </c>
      <c r="AM38" s="277" t="str">
        <f>Collar[[#This Row],[Collection]]&amp;Collar[[#This Row],[Sleeve]]</f>
        <v>TourLong</v>
      </c>
      <c r="AN38" s="2"/>
      <c r="AO38" s="2"/>
      <c r="AP38" s="2"/>
      <c r="AQ38" s="2"/>
      <c r="AR38" s="2"/>
      <c r="AS38" s="2"/>
    </row>
    <row r="39" spans="32:52" x14ac:dyDescent="0.2">
      <c r="AF39" s="2"/>
      <c r="AG39" s="2"/>
      <c r="AN39" s="2"/>
      <c r="AO39" s="2"/>
      <c r="AP39" s="2"/>
      <c r="AQ39" s="2"/>
      <c r="AR39" s="2"/>
      <c r="AS39" s="2"/>
    </row>
    <row r="40" spans="32:52" x14ac:dyDescent="0.2">
      <c r="AF40" s="2"/>
      <c r="AG40" s="2"/>
      <c r="AN40" s="2"/>
      <c r="AO40" s="277"/>
      <c r="AP40" s="277"/>
      <c r="AQ40" s="277"/>
      <c r="AR40" s="277"/>
      <c r="AS40" s="277"/>
    </row>
    <row r="41" spans="32:52" x14ac:dyDescent="0.2">
      <c r="AF41" s="2"/>
      <c r="AG41" s="2"/>
      <c r="AN41" s="2"/>
    </row>
    <row r="42" spans="32:52" x14ac:dyDescent="0.2">
      <c r="AN42" s="277"/>
    </row>
    <row r="77" spans="114:146" x14ac:dyDescent="0.2">
      <c r="DJ77"/>
      <c r="EN77"/>
      <c r="EO77"/>
      <c r="EP77"/>
    </row>
    <row r="78" spans="114:146" ht="23.75" customHeight="1" x14ac:dyDescent="0.2">
      <c r="DJ78"/>
      <c r="EN78"/>
      <c r="EO78"/>
      <c r="EP78"/>
    </row>
    <row r="79" spans="114:146" ht="14.75" customHeight="1" x14ac:dyDescent="0.2">
      <c r="DJ79"/>
      <c r="EN79"/>
      <c r="EO79"/>
      <c r="EP79"/>
    </row>
    <row r="80" spans="114:146" ht="14.75" customHeight="1" x14ac:dyDescent="0.2">
      <c r="DJ80"/>
      <c r="EN80"/>
      <c r="EO80"/>
      <c r="EP80"/>
    </row>
    <row r="81" spans="114:155" ht="15" customHeight="1" x14ac:dyDescent="0.2">
      <c r="DJ81"/>
      <c r="EN81"/>
      <c r="EO81"/>
      <c r="EP81"/>
    </row>
    <row r="82" spans="114:155" x14ac:dyDescent="0.2">
      <c r="DJ82"/>
      <c r="EN82"/>
      <c r="EO82"/>
      <c r="EP82"/>
    </row>
    <row r="92" spans="114:155" x14ac:dyDescent="0.2">
      <c r="EW92" s="56"/>
      <c r="EX92" s="56"/>
      <c r="EY92" s="56"/>
    </row>
    <row r="93" spans="114:155" x14ac:dyDescent="0.2">
      <c r="EW93" s="11"/>
      <c r="EX93" s="11"/>
      <c r="EY93" s="11"/>
    </row>
    <row r="94" spans="114:155" x14ac:dyDescent="0.2">
      <c r="EW94" s="11"/>
      <c r="EX94" s="11"/>
      <c r="EY94" s="11"/>
    </row>
    <row r="95" spans="114:155" x14ac:dyDescent="0.2">
      <c r="EW95" s="11"/>
      <c r="EX95" s="11"/>
      <c r="EY95" s="11"/>
    </row>
    <row r="96" spans="114:155" x14ac:dyDescent="0.2">
      <c r="EW96" s="11"/>
      <c r="EX96" s="11"/>
      <c r="EY96" s="11"/>
    </row>
    <row r="97" spans="153:155" x14ac:dyDescent="0.2">
      <c r="EW97" s="11"/>
      <c r="EX97" s="11"/>
      <c r="EY97" s="11"/>
    </row>
    <row r="98" spans="153:155" x14ac:dyDescent="0.2">
      <c r="EW98" s="11"/>
      <c r="EX98" s="11"/>
      <c r="EY98" s="11"/>
    </row>
    <row r="99" spans="153:155" x14ac:dyDescent="0.2">
      <c r="EW99" s="11"/>
      <c r="EX99" s="11"/>
      <c r="EY99" s="11"/>
    </row>
    <row r="100" spans="153:155" x14ac:dyDescent="0.2">
      <c r="EW100" s="11"/>
      <c r="EX100" s="11"/>
      <c r="EY100" s="11"/>
    </row>
    <row r="101" spans="153:155" x14ac:dyDescent="0.2">
      <c r="EW101" s="11"/>
      <c r="EX101" s="11"/>
      <c r="EY101" s="11"/>
    </row>
    <row r="102" spans="153:155" x14ac:dyDescent="0.2">
      <c r="EW102" s="11"/>
      <c r="EX102" s="11"/>
      <c r="EY102" s="11"/>
    </row>
    <row r="103" spans="153:155" x14ac:dyDescent="0.2">
      <c r="EW103" s="11"/>
      <c r="EX103" s="11"/>
      <c r="EY103" s="11"/>
    </row>
    <row r="104" spans="153:155" x14ac:dyDescent="0.2">
      <c r="EW104" s="11"/>
      <c r="EX104" s="11"/>
      <c r="EY104" s="11"/>
    </row>
    <row r="105" spans="153:155" x14ac:dyDescent="0.2">
      <c r="EW105" s="11"/>
      <c r="EX105" s="11"/>
      <c r="EY105" s="11"/>
    </row>
    <row r="106" spans="153:155" x14ac:dyDescent="0.2">
      <c r="EW106" s="11"/>
      <c r="EX106" s="11"/>
      <c r="EY106" s="11"/>
    </row>
    <row r="107" spans="153:155" x14ac:dyDescent="0.2">
      <c r="EW107" s="11"/>
      <c r="EX107" s="11"/>
      <c r="EY107" s="11"/>
    </row>
    <row r="108" spans="153:155" x14ac:dyDescent="0.2">
      <c r="EW108" s="11"/>
      <c r="EX108" s="11"/>
      <c r="EY108" s="11"/>
    </row>
    <row r="109" spans="153:155" x14ac:dyDescent="0.2">
      <c r="EW109" s="11"/>
      <c r="EX109" s="11"/>
      <c r="EY109" s="11"/>
    </row>
    <row r="110" spans="153:155" x14ac:dyDescent="0.2">
      <c r="EW110" s="11"/>
      <c r="EX110" s="11"/>
      <c r="EY110" s="11"/>
    </row>
  </sheetData>
  <sheetProtection algorithmName="SHA-512" hashValue="+7HSe52HlX2iXFAvdm87LOa1rc3shjKsaFIrTyxeQ9drmRxFTFyVRFj/h2VTm10WMdoNbDQaAvjprlsDpxAjUw==" saltValue="8iASgcgBnOb2ukjp2hYbNg==" spinCount="100000" sheet="1" objects="1" scenarios="1"/>
  <protectedRanges>
    <protectedRange sqref="EZ5:EZ7" name="IHD_3"/>
    <protectedRange sqref="EF3:EF13" name="ProductionPriority_3"/>
  </protectedRanges>
  <mergeCells count="12">
    <mergeCell ref="DR1:EL1"/>
    <mergeCell ref="EN1:EX1"/>
    <mergeCell ref="CR1:DA1"/>
    <mergeCell ref="DC1:DN1"/>
    <mergeCell ref="CJ1:CP1"/>
    <mergeCell ref="CB1:CH1"/>
    <mergeCell ref="BT1:BZ1"/>
    <mergeCell ref="BL1:BR1"/>
    <mergeCell ref="E1:N1"/>
    <mergeCell ref="V1:AD1"/>
    <mergeCell ref="P1:T1"/>
    <mergeCell ref="AU1:BJ1"/>
  </mergeCells>
  <phoneticPr fontId="11" type="noConversion"/>
  <dataValidations disablePrompts="1" count="2">
    <dataValidation type="list" allowBlank="1" showInputMessage="1" showErrorMessage="1" sqref="DK5 EF3:EF13" xr:uid="{4322A73B-FC20-4BBB-AC1F-9D9F19926EDB}">
      <formula1>$DD$3:$DD$5</formula1>
    </dataValidation>
    <dataValidation type="list" allowBlank="1" showInputMessage="1" showErrorMessage="1" sqref="AO16" xr:uid="{3DD43B0A-881F-4463-ACC3-F4B3D2DD995A}">
      <formula1>"UNIQUE(FILTER(V3:V39,AA3:AA39=AA3))"</formula1>
    </dataValidation>
  </dataValidations>
  <pageMargins left="0.7" right="0.7" top="0.75" bottom="0.75" header="0.3" footer="0.3"/>
  <tableParts count="23">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00C7AA3-16C9-4429-AAF8-BBBE7B49A4C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31</vt:i4>
      </vt:variant>
    </vt:vector>
  </HeadingPairs>
  <TitlesOfParts>
    <vt:vector size="35" baseType="lpstr">
      <vt:lpstr>Summary</vt:lpstr>
      <vt:lpstr>Bulk Order Details</vt:lpstr>
      <vt:lpstr>Pricing Details</vt:lpstr>
      <vt:lpstr>Prices</vt:lpstr>
      <vt:lpstr>BOD_Discount</vt:lpstr>
      <vt:lpstr>BOD_IHD</vt:lpstr>
      <vt:lpstr>BOD_ProdPriorityFee</vt:lpstr>
      <vt:lpstr>BOD_ShippingFee</vt:lpstr>
      <vt:lpstr>BOD_Subtotal</vt:lpstr>
      <vt:lpstr>BOD_Total</vt:lpstr>
      <vt:lpstr>CustGroup</vt:lpstr>
      <vt:lpstr>CustomLogos</vt:lpstr>
      <vt:lpstr>FullSKU</vt:lpstr>
      <vt:lpstr>Jerseys</vt:lpstr>
      <vt:lpstr>Mens</vt:lpstr>
      <vt:lpstr>MensCut</vt:lpstr>
      <vt:lpstr>Performance</vt:lpstr>
      <vt:lpstr>PerformanceLong</vt:lpstr>
      <vt:lpstr>PerformanceShort</vt:lpstr>
      <vt:lpstr>PerformanceSleeveless</vt:lpstr>
      <vt:lpstr>'Bulk Order Details'!Print_Area</vt:lpstr>
      <vt:lpstr>ProductionFee</vt:lpstr>
      <vt:lpstr>Reorder</vt:lpstr>
      <vt:lpstr>Selected_ProdPriority</vt:lpstr>
      <vt:lpstr>Shipping</vt:lpstr>
      <vt:lpstr>TeamAssuranceQuote</vt:lpstr>
      <vt:lpstr>Toddler</vt:lpstr>
      <vt:lpstr>ToddlerCut</vt:lpstr>
      <vt:lpstr>Tour</vt:lpstr>
      <vt:lpstr>TourLong</vt:lpstr>
      <vt:lpstr>TourShort</vt:lpstr>
      <vt:lpstr>Womens</vt:lpstr>
      <vt:lpstr>WomensCut</vt:lpstr>
      <vt:lpstr>Youth</vt:lpstr>
      <vt:lpstr>YouthCut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Fairchild</dc:creator>
  <cp:lastModifiedBy>Rolando Arriaza</cp:lastModifiedBy>
  <cp:lastPrinted>2024-10-22T19:38:18Z</cp:lastPrinted>
  <dcterms:created xsi:type="dcterms:W3CDTF">2024-03-10T20:37:48Z</dcterms:created>
  <dcterms:modified xsi:type="dcterms:W3CDTF">2025-06-10T19:50:03Z</dcterms:modified>
  <cp:version>1.1.14</cp:version>
</cp:coreProperties>
</file>